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868" yWindow="48" windowWidth="13920" windowHeight="12492"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面积总表" sheetId="80" r:id="rId13"/>
    <sheet name="抵押物清单" sheetId="81" r:id="rId14"/>
    <sheet name="数据-基础表" sheetId="3"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state="hidden" r:id="rId23"/>
    <sheet name="收益法（汇总）" sheetId="70" r:id="rId24"/>
    <sheet name="收益法-库房" sheetId="85" r:id="rId25"/>
    <sheet name="收益法-车库" sheetId="84" r:id="rId26"/>
    <sheet name="收益法-商业" sheetId="83" r:id="rId27"/>
    <sheet name="收益法-办公" sheetId="15" r:id="rId28"/>
    <sheet name="收益法 (元)" sheetId="67" state="hidden" r:id="rId29"/>
    <sheet name="收益法-酒店模型" sheetId="77"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r:id="rId40"/>
    <sheet name="基准地价修正-办公" sheetId="43"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基准地价修正-商业" sheetId="86" r:id="rId51"/>
    <sheet name="项目" sheetId="82" r:id="rId52"/>
    <sheet name="Sheet1" sheetId="87" r:id="rId53"/>
  </sheets>
  <externalReferences>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4"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9">'基准地价（汇总）'!$A$1:$E$13</definedName>
    <definedName name="_xlnm.Print_Area" localSheetId="40">'基准地价修正-办公'!$A$1:$J$44,'基准地价修正-办公'!$A$47:$H$101,'基准地价修正-办公'!$R$1:$V$16</definedName>
    <definedName name="_xlnm.Print_Area" localSheetId="50">'基准地价修正-商业'!$A$1:$J$44,'基准地价修正-商业'!$A$47:$H$101,'基准地价修正-商业'!$R$1:$V$16</definedName>
    <definedName name="_xlnm.Print_Area" localSheetId="22">假设开发法!$A$1:$K$32</definedName>
    <definedName name="_xlnm.Print_Area" localSheetId="19">结果表!$A$1:$I$127</definedName>
    <definedName name="_xlnm.Print_Area" localSheetId="28">'收益法 (元)'!$A$1:$F$43,'收益法 (元)'!$H$3:$M$29,'收益法 (元)'!$A$45:$F$71,'收益法 (元)'!$I$46:$N$65</definedName>
    <definedName name="_xlnm.Print_Area" localSheetId="23">'收益法（汇总）'!$A$1:$F$13</definedName>
    <definedName name="_xlnm.Print_Area" localSheetId="27">'收益法-办公'!$A$1:$F$43,'收益法-办公'!$H$3:$M$29,'收益法-办公'!$A$46:$F$71,'收益法-办公'!$I$46:$N$65</definedName>
    <definedName name="_xlnm.Print_Area" localSheetId="25">'收益法-车库'!$A$1:$F$43,'收益法-车库'!$H$3:$M$29,'收益法-车库'!$A$46:$F$71,'收益法-车库'!$I$46:$N$65</definedName>
    <definedName name="_xlnm.Print_Area" localSheetId="24">'收益法-库房'!$A$1:$F$43,'收益法-库房'!$H$3:$M$29,'收益法-库房'!$A$46:$F$71,'收益法-库房'!$I$46:$N$65</definedName>
    <definedName name="_xlnm.Print_Area" localSheetId="26">'收益法-商业'!$A$1:$F$43,'收益法-商业'!$H$3:$M$29,'收益法-商业'!$A$46:$F$71,'收益法-商业'!$I$46:$N$65</definedName>
    <definedName name="_xlnm.Print_Area" localSheetId="15">'数据-汇总表'!$A$1:$P$32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0">'基准地价修正-商业'!$Q$19:$AD$19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B23" i="1" l="1"/>
  <c r="AB22" i="1"/>
  <c r="AB28" i="1"/>
  <c r="Y24" i="1" l="1"/>
  <c r="V24" i="1"/>
  <c r="L29" i="1"/>
  <c r="C209" i="81"/>
  <c r="C192" i="81"/>
  <c r="C81" i="81"/>
  <c r="C15" i="81"/>
  <c r="U14" i="3" l="1"/>
  <c r="F116" i="86" l="1"/>
  <c r="N111" i="86"/>
  <c r="N112" i="86" s="1"/>
  <c r="M111" i="86"/>
  <c r="M112" i="86" s="1"/>
  <c r="L111" i="86"/>
  <c r="L112" i="86" s="1"/>
  <c r="K111" i="86"/>
  <c r="K112" i="86" s="1"/>
  <c r="J111" i="86"/>
  <c r="J112" i="86" s="1"/>
  <c r="I111" i="86"/>
  <c r="I112" i="86" s="1"/>
  <c r="H111" i="86"/>
  <c r="H112" i="86" s="1"/>
  <c r="G111" i="86"/>
  <c r="G112" i="86" s="1"/>
  <c r="F111" i="86"/>
  <c r="F112" i="86" s="1"/>
  <c r="E111" i="86"/>
  <c r="E112" i="86" s="1"/>
  <c r="D111" i="86"/>
  <c r="D112" i="86" s="1"/>
  <c r="C111" i="86"/>
  <c r="C112" i="86" s="1"/>
  <c r="M101" i="86"/>
  <c r="N101" i="86" s="1"/>
  <c r="K101" i="86"/>
  <c r="J101" i="86" s="1"/>
  <c r="D101" i="86"/>
  <c r="B101" i="86"/>
  <c r="N100" i="86"/>
  <c r="M100" i="86"/>
  <c r="K100" i="86"/>
  <c r="J100" i="86" s="1"/>
  <c r="D100" i="86"/>
  <c r="B100" i="86"/>
  <c r="N99" i="86"/>
  <c r="M99" i="86"/>
  <c r="K99" i="86"/>
  <c r="J99" i="86"/>
  <c r="D99" i="86"/>
  <c r="B99" i="86"/>
  <c r="N98" i="86"/>
  <c r="M98" i="86"/>
  <c r="K98" i="86"/>
  <c r="J98" i="86"/>
  <c r="D98" i="86"/>
  <c r="M97" i="86"/>
  <c r="N97" i="86" s="1"/>
  <c r="K97" i="86"/>
  <c r="J97" i="86" s="1"/>
  <c r="D97" i="86"/>
  <c r="B97" i="86"/>
  <c r="M96" i="86"/>
  <c r="N96" i="86" s="1"/>
  <c r="K96" i="86"/>
  <c r="J96" i="86" s="1"/>
  <c r="D96" i="86"/>
  <c r="N95" i="86"/>
  <c r="M95" i="86"/>
  <c r="K95" i="86"/>
  <c r="J95" i="86"/>
  <c r="D95" i="86"/>
  <c r="B95" i="86"/>
  <c r="M94" i="86"/>
  <c r="N94" i="86" s="1"/>
  <c r="K94" i="86"/>
  <c r="J94" i="86" s="1"/>
  <c r="D94" i="86"/>
  <c r="B94" i="86"/>
  <c r="M93" i="86"/>
  <c r="N93" i="86" s="1"/>
  <c r="K93" i="86"/>
  <c r="J93" i="86" s="1"/>
  <c r="F93" i="86"/>
  <c r="H101" i="86" s="1"/>
  <c r="D93" i="86"/>
  <c r="E93" i="86" s="1"/>
  <c r="B91" i="86" s="1"/>
  <c r="M90" i="86"/>
  <c r="N90" i="86" s="1"/>
  <c r="K90" i="86"/>
  <c r="J90" i="86" s="1"/>
  <c r="D90" i="86"/>
  <c r="B90" i="86"/>
  <c r="M89" i="86"/>
  <c r="N89" i="86" s="1"/>
  <c r="K89" i="86"/>
  <c r="J89" i="86" s="1"/>
  <c r="D89" i="86"/>
  <c r="N88" i="86"/>
  <c r="M88" i="86"/>
  <c r="K88" i="86"/>
  <c r="J88" i="86"/>
  <c r="D88" i="86"/>
  <c r="B88" i="86"/>
  <c r="M87" i="86"/>
  <c r="N87" i="86" s="1"/>
  <c r="K87" i="86"/>
  <c r="J87" i="86" s="1"/>
  <c r="D87" i="86"/>
  <c r="B87" i="86"/>
  <c r="M86" i="86"/>
  <c r="N86" i="86" s="1"/>
  <c r="K86" i="86"/>
  <c r="J86" i="86" s="1"/>
  <c r="D86" i="86"/>
  <c r="B86" i="86"/>
  <c r="N85" i="86"/>
  <c r="M85" i="86"/>
  <c r="K85" i="86"/>
  <c r="J85" i="86"/>
  <c r="D85" i="86"/>
  <c r="B85" i="86"/>
  <c r="N84" i="86"/>
  <c r="M84" i="86"/>
  <c r="K84" i="86"/>
  <c r="J84" i="86"/>
  <c r="D84" i="86"/>
  <c r="B84" i="86"/>
  <c r="M83" i="86"/>
  <c r="N83" i="86" s="1"/>
  <c r="K83" i="86"/>
  <c r="J83" i="86" s="1"/>
  <c r="F83" i="86"/>
  <c r="H88" i="86" s="1"/>
  <c r="E83" i="86"/>
  <c r="B81" i="86" s="1"/>
  <c r="D83" i="86"/>
  <c r="B83" i="86"/>
  <c r="N80" i="86"/>
  <c r="M80" i="86"/>
  <c r="K80" i="86"/>
  <c r="J80" i="86"/>
  <c r="D80" i="86"/>
  <c r="M79" i="86"/>
  <c r="N79" i="86" s="1"/>
  <c r="K79" i="86"/>
  <c r="J79" i="86" s="1"/>
  <c r="D79" i="86"/>
  <c r="B79" i="86"/>
  <c r="M78" i="86"/>
  <c r="N78" i="86" s="1"/>
  <c r="K78" i="86"/>
  <c r="J78" i="86" s="1"/>
  <c r="D78" i="86"/>
  <c r="N77" i="86"/>
  <c r="M77" i="86"/>
  <c r="K77" i="86"/>
  <c r="J77" i="86"/>
  <c r="D77" i="86"/>
  <c r="B77" i="86"/>
  <c r="M76" i="86"/>
  <c r="N76" i="86" s="1"/>
  <c r="K76" i="86"/>
  <c r="J76" i="86" s="1"/>
  <c r="D76" i="86"/>
  <c r="B76" i="86"/>
  <c r="M75" i="86"/>
  <c r="N75" i="86" s="1"/>
  <c r="K75" i="86"/>
  <c r="J75" i="86" s="1"/>
  <c r="D75" i="86"/>
  <c r="B75" i="86"/>
  <c r="N74" i="86"/>
  <c r="M74" i="86"/>
  <c r="K74" i="86"/>
  <c r="J74" i="86"/>
  <c r="D74" i="86"/>
  <c r="B74" i="86"/>
  <c r="N73" i="86"/>
  <c r="M73" i="86"/>
  <c r="K73" i="86"/>
  <c r="J73" i="86"/>
  <c r="D73" i="86"/>
  <c r="B73" i="86"/>
  <c r="M72" i="86"/>
  <c r="N72" i="86" s="1"/>
  <c r="K72" i="86"/>
  <c r="J72" i="86" s="1"/>
  <c r="F72" i="86"/>
  <c r="H77" i="86" s="1"/>
  <c r="E72" i="86"/>
  <c r="B70" i="86" s="1"/>
  <c r="D72" i="86"/>
  <c r="B72" i="86"/>
  <c r="N69" i="86"/>
  <c r="M69" i="86"/>
  <c r="K69" i="86"/>
  <c r="J69" i="86"/>
  <c r="D69" i="86" s="1"/>
  <c r="B69" i="86"/>
  <c r="M68" i="86"/>
  <c r="N68" i="86" s="1"/>
  <c r="K68" i="86"/>
  <c r="J68" i="86" s="1"/>
  <c r="D68" i="86" s="1"/>
  <c r="B68" i="86"/>
  <c r="M67" i="86"/>
  <c r="N67" i="86" s="1"/>
  <c r="K67" i="86"/>
  <c r="J67" i="86" s="1"/>
  <c r="D67" i="86" s="1"/>
  <c r="B67" i="86"/>
  <c r="N66" i="86"/>
  <c r="M66" i="86"/>
  <c r="K66" i="86"/>
  <c r="D66" i="86" s="1"/>
  <c r="J66" i="86"/>
  <c r="M65" i="86"/>
  <c r="N65" i="86" s="1"/>
  <c r="K65" i="86"/>
  <c r="J65" i="86" s="1"/>
  <c r="D65" i="86"/>
  <c r="B65" i="86"/>
  <c r="M64" i="86"/>
  <c r="N64" i="86" s="1"/>
  <c r="K64" i="86"/>
  <c r="D64" i="86" s="1"/>
  <c r="N63" i="86"/>
  <c r="M63" i="86"/>
  <c r="K63" i="86"/>
  <c r="J63" i="86"/>
  <c r="D63" i="86"/>
  <c r="B63" i="86"/>
  <c r="M62" i="86"/>
  <c r="N62" i="86" s="1"/>
  <c r="K62" i="86"/>
  <c r="J62" i="86" s="1"/>
  <c r="D62" i="86"/>
  <c r="B62" i="86"/>
  <c r="M61" i="86"/>
  <c r="N61" i="86" s="1"/>
  <c r="K61" i="86"/>
  <c r="J61" i="86" s="1"/>
  <c r="B61" i="86"/>
  <c r="N58" i="86"/>
  <c r="M58" i="86"/>
  <c r="K58" i="86"/>
  <c r="J58" i="86" s="1"/>
  <c r="D58" i="86"/>
  <c r="B58" i="86"/>
  <c r="M57" i="86"/>
  <c r="N57" i="86" s="1"/>
  <c r="K57" i="86"/>
  <c r="J57" i="86" s="1"/>
  <c r="D57" i="86"/>
  <c r="B57" i="86"/>
  <c r="M56" i="86"/>
  <c r="N56" i="86" s="1"/>
  <c r="K56" i="86"/>
  <c r="J56" i="86" s="1"/>
  <c r="D56" i="86"/>
  <c r="B56" i="86"/>
  <c r="M55" i="86"/>
  <c r="N55" i="86" s="1"/>
  <c r="K55" i="86"/>
  <c r="J55" i="86" s="1"/>
  <c r="D55" i="86"/>
  <c r="M54" i="86"/>
  <c r="N54" i="86" s="1"/>
  <c r="K54" i="86"/>
  <c r="J54" i="86" s="1"/>
  <c r="D54" i="86"/>
  <c r="B54" i="86"/>
  <c r="M53" i="86"/>
  <c r="N53" i="86" s="1"/>
  <c r="K53" i="86"/>
  <c r="J53" i="86" s="1"/>
  <c r="D53" i="86"/>
  <c r="N52" i="86"/>
  <c r="M52" i="86"/>
  <c r="K52" i="86"/>
  <c r="J52" i="86" s="1"/>
  <c r="D52" i="86"/>
  <c r="B52" i="86"/>
  <c r="N51" i="86"/>
  <c r="M51" i="86"/>
  <c r="K51" i="86"/>
  <c r="J51" i="86" s="1"/>
  <c r="D51" i="86"/>
  <c r="B51" i="86"/>
  <c r="M50" i="86"/>
  <c r="N50" i="86" s="1"/>
  <c r="K50" i="86"/>
  <c r="J50" i="86" s="1"/>
  <c r="D50" i="86"/>
  <c r="B50" i="86"/>
  <c r="H42" i="86"/>
  <c r="H41" i="86"/>
  <c r="H40" i="86"/>
  <c r="O32" i="86"/>
  <c r="M32" i="86"/>
  <c r="J24" i="86"/>
  <c r="G24" i="86"/>
  <c r="G18" i="86" s="1"/>
  <c r="E24" i="86"/>
  <c r="N32" i="86" s="1"/>
  <c r="M23" i="86"/>
  <c r="I23" i="86"/>
  <c r="C22" i="86"/>
  <c r="G17" i="86"/>
  <c r="C17" i="86"/>
  <c r="C13" i="86"/>
  <c r="C11" i="86"/>
  <c r="E10" i="86" s="1"/>
  <c r="AJ10" i="86"/>
  <c r="AG10" i="86"/>
  <c r="AF10" i="86"/>
  <c r="AC10" i="86"/>
  <c r="AB10" i="86"/>
  <c r="Y10" i="86"/>
  <c r="C10" i="86"/>
  <c r="AJ9" i="86"/>
  <c r="AI9" i="86"/>
  <c r="AI10" i="86" s="1"/>
  <c r="AH9" i="86"/>
  <c r="AH10" i="86" s="1"/>
  <c r="AG9" i="86"/>
  <c r="AF9" i="86"/>
  <c r="AE9" i="86"/>
  <c r="AE10" i="86" s="1"/>
  <c r="AD9" i="86"/>
  <c r="AD10" i="86" s="1"/>
  <c r="AC9" i="86"/>
  <c r="AB9" i="86"/>
  <c r="AA9" i="86"/>
  <c r="AA10" i="86" s="1"/>
  <c r="Z9" i="86"/>
  <c r="Z10" i="86" s="1"/>
  <c r="C9" i="86"/>
  <c r="E8" i="86"/>
  <c r="C7" i="86"/>
  <c r="I2" i="86"/>
  <c r="N12" i="86" s="1"/>
  <c r="G2" i="86"/>
  <c r="F41" i="86" s="1"/>
  <c r="M1" i="86"/>
  <c r="J52" i="85"/>
  <c r="Q72" i="85"/>
  <c r="Q59" i="85"/>
  <c r="K59" i="85"/>
  <c r="P74" i="85" s="1"/>
  <c r="F59" i="85"/>
  <c r="Q58" i="85"/>
  <c r="Q51" i="85"/>
  <c r="J50" i="85"/>
  <c r="M47" i="85"/>
  <c r="D46" i="85"/>
  <c r="F34" i="85"/>
  <c r="F62" i="85" s="1"/>
  <c r="F33" i="85"/>
  <c r="F61" i="85" s="1"/>
  <c r="F32" i="85"/>
  <c r="F60" i="85" s="1"/>
  <c r="F31" i="85"/>
  <c r="F28" i="85"/>
  <c r="F23" i="85"/>
  <c r="D24" i="85" s="1"/>
  <c r="F21" i="85"/>
  <c r="M20" i="85"/>
  <c r="F20" i="85"/>
  <c r="M19" i="85"/>
  <c r="M18" i="85"/>
  <c r="F18" i="85"/>
  <c r="M17" i="85"/>
  <c r="F17" i="85"/>
  <c r="F15" i="85"/>
  <c r="G1" i="85"/>
  <c r="J52" i="84"/>
  <c r="Q51" i="84" s="1"/>
  <c r="Q72" i="84"/>
  <c r="Q59" i="84"/>
  <c r="K59" i="84"/>
  <c r="P74" i="84" s="1"/>
  <c r="F59" i="84"/>
  <c r="Q58" i="84"/>
  <c r="J50" i="84"/>
  <c r="M47" i="84"/>
  <c r="D46" i="84"/>
  <c r="F34" i="84"/>
  <c r="F62" i="84" s="1"/>
  <c r="F33" i="84"/>
  <c r="F61" i="84" s="1"/>
  <c r="F32" i="84"/>
  <c r="F60" i="84" s="1"/>
  <c r="F31" i="84"/>
  <c r="F28" i="84"/>
  <c r="F23" i="84"/>
  <c r="D24" i="84" s="1"/>
  <c r="F21" i="84"/>
  <c r="M20" i="84"/>
  <c r="F20" i="84"/>
  <c r="M19" i="84"/>
  <c r="M18" i="84"/>
  <c r="F18" i="84"/>
  <c r="M17" i="84"/>
  <c r="F17" i="84"/>
  <c r="F15" i="84"/>
  <c r="G1" i="84"/>
  <c r="J52" i="83"/>
  <c r="Q51" i="83" s="1"/>
  <c r="Q72" i="83"/>
  <c r="Q59" i="83"/>
  <c r="K59" i="83"/>
  <c r="P74" i="83" s="1"/>
  <c r="F59" i="83"/>
  <c r="Q58" i="83"/>
  <c r="J50" i="83"/>
  <c r="M47" i="83"/>
  <c r="D46" i="83"/>
  <c r="F34" i="83"/>
  <c r="F62" i="83" s="1"/>
  <c r="F33" i="83"/>
  <c r="F61" i="83" s="1"/>
  <c r="F32" i="83"/>
  <c r="F60" i="83" s="1"/>
  <c r="F31" i="83"/>
  <c r="F28" i="83"/>
  <c r="F23" i="83"/>
  <c r="D24" i="83" s="1"/>
  <c r="F21" i="83"/>
  <c r="M20" i="83"/>
  <c r="F20" i="83"/>
  <c r="M19" i="83"/>
  <c r="M18" i="83"/>
  <c r="F18" i="83"/>
  <c r="M17" i="83"/>
  <c r="F17" i="83"/>
  <c r="F15" i="83"/>
  <c r="G1" i="83"/>
  <c r="J52" i="15"/>
  <c r="AL9" i="1"/>
  <c r="AL8" i="1"/>
  <c r="AL7" i="1"/>
  <c r="Y9" i="1"/>
  <c r="Y8" i="1"/>
  <c r="Y7" i="1"/>
  <c r="Y6" i="1"/>
  <c r="X23" i="1"/>
  <c r="X22" i="1"/>
  <c r="X19" i="1"/>
  <c r="X20" i="1"/>
  <c r="V19" i="1"/>
  <c r="U4" i="86" s="1"/>
  <c r="H39" i="86"/>
  <c r="V23" i="1"/>
  <c r="V22" i="1"/>
  <c r="D37" i="86" s="1"/>
  <c r="V21" i="1"/>
  <c r="Y21" i="1" s="1"/>
  <c r="V20" i="1"/>
  <c r="U3" i="86" s="1"/>
  <c r="X28" i="1"/>
  <c r="N9" i="1"/>
  <c r="N8" i="1"/>
  <c r="N7" i="1"/>
  <c r="N6" i="1"/>
  <c r="L28" i="1"/>
  <c r="Q14" i="3"/>
  <c r="S13" i="3"/>
  <c r="G22" i="6" s="1"/>
  <c r="D41" i="43" s="1"/>
  <c r="Q13" i="3"/>
  <c r="F22" i="6" s="1"/>
  <c r="O13" i="3"/>
  <c r="G19" i="6" s="1"/>
  <c r="M13" i="3"/>
  <c r="F19" i="6" s="1"/>
  <c r="K13" i="3"/>
  <c r="G20" i="6" s="1"/>
  <c r="I13" i="3"/>
  <c r="F20" i="6" s="1"/>
  <c r="M14" i="3"/>
  <c r="I14" i="3"/>
  <c r="C76" i="84"/>
  <c r="C76" i="83"/>
  <c r="C76" i="85"/>
  <c r="Y23" i="1" l="1"/>
  <c r="H37" i="86"/>
  <c r="D1" i="86"/>
  <c r="D33" i="43"/>
  <c r="V27" i="1"/>
  <c r="V28" i="1"/>
  <c r="Y28" i="1" s="1"/>
  <c r="D40" i="43"/>
  <c r="Y20" i="1"/>
  <c r="D38" i="86"/>
  <c r="H38" i="86" s="1"/>
  <c r="Y19" i="1"/>
  <c r="U2" i="86"/>
  <c r="Y22" i="1"/>
  <c r="E50" i="86"/>
  <c r="B48" i="86" s="1"/>
  <c r="M10" i="86"/>
  <c r="M4" i="86"/>
  <c r="M2" i="86"/>
  <c r="N4" i="86"/>
  <c r="N1" i="86"/>
  <c r="N2" i="86"/>
  <c r="N6" i="86"/>
  <c r="N9" i="86"/>
  <c r="J21" i="86"/>
  <c r="N3" i="86"/>
  <c r="S5" i="86"/>
  <c r="O21" i="86"/>
  <c r="F50" i="86"/>
  <c r="H52" i="86" s="1"/>
  <c r="S3" i="86"/>
  <c r="M6" i="86"/>
  <c r="C21" i="86"/>
  <c r="M8" i="86"/>
  <c r="N10" i="86"/>
  <c r="E11" i="86"/>
  <c r="E21" i="86"/>
  <c r="K21" i="86"/>
  <c r="P32" i="86"/>
  <c r="F38" i="86"/>
  <c r="H51" i="86"/>
  <c r="H116" i="86"/>
  <c r="F61" i="86"/>
  <c r="F42" i="86"/>
  <c r="C27" i="86"/>
  <c r="M21" i="86"/>
  <c r="I21" i="86"/>
  <c r="D21" i="86"/>
  <c r="S2" i="86"/>
  <c r="S4" i="86"/>
  <c r="M12" i="86"/>
  <c r="M11" i="86"/>
  <c r="M3" i="86"/>
  <c r="M5" i="86"/>
  <c r="S6" i="86"/>
  <c r="M7" i="86"/>
  <c r="X7" i="86"/>
  <c r="N8" i="86"/>
  <c r="E9" i="86"/>
  <c r="N11" i="86"/>
  <c r="I18" i="86"/>
  <c r="E17" i="86" s="1"/>
  <c r="L21" i="86"/>
  <c r="Q32" i="86"/>
  <c r="F39" i="86"/>
  <c r="E44" i="86"/>
  <c r="N5" i="86"/>
  <c r="C6" i="86"/>
  <c r="N7" i="86"/>
  <c r="M9" i="86"/>
  <c r="H21" i="86"/>
  <c r="N21" i="86"/>
  <c r="F37" i="86"/>
  <c r="F40" i="86"/>
  <c r="H57" i="86"/>
  <c r="H54" i="86"/>
  <c r="H58" i="86"/>
  <c r="H55" i="86"/>
  <c r="H56" i="86"/>
  <c r="H53" i="86"/>
  <c r="H50" i="86"/>
  <c r="H72" i="86"/>
  <c r="H76" i="86"/>
  <c r="H79" i="86"/>
  <c r="H83" i="86"/>
  <c r="H87" i="86"/>
  <c r="H90" i="86"/>
  <c r="H94" i="86"/>
  <c r="H97" i="86"/>
  <c r="H100" i="86"/>
  <c r="D61" i="86"/>
  <c r="E61" i="86" s="1"/>
  <c r="B59" i="86" s="1"/>
  <c r="C28" i="86" s="1"/>
  <c r="J64" i="86"/>
  <c r="H75" i="86"/>
  <c r="H78" i="86"/>
  <c r="H86" i="86"/>
  <c r="H89" i="86"/>
  <c r="H93" i="86"/>
  <c r="H96" i="86"/>
  <c r="H99" i="86"/>
  <c r="H74" i="86"/>
  <c r="H80" i="86"/>
  <c r="H85" i="86"/>
  <c r="H98" i="86"/>
  <c r="H73" i="86"/>
  <c r="H84" i="86"/>
  <c r="H95" i="86"/>
  <c r="Q71" i="85"/>
  <c r="D22" i="85"/>
  <c r="D23" i="85"/>
  <c r="P61" i="85"/>
  <c r="Q71" i="84"/>
  <c r="D22" i="84"/>
  <c r="D23" i="84"/>
  <c r="P61" i="84"/>
  <c r="Q71" i="83"/>
  <c r="D22" i="83"/>
  <c r="D23" i="83"/>
  <c r="P61" i="83"/>
  <c r="F9" i="85"/>
  <c r="M28" i="85"/>
  <c r="J15" i="84"/>
  <c r="F26" i="83"/>
  <c r="M24" i="85"/>
  <c r="F38" i="84"/>
  <c r="M8" i="83"/>
  <c r="F16" i="85"/>
  <c r="M28" i="83"/>
  <c r="F37" i="85"/>
  <c r="F36" i="84"/>
  <c r="F6" i="84"/>
  <c r="M23" i="83"/>
  <c r="F13" i="84"/>
  <c r="F40" i="85"/>
  <c r="M9" i="85"/>
  <c r="F42" i="85"/>
  <c r="L47" i="84"/>
  <c r="M26" i="83"/>
  <c r="M22" i="85"/>
  <c r="L47" i="85"/>
  <c r="F26" i="85"/>
  <c r="F40" i="84"/>
  <c r="M6" i="85"/>
  <c r="M26" i="84"/>
  <c r="F26" i="84"/>
  <c r="M22" i="83"/>
  <c r="M23" i="84"/>
  <c r="M9" i="84"/>
  <c r="F8" i="84"/>
  <c r="M9" i="83"/>
  <c r="F7" i="84"/>
  <c r="F8" i="85"/>
  <c r="F42" i="83"/>
  <c r="L47" i="83"/>
  <c r="M26" i="85"/>
  <c r="F37" i="84"/>
  <c r="F36" i="83"/>
  <c r="M24" i="83"/>
  <c r="F40" i="83"/>
  <c r="F16" i="83"/>
  <c r="M23" i="85"/>
  <c r="F9" i="83"/>
  <c r="F6" i="85"/>
  <c r="F38" i="85"/>
  <c r="F36" i="85"/>
  <c r="M28" i="84"/>
  <c r="J15" i="85"/>
  <c r="F38" i="83"/>
  <c r="J15" i="83"/>
  <c r="M6" i="83"/>
  <c r="F13" i="85"/>
  <c r="M24" i="84"/>
  <c r="F37" i="83"/>
  <c r="F13" i="83"/>
  <c r="M8" i="85"/>
  <c r="F9" i="84"/>
  <c r="F16" i="84"/>
  <c r="M8" i="84"/>
  <c r="M6" i="84"/>
  <c r="M22" i="84"/>
  <c r="F42" i="84"/>
  <c r="F8" i="83"/>
  <c r="Y27" i="1" l="1"/>
  <c r="Y29" i="1" s="1"/>
  <c r="V29" i="1"/>
  <c r="H68" i="86"/>
  <c r="H65" i="86"/>
  <c r="H62" i="86"/>
  <c r="H69" i="86"/>
  <c r="H63" i="86"/>
  <c r="H66" i="86"/>
  <c r="H67" i="86"/>
  <c r="H64" i="86"/>
  <c r="H61" i="86"/>
  <c r="G21" i="86"/>
  <c r="C20" i="86" s="1"/>
  <c r="C5" i="86" s="1"/>
  <c r="F66" i="85"/>
  <c r="F51" i="85"/>
  <c r="C27" i="85"/>
  <c r="F64" i="85"/>
  <c r="F65" i="85"/>
  <c r="F68" i="85"/>
  <c r="C6" i="84"/>
  <c r="F64" i="84"/>
  <c r="F66" i="84"/>
  <c r="C27" i="84"/>
  <c r="F68" i="84"/>
  <c r="F65" i="84"/>
  <c r="M7" i="84"/>
  <c r="J6" i="84" s="1"/>
  <c r="F50" i="84"/>
  <c r="F51" i="84"/>
  <c r="F66" i="83"/>
  <c r="F64" i="83"/>
  <c r="F68" i="83"/>
  <c r="F51" i="83"/>
  <c r="C27" i="83"/>
  <c r="F65" i="83"/>
  <c r="X29" i="1" l="1"/>
  <c r="U6" i="1" s="1"/>
  <c r="D5" i="86"/>
  <c r="C49" i="84"/>
  <c r="S12" i="80"/>
  <c r="S28" i="80"/>
  <c r="S37" i="80"/>
  <c r="A6" i="80"/>
  <c r="S19" i="80"/>
  <c r="S44" i="80"/>
  <c r="O124" i="80"/>
  <c r="K46" i="80"/>
  <c r="G59" i="80"/>
  <c r="C56" i="80"/>
  <c r="U13" i="3" l="1"/>
  <c r="G21" i="6" s="1"/>
  <c r="D42" i="43" s="1"/>
  <c r="C210" i="8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10" i="1" l="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B5" i="3" s="1"/>
  <c r="BC13" i="3"/>
  <c r="BD13" i="3"/>
  <c r="BE13" i="3"/>
  <c r="BF13" i="3"/>
  <c r="BF5" i="3" s="1"/>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AZ17" i="3" s="1"/>
  <c r="BT5" i="3"/>
  <c r="AZ350" i="3"/>
  <c r="AZ352" i="3"/>
  <c r="AZ356" i="3"/>
  <c r="AZ360" i="3"/>
  <c r="AZ364" i="3"/>
  <c r="AZ368" i="3"/>
  <c r="BA15" i="3"/>
  <c r="AZ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AD3" i="71"/>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L48" i="67"/>
  <c r="E2" i="68"/>
  <c r="M24" i="15"/>
  <c r="M29" i="83"/>
  <c r="E12" i="76"/>
  <c r="J15" i="15"/>
  <c r="F16" i="15"/>
  <c r="F43" i="15"/>
  <c r="M26" i="15"/>
  <c r="F43" i="83"/>
  <c r="F38" i="15"/>
  <c r="F6" i="73"/>
  <c r="F3" i="73"/>
  <c r="F36" i="67"/>
  <c r="L48" i="85"/>
  <c r="B9" i="76"/>
  <c r="F13" i="15"/>
  <c r="E11" i="76"/>
  <c r="L47" i="67"/>
  <c r="F6" i="15"/>
  <c r="E2" i="69"/>
  <c r="M29" i="84"/>
  <c r="M23" i="67"/>
  <c r="B12" i="76"/>
  <c r="F5" i="73"/>
  <c r="AO13" i="1"/>
  <c r="J15" i="67"/>
  <c r="F7" i="83"/>
  <c r="M6" i="15"/>
  <c r="F40" i="67"/>
  <c r="L47" i="15"/>
  <c r="E13" i="76"/>
  <c r="E10" i="76"/>
  <c r="B11" i="76"/>
  <c r="M9" i="15"/>
  <c r="M29" i="15"/>
  <c r="M29" i="67"/>
  <c r="F43" i="67"/>
  <c r="M22" i="67"/>
  <c r="F20" i="31"/>
  <c r="L48" i="83"/>
  <c r="B13" i="76"/>
  <c r="M8" i="15"/>
  <c r="F9" i="15"/>
  <c r="F7" i="15"/>
  <c r="F8" i="15"/>
  <c r="F42" i="67"/>
  <c r="F7" i="85"/>
  <c r="F4" i="73"/>
  <c r="E8" i="76"/>
  <c r="M9" i="67"/>
  <c r="F6" i="67"/>
  <c r="M26" i="67"/>
  <c r="F16" i="67"/>
  <c r="B8" i="76"/>
  <c r="M6" i="67"/>
  <c r="E9" i="76"/>
  <c r="F7" i="67"/>
  <c r="F26" i="67"/>
  <c r="M29" i="85"/>
  <c r="F38" i="67"/>
  <c r="M22" i="15"/>
  <c r="F42" i="15"/>
  <c r="F43" i="85"/>
  <c r="M28" i="15"/>
  <c r="M24" i="67"/>
  <c r="F37" i="67"/>
  <c r="F7" i="73"/>
  <c r="F8" i="67"/>
  <c r="C76" i="67"/>
  <c r="C76" i="15"/>
  <c r="M28" i="67"/>
  <c r="F36" i="15"/>
  <c r="F9" i="67"/>
  <c r="M23" i="15"/>
  <c r="F26" i="15"/>
  <c r="F40" i="15"/>
  <c r="B10" i="76"/>
  <c r="F37" i="15"/>
  <c r="F43" i="84"/>
  <c r="F13" i="67"/>
  <c r="L58" i="83" l="1"/>
  <c r="L58" i="85"/>
  <c r="F11" i="1"/>
  <c r="G11" i="1" s="1"/>
  <c r="G44" i="86"/>
  <c r="C44" i="86" s="1"/>
  <c r="G44" i="43"/>
  <c r="G23" i="86"/>
  <c r="J51" i="84"/>
  <c r="J51" i="85"/>
  <c r="L60" i="85" s="1"/>
  <c r="J51" i="83"/>
  <c r="L60" i="83" s="1"/>
  <c r="G7" i="1"/>
  <c r="I24" i="86"/>
  <c r="C24" i="86" s="1"/>
  <c r="C28" i="84"/>
  <c r="C28" i="85"/>
  <c r="C28" i="83"/>
  <c r="C33" i="84"/>
  <c r="C32" i="84"/>
  <c r="J19" i="84"/>
  <c r="J18" i="84"/>
  <c r="C61" i="84"/>
  <c r="C24" i="12"/>
  <c r="J1" i="73"/>
  <c r="C28" i="67"/>
  <c r="F6" i="1"/>
  <c r="G9" i="1"/>
  <c r="G5" i="3"/>
  <c r="B3" i="3" s="1"/>
  <c r="E167" i="3" s="1"/>
  <c r="F71" i="83"/>
  <c r="M7" i="83"/>
  <c r="J6" i="83" s="1"/>
  <c r="F50" i="83"/>
  <c r="C49" i="83" s="1"/>
  <c r="C61" i="83" s="1"/>
  <c r="C6" i="85"/>
  <c r="M7" i="85"/>
  <c r="J6" i="85" s="1"/>
  <c r="F50" i="85"/>
  <c r="C49" i="85" s="1"/>
  <c r="C61" i="85" s="1"/>
  <c r="F71" i="85"/>
  <c r="F71" i="84"/>
  <c r="M7" i="1"/>
  <c r="M9" i="1"/>
  <c r="M8" i="1"/>
  <c r="E287" i="3"/>
  <c r="E381" i="3"/>
  <c r="E64" i="3"/>
  <c r="E76" i="3"/>
  <c r="E21" i="3"/>
  <c r="E154" i="3"/>
  <c r="E87" i="3"/>
  <c r="E34" i="3"/>
  <c r="E386" i="3"/>
  <c r="E266" i="3"/>
  <c r="E65" i="3"/>
  <c r="E47" i="3"/>
  <c r="E58" i="3"/>
  <c r="E349" i="3"/>
  <c r="E95" i="3"/>
  <c r="E417" i="3"/>
  <c r="E329" i="3"/>
  <c r="E16" i="3"/>
  <c r="E116" i="3"/>
  <c r="E105" i="3"/>
  <c r="E564" i="3"/>
  <c r="E543" i="3"/>
  <c r="E507" i="3"/>
  <c r="E422" i="3"/>
  <c r="E376" i="3"/>
  <c r="AH6" i="3"/>
  <c r="E419" i="3"/>
  <c r="E483" i="3"/>
  <c r="E40" i="3"/>
  <c r="E25" i="3"/>
  <c r="E178" i="3"/>
  <c r="E119" i="3"/>
  <c r="E20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36" i="3"/>
  <c r="E148" i="3"/>
  <c r="E212" i="3"/>
  <c r="E199" i="3"/>
  <c r="E286" i="3"/>
  <c r="E575" i="3"/>
  <c r="E499" i="3"/>
  <c r="R6" i="3"/>
  <c r="E502" i="3"/>
  <c r="E442"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90" i="3"/>
  <c r="E436" i="3"/>
  <c r="E460" i="3"/>
  <c r="E582" i="3"/>
  <c r="E566" i="3"/>
  <c r="E459" i="3"/>
  <c r="E398" i="3"/>
  <c r="E464" i="3"/>
  <c r="AD6" i="3"/>
  <c r="E149" i="3"/>
  <c r="E435" i="3"/>
  <c r="E554" i="3"/>
  <c r="I3" i="6"/>
  <c r="E449" i="3"/>
  <c r="E541" i="3"/>
  <c r="E421" i="3"/>
  <c r="E312" i="3"/>
  <c r="E244" i="3"/>
  <c r="E504" i="3"/>
  <c r="E378" i="3"/>
  <c r="E259" i="3"/>
  <c r="E240" i="3"/>
  <c r="E187" i="3"/>
  <c r="E57" i="3"/>
  <c r="E39" i="3"/>
  <c r="E520" i="3"/>
  <c r="E413" i="3"/>
  <c r="E500" i="3"/>
  <c r="E374" i="3"/>
  <c r="E416" i="3"/>
  <c r="E487" i="3"/>
  <c r="E552" i="3"/>
  <c r="E141" i="3"/>
  <c r="E165" i="3"/>
  <c r="BA5" i="3"/>
  <c r="H50" i="43"/>
  <c r="H69" i="43"/>
  <c r="H67" i="43"/>
  <c r="F8" i="1"/>
  <c r="C21" i="68"/>
  <c r="C40" i="69"/>
  <c r="G28" i="6"/>
  <c r="B13" i="53"/>
  <c r="B2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J25" i="1" s="1"/>
  <c r="L25" i="1"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B20" i="31"/>
  <c r="B21" i="31" s="1"/>
  <c r="I1" i="73"/>
  <c r="B39" i="1" s="1"/>
  <c r="F51" i="67"/>
  <c r="F65" i="67"/>
  <c r="J53" i="67"/>
  <c r="J57" i="67"/>
  <c r="J55" i="67" s="1"/>
  <c r="J58" i="67" s="1"/>
  <c r="Q50" i="67" s="1"/>
  <c r="L56" i="67"/>
  <c r="I54" i="67"/>
  <c r="M7" i="15"/>
  <c r="J6" i="15" s="1"/>
  <c r="F50" i="15"/>
  <c r="F51" i="15"/>
  <c r="F71" i="15"/>
  <c r="C6" i="15"/>
  <c r="F66" i="67"/>
  <c r="L59" i="15"/>
  <c r="N59" i="15"/>
  <c r="M59" i="15"/>
  <c r="F66" i="15"/>
  <c r="Q71" i="67"/>
  <c r="F64" i="15"/>
  <c r="C27" i="67"/>
  <c r="F71" i="67"/>
  <c r="C27" i="15"/>
  <c r="F65" i="15"/>
  <c r="N59" i="67"/>
  <c r="L59" i="67"/>
  <c r="L58" i="67"/>
  <c r="M59" i="67"/>
  <c r="B13" i="70"/>
  <c r="M7" i="67"/>
  <c r="J6" i="67" s="1"/>
  <c r="F50" i="67"/>
  <c r="F68" i="67"/>
  <c r="F64" i="67"/>
  <c r="F68" i="15"/>
  <c r="C36" i="68"/>
  <c r="D9" i="69"/>
  <c r="F27" i="69"/>
  <c r="C36" i="69"/>
  <c r="D9" i="68"/>
  <c r="C16" i="83"/>
  <c r="L48" i="84"/>
  <c r="D6" i="73"/>
  <c r="C16" i="15"/>
  <c r="D4" i="73"/>
  <c r="D5" i="73"/>
  <c r="D7" i="73"/>
  <c r="C16" i="84"/>
  <c r="C16" i="85"/>
  <c r="L48" i="15"/>
  <c r="C16" i="67"/>
  <c r="D3" i="73"/>
  <c r="J7" i="36" l="1"/>
  <c r="L56" i="84"/>
  <c r="L58" i="84"/>
  <c r="L60" i="84"/>
  <c r="L57" i="84"/>
  <c r="K1" i="73"/>
  <c r="J57" i="15"/>
  <c r="J55" i="15" s="1"/>
  <c r="J58" i="15" s="1"/>
  <c r="Q50" i="15" s="1"/>
  <c r="I54" i="15"/>
  <c r="L58" i="15"/>
  <c r="Q73" i="15" s="1"/>
  <c r="J53" i="15"/>
  <c r="L56" i="15" s="1"/>
  <c r="Q66" i="85"/>
  <c r="Q57" i="85"/>
  <c r="Q66" i="83"/>
  <c r="Q57" i="83"/>
  <c r="G8" i="1"/>
  <c r="J57" i="83"/>
  <c r="J55" i="83" s="1"/>
  <c r="J58" i="83" s="1"/>
  <c r="Q50" i="83" s="1"/>
  <c r="N59" i="83"/>
  <c r="I54" i="83"/>
  <c r="M59" i="83"/>
  <c r="L59" i="83"/>
  <c r="J53" i="83"/>
  <c r="Q73" i="85"/>
  <c r="Q60" i="85"/>
  <c r="Q73" i="83"/>
  <c r="Q60" i="83"/>
  <c r="J57" i="85"/>
  <c r="J55" i="85" s="1"/>
  <c r="J58" i="85" s="1"/>
  <c r="Q50" i="85" s="1"/>
  <c r="M59" i="85"/>
  <c r="I54" i="85"/>
  <c r="L59" i="85"/>
  <c r="J53" i="85"/>
  <c r="N59" i="85"/>
  <c r="L57" i="85"/>
  <c r="L56" i="83"/>
  <c r="P26" i="86"/>
  <c r="P28" i="86"/>
  <c r="O23" i="86"/>
  <c r="C23" i="86"/>
  <c r="P25" i="86"/>
  <c r="P29" i="86"/>
  <c r="P27" i="86"/>
  <c r="M24" i="86"/>
  <c r="J7" i="37"/>
  <c r="G6" i="1"/>
  <c r="I24" i="43"/>
  <c r="C24" i="43" s="1"/>
  <c r="N59" i="84"/>
  <c r="I54" i="84"/>
  <c r="M59" i="84"/>
  <c r="J57" i="84"/>
  <c r="J55" i="84" s="1"/>
  <c r="J58" i="84" s="1"/>
  <c r="Q50" i="84" s="1"/>
  <c r="J53" i="84"/>
  <c r="L59" i="84"/>
  <c r="L56" i="85"/>
  <c r="L57" i="83"/>
  <c r="E463" i="3"/>
  <c r="E498" i="3"/>
  <c r="E490" i="3"/>
  <c r="E486" i="3"/>
  <c r="E493" i="3"/>
  <c r="E223" i="3"/>
  <c r="E510" i="3"/>
  <c r="E155" i="3"/>
  <c r="E488" i="3"/>
  <c r="E195" i="3"/>
  <c r="E584" i="3"/>
  <c r="E251" i="3"/>
  <c r="E479" i="3"/>
  <c r="E103" i="3"/>
  <c r="E258" i="3"/>
  <c r="E242" i="3"/>
  <c r="E108" i="3"/>
  <c r="E401" i="3"/>
  <c r="J6" i="3"/>
  <c r="E440" i="3"/>
  <c r="E427" i="3"/>
  <c r="E393" i="3"/>
  <c r="E188" i="3"/>
  <c r="E255" i="3"/>
  <c r="E241" i="3"/>
  <c r="E521" i="3"/>
  <c r="E248" i="3"/>
  <c r="E84" i="3"/>
  <c r="E80" i="3"/>
  <c r="E131" i="3"/>
  <c r="E48" i="3"/>
  <c r="E98" i="3"/>
  <c r="E24" i="3"/>
  <c r="E184" i="3"/>
  <c r="E373" i="3"/>
  <c r="E375" i="3"/>
  <c r="E300" i="3"/>
  <c r="E466" i="3"/>
  <c r="E138" i="3"/>
  <c r="E310" i="3"/>
  <c r="E144" i="3"/>
  <c r="E102" i="3"/>
  <c r="E323" i="3"/>
  <c r="E517" i="3"/>
  <c r="E389" i="3"/>
  <c r="E163" i="3"/>
  <c r="AF6" i="3"/>
  <c r="E484" i="3"/>
  <c r="E341" i="3"/>
  <c r="E264" i="3"/>
  <c r="E542" i="3"/>
  <c r="E192" i="3"/>
  <c r="E409" i="3"/>
  <c r="E142" i="3"/>
  <c r="E23" i="3"/>
  <c r="E232" i="3"/>
  <c r="E19" i="3"/>
  <c r="E513" i="3"/>
  <c r="E56" i="3"/>
  <c r="E110" i="3"/>
  <c r="E209" i="3"/>
  <c r="E81" i="3"/>
  <c r="E200" i="3"/>
  <c r="E68" i="3"/>
  <c r="E308" i="3"/>
  <c r="AP6" i="3"/>
  <c r="E292" i="3"/>
  <c r="E425" i="3"/>
  <c r="E267" i="3"/>
  <c r="E86" i="3"/>
  <c r="E284" i="3"/>
  <c r="E118" i="3"/>
  <c r="E83" i="3"/>
  <c r="E152" i="3"/>
  <c r="E462" i="3"/>
  <c r="E35" i="3"/>
  <c r="E22" i="3"/>
  <c r="E249" i="3"/>
  <c r="E179" i="3"/>
  <c r="E206" i="3"/>
  <c r="E158" i="3"/>
  <c r="E250" i="3"/>
  <c r="E233" i="3"/>
  <c r="Y6" i="3"/>
  <c r="H6" i="3" s="1"/>
  <c r="E348" i="3"/>
  <c r="E446" i="3"/>
  <c r="E354" i="3"/>
  <c r="E355" i="3"/>
  <c r="E222" i="3"/>
  <c r="E297" i="3"/>
  <c r="E113" i="3"/>
  <c r="E283" i="3"/>
  <c r="E363" i="3"/>
  <c r="E37" i="3"/>
  <c r="E49" i="3"/>
  <c r="E307" i="3"/>
  <c r="E33" i="3"/>
  <c r="E51" i="3"/>
  <c r="E309" i="3"/>
  <c r="E430" i="3"/>
  <c r="E66" i="3"/>
  <c r="E467" i="3"/>
  <c r="E544" i="3"/>
  <c r="E63" i="3"/>
  <c r="E132" i="3"/>
  <c r="E160" i="3"/>
  <c r="E82" i="3"/>
  <c r="E67" i="3"/>
  <c r="E46" i="3"/>
  <c r="E491" i="3"/>
  <c r="E127" i="3"/>
  <c r="E326" i="3"/>
  <c r="E371" i="3"/>
  <c r="E370" i="3"/>
  <c r="E59" i="3"/>
  <c r="E492" i="3"/>
  <c r="J18" i="83"/>
  <c r="J19" i="83"/>
  <c r="O7" i="1"/>
  <c r="P7" i="1" s="1"/>
  <c r="J18" i="85"/>
  <c r="J19" i="85"/>
  <c r="C33" i="85"/>
  <c r="C32" i="85"/>
  <c r="M11" i="85"/>
  <c r="J10" i="85" s="1"/>
  <c r="J5" i="85" s="1"/>
  <c r="F11" i="85"/>
  <c r="M11" i="84"/>
  <c r="J10" i="84" s="1"/>
  <c r="J5" i="84" s="1"/>
  <c r="F11" i="84"/>
  <c r="M11" i="83"/>
  <c r="J10" i="83" s="1"/>
  <c r="J5" i="83" s="1"/>
  <c r="F11" i="83"/>
  <c r="F7" i="36"/>
  <c r="S7" i="36" s="1"/>
  <c r="H7" i="36"/>
  <c r="AB7" i="36" s="1"/>
  <c r="T36" i="36" s="1"/>
  <c r="G36" i="36" s="1"/>
  <c r="D18" i="53"/>
  <c r="B35" i="72" s="1"/>
  <c r="C7" i="74"/>
  <c r="E61" i="43"/>
  <c r="B59" i="43" s="1"/>
  <c r="C28" i="43" s="1"/>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J24" i="1" s="1"/>
  <c r="L24" i="1" s="1"/>
  <c r="L23" i="1" s="1"/>
  <c r="E51" i="40"/>
  <c r="E16" i="6"/>
  <c r="AC6" i="3"/>
  <c r="E58" i="40"/>
  <c r="E62" i="39"/>
  <c r="AY6" i="3"/>
  <c r="E3" i="6"/>
  <c r="M14" i="1"/>
  <c r="D5" i="43"/>
  <c r="C7" i="43"/>
  <c r="C5" i="43" s="1"/>
  <c r="D10" i="52"/>
  <c r="D125" i="9"/>
  <c r="D11" i="52" s="1"/>
  <c r="B7" i="74"/>
  <c r="F59" i="67"/>
  <c r="H7" i="37"/>
  <c r="AB7" i="37" s="1"/>
  <c r="T42" i="37" s="1"/>
  <c r="G42" i="37" s="1"/>
  <c r="H7" i="33"/>
  <c r="J7" i="33"/>
  <c r="D65" i="40"/>
  <c r="E63" i="40"/>
  <c r="F48" i="35"/>
  <c r="AC7" i="37"/>
  <c r="V42" i="37" s="1"/>
  <c r="I42" i="37" s="1"/>
  <c r="W7" i="37"/>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1" i="67"/>
  <c r="Q74" i="67"/>
  <c r="Q74" i="15"/>
  <c r="Q61" i="15"/>
  <c r="AE11" i="1"/>
  <c r="F27" i="68"/>
  <c r="AE12" i="1"/>
  <c r="AE10" i="1"/>
  <c r="F41" i="67"/>
  <c r="G1" i="73"/>
  <c r="AE6" i="1"/>
  <c r="Q60" i="15" l="1"/>
  <c r="B40" i="1"/>
  <c r="L36" i="86" s="1"/>
  <c r="N36" i="86" s="1"/>
  <c r="Q52" i="84"/>
  <c r="F1" i="84"/>
  <c r="Q61" i="85"/>
  <c r="Q74" i="85"/>
  <c r="Q61" i="83"/>
  <c r="Q74" i="83"/>
  <c r="Q57" i="84"/>
  <c r="Q66" i="84"/>
  <c r="T6" i="86"/>
  <c r="V6" i="86" s="1"/>
  <c r="T4" i="86"/>
  <c r="V4" i="86" s="1"/>
  <c r="T15" i="86"/>
  <c r="V15" i="86" s="1"/>
  <c r="T8" i="86"/>
  <c r="V8" i="86" s="1"/>
  <c r="T7" i="86"/>
  <c r="V7" i="86" s="1"/>
  <c r="T14" i="86"/>
  <c r="V14" i="86" s="1"/>
  <c r="T16" i="86"/>
  <c r="V16" i="86" s="1"/>
  <c r="T2" i="86"/>
  <c r="V2" i="86" s="1"/>
  <c r="T13" i="86"/>
  <c r="V13" i="86" s="1"/>
  <c r="T10" i="86"/>
  <c r="V10" i="86" s="1"/>
  <c r="T11" i="86"/>
  <c r="V11" i="86" s="1"/>
  <c r="T12" i="86"/>
  <c r="V12" i="86" s="1"/>
  <c r="T5" i="86"/>
  <c r="V5" i="86" s="1"/>
  <c r="T9" i="86"/>
  <c r="V9" i="86" s="1"/>
  <c r="T3" i="86"/>
  <c r="V3" i="86" s="1"/>
  <c r="C39" i="86"/>
  <c r="C40" i="86"/>
  <c r="C41" i="86"/>
  <c r="C42" i="86"/>
  <c r="C37" i="86"/>
  <c r="C38" i="86"/>
  <c r="Q52" i="83"/>
  <c r="F1" i="83"/>
  <c r="U7" i="36"/>
  <c r="AA7" i="36"/>
  <c r="R36" i="36" s="1"/>
  <c r="G16" i="1"/>
  <c r="Q73" i="84"/>
  <c r="Q60" i="84"/>
  <c r="Q61" i="84"/>
  <c r="Q74" i="84"/>
  <c r="F1" i="85"/>
  <c r="Q52" i="85"/>
  <c r="E65" i="39"/>
  <c r="O36" i="86"/>
  <c r="C53" i="85"/>
  <c r="C48" i="85" s="1"/>
  <c r="C10" i="85"/>
  <c r="C5" i="85" s="1"/>
  <c r="J24" i="85"/>
  <c r="J26" i="85"/>
  <c r="C53" i="84"/>
  <c r="C48" i="84" s="1"/>
  <c r="C10" i="84"/>
  <c r="C5" i="84" s="1"/>
  <c r="J24" i="84"/>
  <c r="J26" i="84"/>
  <c r="C53" i="83"/>
  <c r="C48" i="83" s="1"/>
  <c r="J24" i="83"/>
  <c r="J26" i="83"/>
  <c r="J23" i="1"/>
  <c r="K23" i="1" s="1"/>
  <c r="E69" i="39"/>
  <c r="AC7" i="34"/>
  <c r="V49" i="34" s="1"/>
  <c r="I49" i="34" s="1"/>
  <c r="I53" i="34" s="1"/>
  <c r="J53" i="34" s="1"/>
  <c r="U7" i="34"/>
  <c r="AA7" i="34"/>
  <c r="R49" i="34"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85"/>
  <c r="M27" i="15"/>
  <c r="C17" i="84"/>
  <c r="AE7" i="1"/>
  <c r="AE9" i="1"/>
  <c r="AE8" i="1"/>
  <c r="F41" i="84" s="1"/>
  <c r="M27" i="83"/>
  <c r="F41" i="15"/>
  <c r="M27" i="84"/>
  <c r="M27" i="67"/>
  <c r="F24" i="83" l="1"/>
  <c r="C24" i="83" s="1"/>
  <c r="L36" i="43"/>
  <c r="P36" i="43" s="1"/>
  <c r="F24" i="84"/>
  <c r="C24" i="84" s="1"/>
  <c r="M36" i="86"/>
  <c r="Q36" i="86"/>
  <c r="L37" i="43"/>
  <c r="M37" i="43" s="1"/>
  <c r="F24" i="85"/>
  <c r="C24" i="85" s="1"/>
  <c r="L37" i="86"/>
  <c r="P37" i="86" s="1"/>
  <c r="P36" i="86"/>
  <c r="G42" i="86"/>
  <c r="I42" i="86" s="1"/>
  <c r="E42" i="86"/>
  <c r="F10" i="39"/>
  <c r="J10" i="39"/>
  <c r="F10" i="40"/>
  <c r="J10" i="40"/>
  <c r="H10" i="40"/>
  <c r="H10" i="39"/>
  <c r="E41" i="86"/>
  <c r="G41" i="86"/>
  <c r="I41" i="86" s="1"/>
  <c r="G54" i="34"/>
  <c r="H54" i="34" s="1"/>
  <c r="E38" i="86"/>
  <c r="G38" i="86"/>
  <c r="I38" i="86" s="1"/>
  <c r="E40" i="86"/>
  <c r="G40" i="86"/>
  <c r="I40" i="86" s="1"/>
  <c r="E37" i="86"/>
  <c r="G37" i="86"/>
  <c r="I37" i="86" s="1"/>
  <c r="G39" i="86"/>
  <c r="I39" i="86" s="1"/>
  <c r="E39" i="86"/>
  <c r="C34" i="86"/>
  <c r="E34" i="86" s="1"/>
  <c r="C31" i="86" s="1"/>
  <c r="B14" i="74"/>
  <c r="B1" i="74" s="1"/>
  <c r="E8" i="70"/>
  <c r="F69" i="84"/>
  <c r="J29" i="84"/>
  <c r="O36" i="43"/>
  <c r="N36" i="43"/>
  <c r="C66" i="85"/>
  <c r="C60" i="85"/>
  <c r="C38" i="85"/>
  <c r="C66" i="84"/>
  <c r="C60" i="84"/>
  <c r="C38" i="84"/>
  <c r="C66" i="83"/>
  <c r="C60" i="83"/>
  <c r="J26" i="1"/>
  <c r="L26" i="1" s="1"/>
  <c r="J27" i="1"/>
  <c r="L27" i="1" s="1"/>
  <c r="K29" i="1" s="1"/>
  <c r="K22" i="1" s="1"/>
  <c r="P37" i="43"/>
  <c r="M21" i="6"/>
  <c r="I21" i="6" s="1"/>
  <c r="S21" i="6" s="1"/>
  <c r="E6" i="70"/>
  <c r="F69" i="15"/>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F41" i="85"/>
  <c r="C14" i="67"/>
  <c r="F41" i="83"/>
  <c r="C17" i="85"/>
  <c r="C17" i="15"/>
  <c r="C17" i="67"/>
  <c r="C14" i="84"/>
  <c r="C17" i="83"/>
  <c r="N37" i="43" l="1"/>
  <c r="M36" i="43"/>
  <c r="Q36" i="43"/>
  <c r="F69" i="83"/>
  <c r="J29" i="83"/>
  <c r="J29" i="85"/>
  <c r="F69" i="85"/>
  <c r="Q37" i="86"/>
  <c r="O37" i="43"/>
  <c r="Q37" i="43"/>
  <c r="M37" i="86"/>
  <c r="N37" i="86"/>
  <c r="O37" i="86"/>
  <c r="C30" i="86"/>
  <c r="B2" i="86" s="1"/>
  <c r="B3" i="86" s="1"/>
  <c r="U10" i="39"/>
  <c r="AB10" i="39"/>
  <c r="W10" i="39"/>
  <c r="AC10" i="39"/>
  <c r="AB10" i="40"/>
  <c r="U10" i="40"/>
  <c r="S10" i="39"/>
  <c r="AA10" i="39"/>
  <c r="AC10" i="40"/>
  <c r="W10" i="40"/>
  <c r="S10" i="40"/>
  <c r="AA10" i="40"/>
  <c r="H24" i="6"/>
  <c r="H21" i="6"/>
  <c r="C15" i="84"/>
  <c r="C18" i="84"/>
  <c r="C14" i="74"/>
  <c r="B2" i="74" s="1"/>
  <c r="D7" i="74" s="1"/>
  <c r="E7" i="70"/>
  <c r="D30" i="6"/>
  <c r="C25" i="11"/>
  <c r="C22" i="11" s="1"/>
  <c r="C31" i="11" s="1"/>
  <c r="H25" i="6"/>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C14" i="83"/>
  <c r="B7" i="76"/>
  <c r="C14" i="15"/>
  <c r="F35" i="85"/>
  <c r="M21" i="85"/>
  <c r="F35" i="84"/>
  <c r="C14" i="85"/>
  <c r="M21" i="84"/>
  <c r="C19" i="84" l="1"/>
  <c r="C20" i="84" s="1"/>
  <c r="C18" i="83"/>
  <c r="C15" i="83"/>
  <c r="C18" i="85"/>
  <c r="C15" i="85"/>
  <c r="J20" i="85"/>
  <c r="J17" i="85" s="1"/>
  <c r="C34" i="85"/>
  <c r="C31" i="85" s="1"/>
  <c r="F63" i="85"/>
  <c r="C62" i="85" s="1"/>
  <c r="C59" i="85" s="1"/>
  <c r="J20" i="84"/>
  <c r="J17" i="84" s="1"/>
  <c r="F63" i="84"/>
  <c r="C62" i="84" s="1"/>
  <c r="C59" i="84" s="1"/>
  <c r="C34" i="84"/>
  <c r="C31" i="84" s="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J48" i="35"/>
  <c r="C19" i="83" l="1"/>
  <c r="C26" i="84"/>
  <c r="C23" i="84"/>
  <c r="C19" i="85"/>
  <c r="C20" i="85" s="1"/>
  <c r="G3" i="86"/>
  <c r="G3" i="43"/>
  <c r="C20" i="83"/>
  <c r="C23" i="83" s="1"/>
  <c r="F7" i="21"/>
  <c r="S7" i="21" s="1"/>
  <c r="J7" i="21"/>
  <c r="AC7" i="21" s="1"/>
  <c r="V48" i="21" s="1"/>
  <c r="I48" i="21" s="1"/>
  <c r="D7" i="71"/>
  <c r="C6" i="7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C29" i="84" l="1"/>
  <c r="C26" i="85"/>
  <c r="C23" i="85"/>
  <c r="E26" i="86"/>
  <c r="J26" i="86"/>
  <c r="G26" i="86"/>
  <c r="B116" i="86"/>
  <c r="H26" i="86"/>
  <c r="F26" i="86"/>
  <c r="Z7" i="86"/>
  <c r="C26" i="83"/>
  <c r="C29" i="83" s="1"/>
  <c r="J26" i="43"/>
  <c r="H26" i="43"/>
  <c r="N370" i="46"/>
  <c r="E26" i="43"/>
  <c r="N94" i="46"/>
  <c r="G26" i="43"/>
  <c r="B116" i="43"/>
  <c r="F26" i="43"/>
  <c r="Z7" i="43"/>
  <c r="C39" i="68"/>
  <c r="C46" i="68" s="1"/>
  <c r="C45" i="68" s="1"/>
  <c r="C91" i="9"/>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F35" i="67"/>
  <c r="F35" i="15"/>
  <c r="M21" i="67"/>
  <c r="M21" i="15"/>
  <c r="F35" i="83"/>
  <c r="M21" i="83"/>
  <c r="C29" i="85" l="1"/>
  <c r="C36" i="85" s="1"/>
  <c r="C13" i="84"/>
  <c r="J59" i="84"/>
  <c r="J60" i="84" s="1"/>
  <c r="C57" i="84"/>
  <c r="C64" i="84" s="1"/>
  <c r="J14" i="84"/>
  <c r="Q49" i="84"/>
  <c r="C36" i="84"/>
  <c r="C43" i="68"/>
  <c r="C41" i="68" s="1"/>
  <c r="C49" i="68" s="1"/>
  <c r="C51" i="68" s="1"/>
  <c r="Q49" i="83"/>
  <c r="C13" i="83"/>
  <c r="C57" i="83"/>
  <c r="C64" i="83" s="1"/>
  <c r="J59" i="83"/>
  <c r="J60" i="83" s="1"/>
  <c r="C36" i="83"/>
  <c r="J14" i="83"/>
  <c r="D26" i="86"/>
  <c r="C25" i="86" s="1"/>
  <c r="B119" i="43"/>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D26" i="43"/>
  <c r="C25" i="43" s="1"/>
  <c r="I120" i="86"/>
  <c r="J120" i="86" s="1"/>
  <c r="K120" i="86" s="1"/>
  <c r="L120" i="86" s="1"/>
  <c r="M120" i="86" s="1"/>
  <c r="D121" i="86"/>
  <c r="E121" i="86" s="1"/>
  <c r="F121" i="86" s="1"/>
  <c r="G121" i="86"/>
  <c r="H121" i="86" s="1"/>
  <c r="B119" i="86"/>
  <c r="C119" i="86" s="1"/>
  <c r="I119" i="86"/>
  <c r="J119" i="86" s="1"/>
  <c r="K119" i="86" s="1"/>
  <c r="L119" i="86" s="1"/>
  <c r="M119" i="86" s="1"/>
  <c r="D120" i="86"/>
  <c r="E120" i="86" s="1"/>
  <c r="F120" i="86" s="1"/>
  <c r="G120" i="86" s="1"/>
  <c r="H120" i="86" s="1"/>
  <c r="B122" i="86"/>
  <c r="C122" i="86" s="1"/>
  <c r="B118" i="86"/>
  <c r="I122" i="86"/>
  <c r="J122" i="86" s="1"/>
  <c r="K122" i="86" s="1"/>
  <c r="L122" i="86" s="1"/>
  <c r="M122" i="86" s="1"/>
  <c r="I118" i="86"/>
  <c r="J118" i="86" s="1"/>
  <c r="K118" i="86" s="1"/>
  <c r="L118" i="86" s="1"/>
  <c r="M118" i="86" s="1"/>
  <c r="D119" i="86"/>
  <c r="E119" i="86" s="1"/>
  <c r="F119" i="86" s="1"/>
  <c r="G119" i="86" s="1"/>
  <c r="H119" i="86" s="1"/>
  <c r="B121" i="86"/>
  <c r="C121" i="86" s="1"/>
  <c r="I121" i="86"/>
  <c r="J121" i="86" s="1"/>
  <c r="K121" i="86" s="1"/>
  <c r="L121" i="86" s="1"/>
  <c r="M121" i="86" s="1"/>
  <c r="D122" i="86"/>
  <c r="E122" i="86" s="1"/>
  <c r="F122" i="86" s="1"/>
  <c r="G122" i="86" s="1"/>
  <c r="H122" i="86" s="1"/>
  <c r="D118" i="86"/>
  <c r="E118" i="86" s="1"/>
  <c r="F118" i="86" s="1"/>
  <c r="G118" i="86" s="1"/>
  <c r="H118" i="86" s="1"/>
  <c r="B120" i="86"/>
  <c r="C120" i="86" s="1"/>
  <c r="C94" i="9"/>
  <c r="C92" i="9"/>
  <c r="J20" i="83"/>
  <c r="J17" i="83" s="1"/>
  <c r="C34" i="83"/>
  <c r="F63" i="83"/>
  <c r="C62" i="83" s="1"/>
  <c r="C59" i="83"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Q49" i="85" l="1"/>
  <c r="J59" i="85"/>
  <c r="J60" i="85" s="1"/>
  <c r="Q48" i="85" s="1"/>
  <c r="C57" i="85"/>
  <c r="C64" i="85" s="1"/>
  <c r="J14" i="85"/>
  <c r="J22" i="85" s="1"/>
  <c r="C13" i="85"/>
  <c r="C37" i="85" s="1"/>
  <c r="C30" i="85" s="1"/>
  <c r="C39" i="85" s="1"/>
  <c r="Q69" i="85" s="1"/>
  <c r="J13" i="85"/>
  <c r="J23" i="85" s="1"/>
  <c r="C56" i="85"/>
  <c r="C65" i="85" s="1"/>
  <c r="C58" i="85" s="1"/>
  <c r="C67" i="85" s="1"/>
  <c r="C68" i="85" s="1"/>
  <c r="C71" i="85" s="1"/>
  <c r="J22" i="84"/>
  <c r="J13" i="84"/>
  <c r="J23" i="84" s="1"/>
  <c r="L46" i="84"/>
  <c r="Q48" i="84"/>
  <c r="Q70" i="84"/>
  <c r="C75" i="84"/>
  <c r="C37" i="84"/>
  <c r="C30" i="84" s="1"/>
  <c r="C39" i="84" s="1"/>
  <c r="C56" i="84"/>
  <c r="C65" i="84" s="1"/>
  <c r="C58" i="84" s="1"/>
  <c r="C67" i="84" s="1"/>
  <c r="C68" i="84" s="1"/>
  <c r="C71" i="84" s="1"/>
  <c r="C118" i="43"/>
  <c r="D116" i="43" s="1"/>
  <c r="Q48" i="83"/>
  <c r="L46" i="83"/>
  <c r="C33" i="86"/>
  <c r="J22" i="83"/>
  <c r="J13" i="83"/>
  <c r="J23" i="83" s="1"/>
  <c r="C37" i="83"/>
  <c r="C75" i="83"/>
  <c r="C56" i="83"/>
  <c r="C65" i="83" s="1"/>
  <c r="C58" i="83" s="1"/>
  <c r="C67" i="83" s="1"/>
  <c r="C68" i="83" s="1"/>
  <c r="C71" i="83" s="1"/>
  <c r="Q70" i="83"/>
  <c r="C118" i="86"/>
  <c r="D116" i="86"/>
  <c r="C3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5"/>
  <c r="E7" i="76"/>
  <c r="D2" i="21"/>
  <c r="L46" i="85" l="1"/>
  <c r="J16" i="85"/>
  <c r="J25" i="85" s="1"/>
  <c r="C75" i="85"/>
  <c r="C80" i="85" s="1"/>
  <c r="C79" i="85" s="1"/>
  <c r="Q70" i="85"/>
  <c r="Q68" i="85" s="1"/>
  <c r="C40" i="85"/>
  <c r="C46" i="85" s="1"/>
  <c r="C80" i="84"/>
  <c r="C79" i="84" s="1"/>
  <c r="Q67" i="85"/>
  <c r="Q69" i="84"/>
  <c r="Q68" i="84" s="1"/>
  <c r="C40" i="84"/>
  <c r="C46" i="84" s="1"/>
  <c r="J16" i="84"/>
  <c r="J25" i="84" s="1"/>
  <c r="J16" i="83"/>
  <c r="J25" i="83" s="1"/>
  <c r="E33" i="86"/>
  <c r="Q65" i="85"/>
  <c r="Q75" i="85" s="1"/>
  <c r="E33" i="43"/>
  <c r="C30" i="43" s="1"/>
  <c r="C34" i="43"/>
  <c r="E34" i="43" s="1"/>
  <c r="C31" i="43" s="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84"/>
  <c r="L51" i="67"/>
  <c r="D2" i="33"/>
  <c r="E6" i="76"/>
  <c r="Q47" i="85" l="1"/>
  <c r="Q53" i="85" s="1"/>
  <c r="C43" i="85"/>
  <c r="B2" i="85"/>
  <c r="B3" i="85" s="1"/>
  <c r="C83" i="85"/>
  <c r="C82" i="85" s="1"/>
  <c r="Q56" i="85"/>
  <c r="Q62" i="85" s="1"/>
  <c r="Q67" i="84"/>
  <c r="B2" i="84"/>
  <c r="B3" i="84" s="1"/>
  <c r="Q56" i="84"/>
  <c r="Q62" i="84" s="1"/>
  <c r="C83" i="84"/>
  <c r="C82" i="84" s="1"/>
  <c r="C43" i="84"/>
  <c r="Q65" i="84"/>
  <c r="Q75" i="84" s="1"/>
  <c r="Q47" i="84"/>
  <c r="Q53" i="84" s="1"/>
  <c r="E2" i="76"/>
  <c r="B2" i="43"/>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B6" i="76"/>
  <c r="D2" i="36"/>
  <c r="D2" i="37"/>
  <c r="D2" i="34"/>
  <c r="D2" i="35"/>
  <c r="B2" i="76" l="1"/>
  <c r="B3" i="43"/>
  <c r="Q57" i="67"/>
  <c r="Q62" i="67" s="1"/>
  <c r="Q66" i="67"/>
  <c r="Q75" i="67" s="1"/>
  <c r="B3" i="67"/>
  <c r="L57" i="15"/>
  <c r="L60" i="15" s="1"/>
  <c r="Q57" i="15" s="1"/>
  <c r="Q67" i="15"/>
  <c r="B2" i="36"/>
  <c r="B3" i="36" s="1"/>
  <c r="B2" i="35"/>
  <c r="B3" i="35" s="1"/>
  <c r="M3" i="35"/>
  <c r="B2" i="37"/>
  <c r="B3" i="37" s="1"/>
  <c r="B2" i="34"/>
  <c r="B3" i="34" s="1"/>
  <c r="Q47" i="15"/>
  <c r="Q53" i="15" s="1"/>
  <c r="C43" i="15"/>
  <c r="I41" i="15" s="1"/>
  <c r="Q65" i="15"/>
  <c r="C83" i="15"/>
  <c r="C82" i="15" s="1"/>
  <c r="Q56" i="15"/>
  <c r="W7" i="39"/>
  <c r="AC7" i="39"/>
  <c r="V47" i="39" s="1"/>
  <c r="I47" i="39" s="1"/>
  <c r="E47" i="39"/>
  <c r="R48" i="39"/>
  <c r="U7" i="39"/>
  <c r="AB7" i="39"/>
  <c r="T47" i="39" s="1"/>
  <c r="G47" i="39" s="1"/>
  <c r="J7" i="40"/>
  <c r="F7" i="40"/>
  <c r="H7" i="40"/>
  <c r="AO10" i="1"/>
  <c r="AO12" i="1"/>
  <c r="AO11" i="1"/>
  <c r="AO9" i="1"/>
  <c r="AO8" i="1"/>
  <c r="C6" i="68" l="1"/>
  <c r="C7" i="68" s="1"/>
  <c r="B3" i="76"/>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C8" i="68" l="1"/>
  <c r="C5" i="68" s="1"/>
  <c r="C23" i="68" s="1"/>
  <c r="C18" i="12"/>
  <c r="C21" i="12" s="1"/>
  <c r="C22" i="12" s="1"/>
  <c r="C27" i="12" l="1"/>
  <c r="C25" i="12" s="1"/>
  <c r="C20" i="68"/>
  <c r="C25" i="68" s="1"/>
  <c r="C22" i="68" s="1"/>
  <c r="C30" i="12"/>
  <c r="C28" i="12" s="1"/>
  <c r="C32" i="12" l="1"/>
  <c r="B2" i="12" s="1"/>
  <c r="B3" i="12" s="1"/>
  <c r="C28" i="68"/>
  <c r="C27" i="68" s="1"/>
  <c r="C31" i="68" s="1"/>
  <c r="C52" i="68" s="1"/>
  <c r="B2" i="68" l="1"/>
  <c r="C57" i="68"/>
  <c r="C56" i="68" s="1"/>
  <c r="C19" i="9"/>
  <c r="C102" i="9" l="1"/>
  <c r="C21" i="9"/>
  <c r="B3" i="68"/>
  <c r="D35" i="9"/>
  <c r="D34" i="9"/>
  <c r="C20" i="9"/>
  <c r="C103" i="9" l="1"/>
  <c r="D59" i="9" l="1"/>
  <c r="M55" i="9" s="1"/>
  <c r="B8" i="74"/>
  <c r="D8" i="74"/>
  <c r="X24" i="1"/>
  <c r="U7" i="1"/>
  <c r="F6" i="83"/>
  <c r="C6" i="83" l="1"/>
  <c r="C10" i="83" s="1"/>
  <c r="C5" i="83" s="1"/>
  <c r="C33" i="83" l="1"/>
  <c r="C32" i="83"/>
  <c r="C38" i="83"/>
  <c r="C31" i="83" l="1"/>
  <c r="C30" i="83" s="1"/>
  <c r="C39" i="83" s="1"/>
  <c r="L51" i="83"/>
  <c r="C80" i="83" l="1"/>
  <c r="C79" i="83" s="1"/>
  <c r="Q69" i="83"/>
  <c r="Q68" i="83" s="1"/>
  <c r="C40" i="83"/>
  <c r="Q65" i="83" s="1"/>
  <c r="Q75" i="83" s="1"/>
  <c r="Q67" i="83"/>
  <c r="Q56" i="83" l="1"/>
  <c r="Q62" i="83" s="1"/>
  <c r="B2" i="83"/>
  <c r="B3" i="83" s="1"/>
  <c r="Q47" i="83"/>
  <c r="Q53" i="83" s="1"/>
  <c r="C43" i="83"/>
  <c r="I43" i="83" s="1"/>
  <c r="C83" i="83"/>
  <c r="C82" i="83" s="1"/>
  <c r="C46" i="83"/>
  <c r="AO7" i="1"/>
  <c r="B7" i="70" l="1"/>
  <c r="B2" i="70" l="1"/>
  <c r="B3" i="70" s="1"/>
  <c r="D19" i="9"/>
  <c r="D20" i="9"/>
  <c r="D22" i="9" l="1"/>
  <c r="G19" i="9"/>
  <c r="C32" i="9" s="1"/>
  <c r="C35" i="9" s="1"/>
  <c r="F118" i="9" s="1"/>
  <c r="D21" i="9"/>
  <c r="D102" i="9"/>
  <c r="G20" i="9"/>
  <c r="D103" i="9"/>
  <c r="H118" i="9" l="1"/>
  <c r="C104" i="9" s="1"/>
  <c r="H2" i="70"/>
  <c r="I2" i="70" s="1"/>
  <c r="G21" i="9"/>
  <c r="G118" i="9"/>
  <c r="G4" i="52" s="1"/>
  <c r="B52" i="72" s="1"/>
  <c r="F4" i="52"/>
  <c r="B51" i="72" s="1"/>
  <c r="F119" i="9"/>
  <c r="F5" i="52" s="1"/>
  <c r="B53" i="72" s="1"/>
  <c r="C34" i="9"/>
  <c r="D118" i="9" s="1"/>
  <c r="H119" i="9" l="1"/>
  <c r="H5" i="52" s="1"/>
  <c r="H101" i="9"/>
  <c r="D45" i="9" s="1"/>
  <c r="I118" i="9"/>
  <c r="I4" i="52" s="1"/>
  <c r="D14" i="74"/>
  <c r="E14" i="74" s="1"/>
  <c r="H4" i="52"/>
  <c r="H6" i="70"/>
  <c r="H9" i="70"/>
  <c r="I9" i="70" s="1"/>
  <c r="H8" i="70"/>
  <c r="H7" i="70"/>
  <c r="D119" i="9"/>
  <c r="D5" i="52" s="1"/>
  <c r="B49" i="72" s="1"/>
  <c r="D4" i="52"/>
  <c r="B47" i="72" s="1"/>
  <c r="D5" i="53"/>
  <c r="B5" i="74"/>
  <c r="C105" i="9" l="1"/>
  <c r="I7" i="70"/>
  <c r="AB21" i="1"/>
  <c r="AA21" i="1" s="1"/>
  <c r="I6" i="70"/>
  <c r="AB27" i="1"/>
  <c r="AA27" i="1" s="1"/>
  <c r="E118" i="9"/>
  <c r="E4" i="52" s="1"/>
  <c r="B48" i="72" s="1"/>
  <c r="H102" i="9"/>
  <c r="D7" i="53" s="1"/>
  <c r="B21" i="72" s="1"/>
  <c r="I8" i="70"/>
  <c r="J8" i="70"/>
  <c r="M48" i="9"/>
  <c r="F14" i="74"/>
  <c r="H107" i="9"/>
  <c r="D122" i="9" s="1"/>
  <c r="C78" i="9"/>
  <c r="C73" i="9" s="1"/>
  <c r="C72" i="9"/>
  <c r="C93" i="9"/>
  <c r="C86" i="9" s="1"/>
  <c r="D55" i="9"/>
  <c r="M53" i="9" s="1"/>
  <c r="C85" i="9"/>
  <c r="C64" i="9"/>
  <c r="C63" i="9" s="1"/>
  <c r="C67" i="9" s="1"/>
  <c r="C68" i="9" s="1"/>
  <c r="D54" i="9" s="1"/>
  <c r="D52" i="9"/>
  <c r="D53" i="9"/>
  <c r="D48" i="9" s="1"/>
  <c r="M52" i="9" s="1"/>
  <c r="D5" i="74"/>
  <c r="B20" i="72"/>
  <c r="D6" i="53"/>
  <c r="B22" i="72" s="1"/>
  <c r="C5" i="74" l="1"/>
  <c r="M49" i="9"/>
  <c r="L66" i="9" s="1"/>
  <c r="M66" i="9" s="1"/>
  <c r="H108" i="9"/>
  <c r="D15" i="53" s="1"/>
  <c r="B31" i="72" s="1"/>
  <c r="D13" i="53"/>
  <c r="D14" i="53" s="1"/>
  <c r="B32" i="72" s="1"/>
  <c r="C79" i="9"/>
  <c r="L65" i="9"/>
  <c r="M65" i="9" s="1"/>
  <c r="D8" i="52"/>
  <c r="D123" i="9"/>
  <c r="D9" i="52" s="1"/>
  <c r="G14" i="74"/>
  <c r="B6" i="74" s="1"/>
  <c r="C80" i="9"/>
  <c r="E80" i="9" s="1"/>
  <c r="E81" i="9" s="1"/>
  <c r="C95" i="9"/>
  <c r="L63" i="9" l="1"/>
  <c r="M63" i="9" s="1"/>
  <c r="B30" i="72"/>
  <c r="L68" i="9"/>
  <c r="M68" i="9" s="1"/>
  <c r="L67" i="9"/>
  <c r="M67" i="9" s="1"/>
  <c r="L64" i="9"/>
  <c r="M64" i="9" s="1"/>
  <c r="C81" i="9"/>
  <c r="C96" i="9"/>
  <c r="E96" i="9" s="1"/>
  <c r="E97" i="9" s="1"/>
  <c r="C6" i="74"/>
  <c r="D6" i="74"/>
  <c r="M69" i="9" l="1"/>
  <c r="N69" i="9" s="1"/>
  <c r="C97" i="9"/>
  <c r="D58" i="9" s="1"/>
  <c r="D56" i="9" s="1"/>
  <c r="M54" i="9" s="1"/>
  <c r="N57" i="9" s="1"/>
  <c r="N58" i="9" s="1"/>
  <c r="N59" i="9" l="1"/>
  <c r="N60" i="9" s="1"/>
  <c r="P57" i="9"/>
  <c r="H111" i="9"/>
  <c r="N61" i="9" l="1"/>
  <c r="H112" i="9" s="1"/>
  <c r="D21" i="53" s="1"/>
  <c r="B39" i="72" s="1"/>
  <c r="D126" i="9"/>
  <c r="D19" i="53"/>
  <c r="C8" i="74" l="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<sst xmlns="http://schemas.openxmlformats.org/spreadsheetml/2006/main" count="10057" uniqueCount="3496">
  <si>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</si>
  <si>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</si>
  <si>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</si>
  <si>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</si>
  <si>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</si>
  <si>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</si>
  <si>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</si>
  <si>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</si>
  <si>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</si>
  <si>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</si>
  <si>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</si>
  <si>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</si>
  <si>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</si>
  <si>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</si>
  <si>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</si>
  <si>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</si>
  <si>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</si>
  <si>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</si>
  <si>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</si>
  <si>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</si>
  <si>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</si>
  <si>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</si>
  <si>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</si>
  <si>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</si>
  <si>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</si>
  <si>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</si>
  <si>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</si>
  <si>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</si>
  <si>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</si>
  <si>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</si>
  <si>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</si>
  <si>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</si>
  <si>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</si>
  <si>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</si>
  <si>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</si>
  <si>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</si>
  <si>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</si>
  <si>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</si>
  <si>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</si>
  <si>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</si>
  <si>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</si>
  <si>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</si>
  <si>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</si>
  <si>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</si>
  <si>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</si>
  <si>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</si>
  <si>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</si>
  <si>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</si>
  <si>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</si>
  <si>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</si>
  <si>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</si>
  <si>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</si>
  <si>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</si>
  <si>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</si>
  <si>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</si>
  <si>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</si>
  <si>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</si>
  <si>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</si>
  <si>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</si>
  <si>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</si>
  <si>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</si>
  <si>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</si>
  <si>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</si>
  <si>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</si>
  <si>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</si>
  <si>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</si>
  <si>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</si>
  <si>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</si>
  <si>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</si>
  <si>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</si>
  <si>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</si>
  <si>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</si>
  <si>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</si>
  <si>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</si>
  <si>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</si>
  <si>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</si>
  <si>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</si>
  <si>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</si>
  <si>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</si>
  <si>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</si>
  <si>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</si>
  <si>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</si>
  <si>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</si>
  <si>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</si>
  <si>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</si>
  <si>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</si>
  <si>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</si>
  <si>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</si>
  <si>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</si>
  <si>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</si>
  <si>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</si>
  <si>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</si>
  <si>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</si>
  <si>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</si>
  <si>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</si>
  <si>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</si>
  <si>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</si>
  <si>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</si>
  <si>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</si>
  <si>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</si>
  <si>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</si>
  <si>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</si>
  <si>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</si>
  <si>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</si>
  <si>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</si>
  <si>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</si>
  <si>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</si>
  <si>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</si>
  <si>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</si>
  <si>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</si>
  <si>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</si>
  <si>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</si>
  <si>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</si>
  <si>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</si>
  <si>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</si>
  <si>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</si>
  <si>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</si>
  <si>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</si>
  <si>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</si>
  <si>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</si>
  <si>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</si>
  <si>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</si>
  <si>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</si>
  <si>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</si>
  <si>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</si>
  <si>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</si>
  <si>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</si>
  <si>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</si>
  <si>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</si>
  <si>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</si>
  <si>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</si>
  <si>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</si>
  <si>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</si>
  <si>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</si>
  <si>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</si>
  <si>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</si>
  <si>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</si>
  <si>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</si>
  <si>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</si>
  <si>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</si>
  <si>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</si>
  <si>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</si>
  <si>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</si>
  <si>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</si>
  <si>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</si>
  <si>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</si>
  <si>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</si>
  <si>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</si>
  <si>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</si>
  <si>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</si>
  <si>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</si>
  <si>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</si>
  <si>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</si>
  <si>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</si>
  <si>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</si>
  <si>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</si>
  <si>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</si>
  <si>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</si>
  <si>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</si>
  <si>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</si>
  <si>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</si>
  <si>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</si>
  <si>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</si>
  <si>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</si>
  <si>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</si>
  <si>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</si>
  <si>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</si>
  <si>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</si>
  <si>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</si>
  <si>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</si>
  <si>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</si>
  <si>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</si>
  <si>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</si>
  <si>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</si>
  <si>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</si>
  <si>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</si>
  <si>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</si>
  <si>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</si>
  <si>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</si>
  <si>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</si>
  <si>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</si>
  <si>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</si>
  <si>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</si>
  <si>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</si>
  <si>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</si>
  <si>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</si>
  <si>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</si>
  <si>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</si>
  <si>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</si>
  <si>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</si>
  <si>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</si>
  <si>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</si>
  <si>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</si>
  <si>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</si>
  <si>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</si>
  <si>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</si>
  <si>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</si>
  <si>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</si>
  <si>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</si>
  <si>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</si>
  <si>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</si>
  <si>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</si>
  <si>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</si>
  <si>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</si>
  <si>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</si>
  <si>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</si>
  <si>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</si>
  <si>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</si>
  <si>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</si>
  <si>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</si>
  <si>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</si>
  <si>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</si>
  <si>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</si>
  <si>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</si>
  <si>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</si>
  <si>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</si>
  <si>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</si>
  <si>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</si>
  <si>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</si>
  <si>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</si>
  <si>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</si>
  <si>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</si>
  <si>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</si>
  <si>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</si>
  <si>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</si>
  <si>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</si>
  <si>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</si>
  <si>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</si>
  <si>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</si>
  <si>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</si>
  <si>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</si>
  <si>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</si>
  <si>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</si>
  <si>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</si>
  <si>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</si>
  <si>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</si>
  <si>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</si>
  <si>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</si>
  <si>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</si>
  <si>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</si>
  <si>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</si>
  <si>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</si>
  <si>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</si>
  <si>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</si>
  <si>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</si>
  <si>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</si>
  <si>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</si>
  <si>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</si>
  <si>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</si>
  <si>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</si>
  <si>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</si>
  <si>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</si>
  <si>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</si>
  <si>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</si>
  <si>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</si>
  <si>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</si>
  <si>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</si>
  <si>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</si>
  <si>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</si>
  <si>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</si>
  <si>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</si>
  <si>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</si>
  <si>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</si>
  <si>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</si>
  <si>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</si>
  <si>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</si>
  <si>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</si>
  <si>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</si>
  <si>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</si>
  <si>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</si>
  <si>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</si>
  <si>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</si>
  <si>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</si>
  <si>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</si>
  <si>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</si>
  <si>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</si>
  <si>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</si>
  <si>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</si>
  <si>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</si>
  <si>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</si>
  <si>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</si>
  <si>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</si>
  <si>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</si>
  <si>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</si>
  <si>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</si>
  <si>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</si>
  <si>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</si>
  <si>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</si>
  <si>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</si>
  <si>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</si>
  <si>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</si>
  <si>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</si>
  <si>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</si>
  <si>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</si>
  <si>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</si>
  <si>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</si>
  <si>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</si>
  <si>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</si>
  <si>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</si>
  <si>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</si>
  <si>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</si>
  <si>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</si>
  <si>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</si>
  <si>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</si>
  <si>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</si>
  <si>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</si>
  <si>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</si>
  <si>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</si>
  <si>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</si>
  <si>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</si>
  <si>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</si>
  <si>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</si>
  <si>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</si>
  <si>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</si>
  <si>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</si>
  <si>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</si>
  <si>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</si>
  <si>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</si>
  <si>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</si>
  <si>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</si>
  <si>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</si>
  <si>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</si>
  <si>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</si>
  <si>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</si>
  <si>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</si>
  <si>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</si>
  <si>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</si>
  <si>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</si>
  <si>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</si>
  <si>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</si>
  <si>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</si>
  <si>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</si>
  <si>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</si>
  <si>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</si>
  <si>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</si>
  <si>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</si>
  <si>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</si>
  <si>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</si>
  <si>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</si>
  <si>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</si>
  <si>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</si>
  <si>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</si>
  <si>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</si>
  <si>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</si>
  <si>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</si>
  <si>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</si>
  <si>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</si>
  <si>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</si>
  <si>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</si>
  <si>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</si>
  <si>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</si>
  <si>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</si>
  <si>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</si>
  <si>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</si>
  <si>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</si>
  <si>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</si>
  <si>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</si>
  <si>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</si>
  <si>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</si>
  <si>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</si>
  <si>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</si>
  <si>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</si>
  <si>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</si>
  <si>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</si>
  <si>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</si>
  <si>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</si>
  <si>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</si>
  <si>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</si>
  <si>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</si>
  <si>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</si>
  <si>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</si>
  <si>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</si>
  <si>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</si>
  <si>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</si>
  <si>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</si>
  <si>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</si>
  <si>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</si>
  <si>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</si>
  <si>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</si>
  <si>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</si>
  <si>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</si>
  <si>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</si>
  <si>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</si>
  <si>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</si>
  <si>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</si>
  <si>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</si>
  <si>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</si>
  <si>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</si>
  <si>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</si>
  <si>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</si>
  <si>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</si>
  <si>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</si>
  <si>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</si>
  <si>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</si>
  <si>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</si>
  <si>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</si>
  <si>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</si>
  <si>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</si>
  <si>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</si>
  <si>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</si>
  <si>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</si>
  <si>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</si>
  <si>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</si>
  <si>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</si>
  <si>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</si>
  <si>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</si>
  <si>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</si>
  <si>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</si>
  <si>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</si>
  <si>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</si>
  <si>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</si>
  <si>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</si>
  <si>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</si>
  <si>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</si>
  <si>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</si>
  <si>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</si>
  <si>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</si>
  <si>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</si>
  <si>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</si>
  <si>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</si>
  <si>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</si>
  <si>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</si>
  <si>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</si>
  <si>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</si>
  <si>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</si>
  <si>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</si>
  <si>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</si>
  <si>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</si>
  <si>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</si>
  <si>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</si>
  <si>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</si>
  <si>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</si>
  <si>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</si>
  <si>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</si>
  <si>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</si>
  <si>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</si>
  <si>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</si>
  <si>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</si>
  <si>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</si>
  <si>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</si>
  <si>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</si>
  <si>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</si>
  <si>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</si>
  <si>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</si>
  <si>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</si>
  <si>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</si>
  <si>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</si>
  <si>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</si>
  <si>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</si>
  <si>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</si>
  <si>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</si>
  <si>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</si>
  <si>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</si>
  <si>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</si>
  <si>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</si>
  <si>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</si>
  <si>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</si>
  <si>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</si>
  <si>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</si>
  <si>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</si>
  <si>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</si>
  <si>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</si>
  <si>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</si>
  <si>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</si>
  <si>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</si>
  <si>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</si>
  <si>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</si>
  <si>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</si>
  <si>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</si>
  <si>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</si>
  <si>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</si>
  <si>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</si>
  <si>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</si>
  <si>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</si>
  <si>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</si>
  <si>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</si>
  <si>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</si>
  <si>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</si>
  <si>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</si>
  <si>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</si>
  <si>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</si>
  <si>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</si>
  <si>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</si>
  <si>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</si>
  <si>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</si>
  <si>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</si>
  <si>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</si>
  <si>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</si>
  <si>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</si>
  <si>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</si>
  <si>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</si>
  <si>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</si>
  <si>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</si>
  <si>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</si>
  <si>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</si>
  <si>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</si>
  <si>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</si>
  <si>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</si>
  <si>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</si>
  <si>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</si>
  <si>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</si>
  <si>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</si>
  <si>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</si>
  <si>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</si>
  <si>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</si>
  <si>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</si>
  <si>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</si>
  <si>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</si>
  <si>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</si>
  <si>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</si>
  <si>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</si>
  <si>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</si>
  <si>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</si>
  <si>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</si>
  <si>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</si>
  <si>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</si>
  <si>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</si>
  <si>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</si>
  <si>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</si>
  <si>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</si>
  <si>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</si>
  <si>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</si>
  <si>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</si>
  <si>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</si>
  <si>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</si>
  <si>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</si>
  <si>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</si>
  <si>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</si>
  <si>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</si>
  <si>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</si>
  <si>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</si>
  <si>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</si>
  <si>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</si>
  <si>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</si>
  <si>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</si>
  <si>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</si>
  <si>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</si>
  <si>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</si>
  <si>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</si>
  <si>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</si>
  <si>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</si>
  <si>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</si>
  <si>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</si>
  <si>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</si>
  <si>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</si>
  <si>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</si>
  <si>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</si>
  <si>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</si>
  <si>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</si>
  <si>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</si>
  <si>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</si>
  <si>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</si>
  <si>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</si>
  <si>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</si>
  <si>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</si>
  <si>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</si>
  <si>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</si>
  <si>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</si>
  <si>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</si>
  <si>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</si>
  <si>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</si>
  <si>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</si>
  <si>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</si>
  <si>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</si>
  <si>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</si>
  <si>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</si>
  <si>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</si>
  <si>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</si>
  <si>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</si>
  <si>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</si>
  <si>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</si>
  <si>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</si>
  <si>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</si>
  <si>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</si>
  <si>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</si>
  <si>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</si>
  <si>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</si>
  <si>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</si>
  <si>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</si>
  <si>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</si>
  <si>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</si>
  <si>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</si>
  <si>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</si>
  <si>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</si>
  <si>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</si>
  <si>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</si>
  <si>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</si>
  <si>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</si>
  <si>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</si>
  <si>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</si>
  <si>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</si>
  <si>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</si>
  <si>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</si>
  <si>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</si>
  <si>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</si>
  <si>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</si>
  <si>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</si>
  <si>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</si>
  <si>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</si>
  <si>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</si>
  <si>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</si>
  <si>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</si>
  <si>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</si>
  <si>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</si>
  <si>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</si>
  <si>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</si>
  <si>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</si>
  <si>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</si>
  <si>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</si>
  <si>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</si>
  <si>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</si>
  <si>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</si>
  <si>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</si>
  <si>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</si>
  <si>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</si>
  <si>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</si>
  <si>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</si>
  <si>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</si>
  <si>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</si>
  <si>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</si>
  <si>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</si>
  <si>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</si>
  <si>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</si>
  <si>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</si>
  <si>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</si>
  <si>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</si>
  <si>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</si>
  <si>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</si>
  <si>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</si>
  <si>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</si>
  <si>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</si>
  <si>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</si>
  <si>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</si>
  <si>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</si>
  <si>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</si>
  <si>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</si>
  <si>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</si>
  <si>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</si>
  <si>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</si>
  <si>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</si>
  <si>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</si>
  <si>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</si>
  <si>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</si>
  <si>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</si>
  <si>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</si>
  <si>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</si>
  <si>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</si>
  <si>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</si>
  <si>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</si>
  <si>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</si>
  <si>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</si>
  <si>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</si>
  <si>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</si>
  <si>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</si>
  <si>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</si>
  <si>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</si>
  <si>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</si>
  <si>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</si>
  <si>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</si>
  <si>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</si>
  <si>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</si>
  <si>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</si>
  <si>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</si>
  <si>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</si>
  <si>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</si>
  <si>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</si>
  <si>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</si>
  <si>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</si>
  <si>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</si>
  <si>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</si>
  <si>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</si>
  <si>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</si>
  <si>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</si>
  <si>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</si>
  <si>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</si>
  <si>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</si>
  <si>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</si>
  <si>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</si>
  <si>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</si>
  <si>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</si>
  <si>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</si>
  <si>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</si>
  <si>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</si>
  <si>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</si>
  <si>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</si>
  <si>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</si>
  <si>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</si>
  <si>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</si>
  <si>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</si>
  <si>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</si>
  <si>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</si>
  <si>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</si>
  <si>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</si>
  <si>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</si>
  <si>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</si>
  <si>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</si>
  <si>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</si>
  <si>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</si>
  <si>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</si>
  <si>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</si>
  <si>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</si>
  <si>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</si>
  <si>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</si>
  <si>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</si>
  <si>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</si>
  <si>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</si>
  <si>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</si>
  <si>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</si>
  <si>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</si>
  <si>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</si>
  <si>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</si>
  <si>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</si>
  <si>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</si>
  <si>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</si>
  <si>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</si>
  <si>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</si>
  <si>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</si>
  <si>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</si>
  <si>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</si>
  <si>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</si>
  <si>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</si>
  <si>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</si>
  <si>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</si>
  <si>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</si>
  <si>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</si>
  <si>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</si>
  <si>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</si>
  <si>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</si>
  <si>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</si>
  <si>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</si>
  <si>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</si>
  <si>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</si>
  <si>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</si>
  <si>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</si>
  <si>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</si>
  <si>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</si>
  <si>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</si>
  <si>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</si>
  <si>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</si>
  <si>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</si>
  <si>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</si>
  <si>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</si>
  <si>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</si>
  <si>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</si>
  <si>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</si>
  <si>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</si>
  <si>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</si>
  <si>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</si>
  <si>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</si>
  <si>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</si>
  <si>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</si>
  <si>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</si>
  <si>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</si>
  <si>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</si>
  <si>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</si>
  <si>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</si>
  <si>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</si>
  <si>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</si>
  <si>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</si>
  <si>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</si>
  <si>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</si>
  <si>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</si>
  <si>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</si>
  <si>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</si>
  <si>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</si>
  <si>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</si>
  <si>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</si>
  <si>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</si>
  <si>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</si>
  <si>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</si>
  <si>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</si>
  <si>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</si>
  <si>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</si>
  <si>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</si>
  <si>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</si>
  <si>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</si>
  <si>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</si>
  <si>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</si>
  <si>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</si>
  <si>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</si>
  <si>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</si>
  <si>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</si>
  <si>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</si>
  <si>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</si>
  <si>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</si>
  <si>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</si>
  <si>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</si>
  <si>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</si>
  <si>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</si>
  <si>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</si>
  <si>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</si>
  <si>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</si>
  <si>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</si>
  <si>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</si>
  <si>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</si>
  <si>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</si>
  <si>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</si>
  <si>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</si>
  <si>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</si>
  <si>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</si>
  <si>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</si>
  <si>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</si>
  <si>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</si>
  <si>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</si>
  <si>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</si>
  <si>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</si>
  <si>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</si>
  <si>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</si>
  <si>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</si>
  <si>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</si>
  <si>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</si>
  <si>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</si>
  <si>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</si>
  <si>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</si>
  <si>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</si>
  <si>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</si>
  <si>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</si>
  <si>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</si>
  <si>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</si>
  <si>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</si>
  <si>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</si>
  <si>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</si>
  <si>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</si>
  <si>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</si>
  <si>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</si>
  <si>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</si>
  <si>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</si>
  <si>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</si>
  <si>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</si>
  <si>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</si>
  <si>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</si>
  <si>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</si>
  <si>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</si>
  <si>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</si>
  <si>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</si>
  <si>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</si>
  <si>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</si>
  <si>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</si>
  <si>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</si>
  <si>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</si>
  <si>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</si>
  <si>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</si>
  <si>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</si>
  <si>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</si>
  <si>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</si>
  <si>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</si>
  <si>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</si>
  <si>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</si>
  <si>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</si>
  <si>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</si>
  <si>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</si>
  <si>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</si>
  <si>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</si>
  <si>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</si>
  <si>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</si>
  <si>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</si>
  <si>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</si>
  <si>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</si>
  <si>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</si>
  <si>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</si>
  <si>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</si>
  <si>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</si>
  <si>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</si>
  <si>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</si>
  <si>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</si>
  <si>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</si>
  <si>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</si>
  <si>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</si>
  <si>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</si>
  <si>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</si>
  <si>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</si>
  <si>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</si>
  <si>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</si>
  <si>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</si>
  <si>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</si>
  <si>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</si>
  <si>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</si>
  <si>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</si>
  <si>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</si>
  <si>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</si>
  <si>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</si>
  <si>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</si>
  <si>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</si>
  <si>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</si>
  <si>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</si>
  <si>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</si>
  <si>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</si>
  <si>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</si>
  <si>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</si>
  <si>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</si>
  <si>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</si>
  <si>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</si>
  <si>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</si>
  <si>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</si>
  <si>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</si>
  <si>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</si>
  <si>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</si>
  <si>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</si>
  <si>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</si>
  <si>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</si>
  <si>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</si>
  <si>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</si>
  <si>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</si>
  <si>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</si>
  <si>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</si>
  <si>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</si>
  <si>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</si>
  <si>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</si>
  <si>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</si>
  <si>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</si>
  <si>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</si>
  <si>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</si>
  <si>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</si>
  <si>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</si>
  <si>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</si>
  <si>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</si>
  <si>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</si>
  <si>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</si>
  <si>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</si>
  <si>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</si>
  <si>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</si>
  <si>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</si>
  <si>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</si>
  <si>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</si>
  <si>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</si>
  <si>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</si>
  <si>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</si>
  <si>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</si>
  <si>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</si>
  <si>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</si>
  <si>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</si>
  <si>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</si>
  <si>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</si>
  <si>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</si>
  <si>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</si>
  <si>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</si>
  <si>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</si>
  <si>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</si>
  <si>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</si>
  <si>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</si>
  <si>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</si>
  <si>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</si>
  <si>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</si>
  <si>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</si>
  <si>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</si>
  <si>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</si>
  <si>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</si>
  <si>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</si>
  <si>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</si>
  <si>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</si>
  <si>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</si>
  <si>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</si>
  <si>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</si>
  <si>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</si>
  <si>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</si>
  <si>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</si>
  <si>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</si>
  <si>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</si>
  <si>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</si>
  <si>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</si>
  <si>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</si>
  <si>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</si>
  <si>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</si>
  <si>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</si>
  <si>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</si>
  <si>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</si>
  <si>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</si>
  <si>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</si>
  <si>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</si>
  <si>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</si>
  <si>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</si>
  <si>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</si>
  <si>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</si>
  <si>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</si>
  <si>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</si>
  <si>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</si>
  <si>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</si>
  <si>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</si>
  <si>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</si>
  <si>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</si>
  <si>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</si>
  <si>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</si>
  <si>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</si>
  <si>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</si>
  <si>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</si>
  <si>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</si>
  <si>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</si>
  <si>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</si>
  <si>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</si>
  <si>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</si>
  <si>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</si>
  <si>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</si>
  <si>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</si>
  <si>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</si>
  <si>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</si>
  <si>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</si>
  <si>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</si>
  <si>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</si>
  <si>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</si>
  <si>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</si>
  <si>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</si>
  <si>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</si>
  <si>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</si>
  <si>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</si>
  <si>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</si>
  <si>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</si>
  <si>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</si>
  <si>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</si>
  <si>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</si>
  <si>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</si>
  <si>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</si>
  <si>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</si>
  <si>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</si>
  <si>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</si>
  <si>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</si>
  <si>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</si>
  <si>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</si>
  <si>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</si>
  <si>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</si>
  <si>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</si>
  <si>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</si>
  <si>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</si>
  <si>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</si>
  <si>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</si>
  <si>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</si>
  <si>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</si>
  <si>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</si>
  <si>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</si>
  <si>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</si>
  <si>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</si>
  <si>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</si>
  <si>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</si>
  <si>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</si>
  <si>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</si>
  <si>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</si>
  <si>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</si>
  <si>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</si>
  <si>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</si>
  <si>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</si>
  <si>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</si>
  <si>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</si>
  <si>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</si>
  <si>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</si>
  <si>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</si>
  <si>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</si>
  <si>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</si>
  <si>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</si>
  <si>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</si>
  <si>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</si>
  <si>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</si>
  <si>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</si>
  <si>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</si>
  <si>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</si>
  <si>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</si>
  <si>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</si>
  <si>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</si>
  <si>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</si>
  <si>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</si>
  <si>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</si>
  <si>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</si>
  <si>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</si>
  <si>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</si>
  <si>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</si>
  <si>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</si>
  <si>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</si>
  <si>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</si>
  <si>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</si>
  <si>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</si>
  <si>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</si>
  <si>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</si>
  <si>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</si>
  <si>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</si>
  <si>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</si>
  <si>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</si>
  <si>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</si>
  <si>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</si>
  <si>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</si>
  <si>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</si>
  <si>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</si>
  <si>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</si>
  <si>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</si>
  <si>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</si>
  <si>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</si>
  <si>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</si>
  <si>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</si>
  <si>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</si>
  <si>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</si>
  <si>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</si>
  <si>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</si>
  <si>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</si>
  <si>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</si>
  <si>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</si>
  <si>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</si>
  <si>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</si>
  <si>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</si>
  <si>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</si>
  <si>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</si>
  <si>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</si>
  <si>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</si>
  <si>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</si>
  <si>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</si>
  <si>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</si>
  <si>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</si>
  <si>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</si>
  <si>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</si>
  <si>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</si>
  <si>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</si>
  <si>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</si>
  <si>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</si>
  <si>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</si>
  <si>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</si>
  <si>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</si>
  <si>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</si>
  <si>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</si>
  <si>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</si>
  <si>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</si>
  <si>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</si>
  <si>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</si>
  <si>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</si>
  <si>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</si>
  <si>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</si>
  <si>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</si>
  <si>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</si>
  <si>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</si>
  <si>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</si>
  <si>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</si>
  <si>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</si>
  <si>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</si>
  <si>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</si>
  <si>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</si>
  <si>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</si>
  <si>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</si>
  <si>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</si>
  <si>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</si>
  <si>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</si>
  <si>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</si>
  <si>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</si>
  <si>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</si>
  <si>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</si>
  <si>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</si>
  <si>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</si>
  <si>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</si>
  <si>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</si>
  <si>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</si>
  <si>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</si>
  <si>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</si>
  <si>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</si>
  <si>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</si>
  <si>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</si>
  <si>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</si>
  <si>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</si>
  <si>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</si>
  <si>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</si>
  <si>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</si>
  <si>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</si>
  <si>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</si>
  <si>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</si>
  <si>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</si>
  <si>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</si>
  <si>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</si>
  <si>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</si>
  <si>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</si>
  <si>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</si>
  <si>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</si>
  <si>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</si>
  <si>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</si>
  <si>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</si>
  <si>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</si>
  <si>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</si>
  <si>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</si>
  <si>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</si>
  <si>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</si>
  <si>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</si>
  <si>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</si>
  <si>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</si>
  <si>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</si>
  <si>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</si>
  <si>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</si>
  <si>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</si>
  <si>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</si>
  <si>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</si>
  <si>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</si>
  <si>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</si>
  <si>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</si>
  <si>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</si>
  <si>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</si>
  <si>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</si>
  <si>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</si>
  <si>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</si>
  <si>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</si>
  <si>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</si>
  <si>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</si>
  <si>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</si>
  <si>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</si>
  <si>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</si>
  <si>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</si>
  <si>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</si>
  <si>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</si>
  <si>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</si>
  <si>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</si>
  <si>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</si>
  <si>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</si>
  <si>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</si>
  <si>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</si>
  <si>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</si>
  <si>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</si>
  <si>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</si>
  <si>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</si>
  <si>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</si>
  <si>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</si>
  <si>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</si>
  <si>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</si>
  <si>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</si>
  <si>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</si>
  <si>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</si>
  <si>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</si>
  <si>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</si>
  <si>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</si>
  <si>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</si>
  <si>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</si>
  <si>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</si>
  <si>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</si>
  <si>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</si>
  <si>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</si>
  <si>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</si>
  <si>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</si>
  <si>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</si>
  <si>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</si>
  <si>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</si>
  <si>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</si>
  <si>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</si>
  <si>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</si>
  <si>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</si>
  <si>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</si>
  <si>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</si>
  <si>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</si>
  <si>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</si>
  <si>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</si>
  <si>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</si>
  <si>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</si>
  <si>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</si>
  <si>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</si>
  <si>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</si>
  <si>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</si>
  <si>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</si>
  <si>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</si>
  <si>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</si>
  <si>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</si>
  <si>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</si>
  <si>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</si>
  <si>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</si>
  <si>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</si>
  <si>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</si>
  <si>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</si>
  <si>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</si>
  <si>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</si>
  <si>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</si>
  <si>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</si>
  <si>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</si>
  <si>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</si>
  <si>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</si>
  <si>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</si>
  <si>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</si>
  <si>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</si>
  <si>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</si>
  <si>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</si>
  <si>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</si>
  <si>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</si>
  <si>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</si>
  <si>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</si>
  <si>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</si>
  <si>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</si>
  <si>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</si>
  <si>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</si>
  <si>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</si>
  <si>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</si>
  <si>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</si>
  <si>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</si>
  <si>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</si>
  <si>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</si>
  <si>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</si>
  <si>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</si>
  <si>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</si>
  <si>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</si>
  <si>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</si>
  <si>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</si>
  <si>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</si>
  <si>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</si>
  <si>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</si>
  <si>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</si>
  <si>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</si>
  <si>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</si>
  <si>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</si>
  <si>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</si>
  <si>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</si>
  <si>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</si>
  <si>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</si>
  <si>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</si>
  <si>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</si>
  <si>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</si>
  <si>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</si>
  <si>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</si>
  <si>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</si>
  <si>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</si>
  <si>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</si>
  <si>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</si>
  <si>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</si>
  <si>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</si>
  <si>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</si>
  <si>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</si>
  <si>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</si>
  <si>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</si>
  <si>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</si>
  <si>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</si>
  <si>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</si>
  <si>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</si>
  <si>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</si>
  <si>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</si>
  <si>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</si>
  <si>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</si>
  <si>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</si>
  <si>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</si>
  <si>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</si>
  <si>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</si>
  <si>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</si>
  <si>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</si>
  <si>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</si>
  <si>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</si>
  <si>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</si>
  <si>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</si>
  <si>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</si>
  <si>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</si>
  <si>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</si>
  <si>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</si>
  <si>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</si>
  <si>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</si>
  <si>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</si>
  <si>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</si>
  <si>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</si>
  <si>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</si>
  <si>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</si>
  <si>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</si>
  <si>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</si>
  <si>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</si>
  <si>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</si>
  <si>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</si>
  <si>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</si>
  <si>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</si>
  <si>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</si>
  <si>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</si>
  <si>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</si>
  <si>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</si>
  <si>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</si>
  <si>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</si>
  <si>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</si>
  <si>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</si>
  <si>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</si>
  <si>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</si>
  <si>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</si>
  <si>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</si>
  <si>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</si>
  <si>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</si>
  <si>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</si>
  <si>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</si>
  <si>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</si>
  <si>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</si>
  <si>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</si>
  <si>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</si>
  <si>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</si>
  <si>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</si>
  <si>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</si>
  <si>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</si>
  <si>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</si>
  <si>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</si>
  <si>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</si>
  <si>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</si>
  <si>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</si>
  <si>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</si>
  <si>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</si>
  <si>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</si>
  <si>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</si>
  <si>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</si>
  <si>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</si>
  <si>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</si>
  <si>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</si>
  <si>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</si>
  <si>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</si>
  <si>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</si>
  <si>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</si>
  <si>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</si>
  <si>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</si>
  <si>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</si>
  <si>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</si>
  <si>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</si>
  <si>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</si>
  <si>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</si>
  <si>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</si>
  <si>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</si>
  <si>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</si>
  <si>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</si>
  <si>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</si>
  <si>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</si>
  <si>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</si>
  <si>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</si>
  <si>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</si>
  <si>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</si>
  <si>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</si>
  <si>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</si>
  <si>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</si>
  <si>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</si>
  <si>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</si>
  <si>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</si>
  <si>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</si>
  <si>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</si>
  <si>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</si>
  <si>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</si>
  <si>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</si>
  <si>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</si>
  <si>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</si>
  <si>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</si>
  <si>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</si>
  <si>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</si>
  <si>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</si>
  <si>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</si>
  <si>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</si>
  <si>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</si>
  <si>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</si>
  <si>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</si>
  <si>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</si>
  <si>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</si>
  <si>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</si>
  <si>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</si>
  <si>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</si>
  <si>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</si>
  <si>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</si>
  <si>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</si>
  <si>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</si>
  <si>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</si>
  <si>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</si>
  <si>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</si>
  <si>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</si>
  <si>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</si>
  <si>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</si>
  <si>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</si>
  <si>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</si>
  <si>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</si>
  <si>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</si>
  <si>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</si>
  <si>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</si>
  <si>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</si>
  <si>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</si>
  <si>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</si>
  <si>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</si>
  <si>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</si>
  <si>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</si>
  <si>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</si>
  <si>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</si>
  <si>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</si>
  <si>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</si>
  <si>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</si>
  <si>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</si>
  <si>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</si>
  <si>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</si>
  <si>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</si>
  <si>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</si>
  <si>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</si>
  <si>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</si>
  <si>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</si>
  <si>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</si>
  <si>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</si>
  <si>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</si>
  <si>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</si>
  <si>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</si>
  <si>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</si>
  <si>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</si>
  <si>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</si>
  <si>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</si>
  <si>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</si>
  <si>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</si>
  <si>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</si>
  <si>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</si>
  <si>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</si>
  <si>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</si>
  <si>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</si>
  <si>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</si>
  <si>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</si>
  <si>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</si>
  <si>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</si>
  <si>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</si>
  <si>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</si>
  <si>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</si>
  <si>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</si>
  <si>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</si>
  <si>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</si>
  <si>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</si>
  <si>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</si>
  <si>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</si>
  <si>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</si>
  <si>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</si>
  <si>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</si>
  <si>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</si>
  <si>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</si>
  <si>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</si>
  <si>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</si>
  <si>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</si>
  <si>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</si>
  <si>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</si>
  <si>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</si>
  <si>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</si>
  <si>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</si>
  <si>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</si>
  <si>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</si>
  <si>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</si>
  <si>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</si>
  <si>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</si>
  <si>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</si>
  <si>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</si>
  <si>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</si>
  <si>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</si>
  <si>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</si>
  <si>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</si>
  <si>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</si>
  <si>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</si>
  <si>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</si>
  <si>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</si>
  <si>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</si>
  <si>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</si>
  <si>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</si>
  <si>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</si>
  <si>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</si>
  <si>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</si>
  <si>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</si>
  <si>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</si>
  <si>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</si>
  <si>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</si>
  <si>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</si>
  <si>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</si>
  <si>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</si>
  <si>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</si>
  <si>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</si>
  <si>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</si>
  <si>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</si>
  <si>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</si>
  <si>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</si>
  <si>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</si>
  <si>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</si>
  <si>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</si>
  <si>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</si>
  <si>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</si>
  <si>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</si>
  <si>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</si>
  <si>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</si>
  <si>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</si>
  <si>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</si>
  <si>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</si>
  <si>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</si>
  <si>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</si>
  <si>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</si>
  <si>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</si>
  <si>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</si>
  <si>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</si>
  <si>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</si>
  <si>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</si>
  <si>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</si>
  <si>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</si>
  <si>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</si>
  <si>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</si>
  <si>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</si>
  <si>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</si>
  <si>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</si>
  <si>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</si>
  <si>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</si>
  <si>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</si>
  <si>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</si>
  <si>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</si>
  <si>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</si>
  <si>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</si>
  <si>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</si>
  <si>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</si>
  <si>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</si>
  <si>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</si>
  <si>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</si>
  <si>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</si>
  <si>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</si>
  <si>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</si>
  <si>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</si>
  <si>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</si>
  <si>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</si>
  <si>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</si>
  <si>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</si>
  <si>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</si>
  <si>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</si>
  <si>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</si>
  <si>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</si>
  <si>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</si>
  <si>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</si>
  <si>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</si>
  <si>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</si>
  <si>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</si>
  <si>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</si>
  <si>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</si>
  <si>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</si>
  <si>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</si>
  <si>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</si>
  <si>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</si>
  <si>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</si>
  <si>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</si>
  <si>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</si>
  <si>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</si>
  <si>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</si>
  <si>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</si>
  <si>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</si>
  <si>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</si>
  <si>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</si>
  <si>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</si>
  <si>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</si>
  <si>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</si>
  <si>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</si>
  <si>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</si>
  <si>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</si>
  <si>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</si>
  <si>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</si>
  <si>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</si>
  <si>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</si>
  <si>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</si>
  <si>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</si>
  <si>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</si>
  <si>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</si>
  <si>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</si>
  <si>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</si>
  <si>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</si>
  <si>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</si>
  <si>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</si>
  <si>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</si>
  <si>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</si>
  <si>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</si>
  <si>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</si>
  <si>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</si>
  <si>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</si>
  <si>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</si>
  <si>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</si>
  <si>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</si>
  <si>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</si>
  <si>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</si>
  <si>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</si>
  <si>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</si>
  <si>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</si>
  <si>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</si>
  <si>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</si>
  <si>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</si>
  <si>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</si>
  <si>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</si>
  <si>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</si>
  <si>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</si>
  <si>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</si>
  <si>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</si>
  <si>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</si>
  <si>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</si>
  <si>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</si>
  <si>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</si>
  <si>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</si>
  <si>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</si>
  <si>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</si>
  <si>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</si>
  <si>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</si>
  <si>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</si>
  <si>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</si>
  <si>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</si>
  <si>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</si>
  <si>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</si>
  <si>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</si>
  <si>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</si>
  <si>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</si>
  <si>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</si>
  <si>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</si>
  <si>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</si>
  <si>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</si>
  <si>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</si>
  <si>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</si>
  <si>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</si>
  <si>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</si>
  <si>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</si>
  <si>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</si>
  <si>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</si>
  <si>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</si>
  <si>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</si>
  <si>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</si>
  <si>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</si>
  <si>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</si>
  <si>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</si>
  <si>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</si>
  <si>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</si>
  <si>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</si>
  <si>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</si>
  <si>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</si>
  <si>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</si>
  <si>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</si>
  <si>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</si>
  <si>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</si>
  <si>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</si>
  <si>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</si>
  <si>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</si>
  <si>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</si>
  <si>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</si>
  <si>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</si>
  <si>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</si>
  <si>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</si>
  <si>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</si>
  <si>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</si>
  <si>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</si>
  <si>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</si>
  <si>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</si>
  <si>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</si>
  <si>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</si>
  <si>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</si>
  <si>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</si>
  <si>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</si>
  <si>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</si>
  <si>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</si>
  <si>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</si>
  <si>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</si>
  <si>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</si>
  <si>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</si>
  <si>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</si>
  <si>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</si>
  <si>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</si>
  <si>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</si>
  <si>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</si>
  <si>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</si>
  <si>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</si>
  <si>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</si>
  <si>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</si>
  <si>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</si>
  <si>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</si>
  <si>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</si>
  <si>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</si>
  <si>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</si>
  <si>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</si>
  <si>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</si>
  <si>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</si>
  <si>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</si>
  <si>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</si>
  <si>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</si>
  <si>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</si>
  <si>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</si>
  <si>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</si>
  <si>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</si>
  <si>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</si>
  <si>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</si>
  <si>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</si>
  <si>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</si>
  <si>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</si>
  <si>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</si>
  <si>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</si>
  <si>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</si>
  <si>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</si>
  <si>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</si>
  <si>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</si>
  <si>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</si>
  <si>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</si>
  <si>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</si>
  <si>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</si>
  <si>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</si>
  <si>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</si>
  <si>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</si>
  <si>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</si>
  <si>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</si>
  <si>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</si>
  <si>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</si>
  <si>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</si>
  <si>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</si>
  <si>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</si>
  <si>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</si>
  <si>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</si>
  <si>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</si>
  <si>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</si>
  <si>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</si>
  <si>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</si>
  <si>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</si>
  <si>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</si>
  <si>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</si>
  <si>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</si>
  <si>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</si>
  <si>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</si>
  <si>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</si>
  <si>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</si>
  <si>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</si>
  <si>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</si>
  <si>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</si>
  <si>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</si>
  <si>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</si>
  <si>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</si>
  <si>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</si>
  <si>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</si>
  <si>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</si>
  <si>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</si>
  <si>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</si>
  <si>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</si>
  <si>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</si>
  <si>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</si>
  <si>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</si>
  <si>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</si>
  <si>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</si>
  <si>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</si>
  <si>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</si>
  <si>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</si>
  <si>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</si>
  <si>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</si>
  <si>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</si>
  <si>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</si>
  <si>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</si>
  <si>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</si>
  <si>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</si>
  <si>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</si>
  <si>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</si>
  <si>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</si>
  <si>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</si>
  <si>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</si>
  <si>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</si>
  <si>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</si>
  <si>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</si>
  <si>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</si>
  <si>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</si>
  <si>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</si>
  <si>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</si>
  <si>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</si>
  <si>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</si>
  <si>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</si>
  <si>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</si>
  <si>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</si>
  <si>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</si>
  <si>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</si>
  <si>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</si>
  <si>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</si>
  <si>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</si>
  <si>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</si>
  <si>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</si>
  <si>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</si>
  <si>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</si>
  <si>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</si>
  <si>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</si>
  <si>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</si>
  <si>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</si>
  <si>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</si>
  <si>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</si>
  <si>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</si>
  <si>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</si>
  <si>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</si>
  <si>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</si>
  <si>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</si>
  <si>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</si>
  <si>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</si>
  <si>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</si>
  <si>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</si>
  <si>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</si>
  <si>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</si>
  <si>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</si>
  <si>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</si>
  <si>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</si>
  <si>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</si>
  <si>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</si>
  <si>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</si>
  <si>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</si>
  <si>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</si>
  <si>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</si>
  <si>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</si>
  <si>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</si>
  <si>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</si>
  <si>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</si>
  <si>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</si>
  <si>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</si>
  <si>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</si>
  <si>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</si>
  <si>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</si>
  <si>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</si>
  <si>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</si>
  <si>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</si>
  <si>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</si>
  <si>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</si>
  <si>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</si>
  <si>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</si>
  <si>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</si>
  <si>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</si>
  <si>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</si>
  <si>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</si>
  <si>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</si>
  <si>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</si>
  <si>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</si>
  <si>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</si>
  <si>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</si>
  <si>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</si>
  <si>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</si>
  <si>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</si>
  <si>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</si>
  <si>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</si>
  <si>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</si>
  <si>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</si>
  <si>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</si>
  <si>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</si>
  <si>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</si>
  <si>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</si>
  <si>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</si>
  <si>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</si>
  <si>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</si>
  <si>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</si>
  <si>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</si>
  <si>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</si>
  <si>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</si>
  <si>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</si>
  <si>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</si>
  <si>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</si>
  <si>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</si>
  <si>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</si>
  <si>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</si>
  <si>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</si>
  <si>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</si>
  <si>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</si>
  <si>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</si>
  <si>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</si>
  <si>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</si>
  <si>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</si>
  <si>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</si>
  <si>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</si>
  <si>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</si>
  <si>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</si>
  <si>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</si>
  <si>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</si>
  <si>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</si>
  <si>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</si>
  <si>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</si>
  <si>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</si>
  <si>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</si>
  <si>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</si>
  <si>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</si>
  <si>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</si>
  <si>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</si>
  <si>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</si>
  <si>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</si>
  <si>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</si>
  <si>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</si>
  <si>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</si>
  <si>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</si>
  <si>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</si>
  <si>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</si>
  <si>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</si>
  <si>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</si>
  <si>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</si>
  <si>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</si>
  <si>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</si>
  <si>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</si>
  <si>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</si>
  <si>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</si>
  <si>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</si>
  <si>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</si>
  <si>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</si>
  <si>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</si>
  <si>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</si>
  <si>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</si>
  <si>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</si>
  <si>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</si>
  <si>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</si>
  <si>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</si>
  <si>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</si>
  <si>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</si>
  <si>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</si>
  <si>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</si>
  <si>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</si>
  <si>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</si>
  <si>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</si>
  <si>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</si>
  <si>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</si>
  <si>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</si>
  <si>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</si>
  <si>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</si>
  <si>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</si>
  <si>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</si>
  <si>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</si>
  <si>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</si>
  <si>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</si>
  <si>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</si>
  <si>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</si>
  <si>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</si>
  <si>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</si>
  <si>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</si>
  <si>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</si>
  <si>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</si>
  <si>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</si>
  <si>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</si>
  <si>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</si>
  <si>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</si>
  <si>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</si>
  <si>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</si>
  <si>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</si>
  <si>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</si>
  <si>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</si>
  <si>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</si>
  <si>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</si>
  <si>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</si>
  <si>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</si>
  <si>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</si>
  <si>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</si>
  <si>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</si>
  <si>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</si>
  <si>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</si>
  <si>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</si>
  <si>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</si>
  <si>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</si>
  <si>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</si>
  <si>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</si>
  <si>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</si>
  <si>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</si>
  <si>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</si>
  <si>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</si>
  <si>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</si>
  <si>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</si>
  <si>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</si>
  <si>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</si>
  <si>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</si>
  <si>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</si>
  <si>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</si>
  <si>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</si>
  <si>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</si>
  <si>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</si>
  <si>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</si>
  <si>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</si>
  <si>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</si>
  <si>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</si>
  <si>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</si>
  <si>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</si>
  <si>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</si>
  <si>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</si>
  <si>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</si>
  <si>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</si>
  <si>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</si>
  <si>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</si>
  <si>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</si>
  <si>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</si>
  <si>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</si>
  <si>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</si>
  <si>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</si>
  <si>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</si>
  <si>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</si>
  <si>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</si>
  <si>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</si>
  <si>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</si>
  <si>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</si>
  <si>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</si>
  <si>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</si>
  <si>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</si>
  <si>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</si>
  <si>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</si>
  <si>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</si>
  <si>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</si>
  <si>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</si>
  <si>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</si>
  <si>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</si>
  <si>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</si>
  <si>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</si>
  <si>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</si>
  <si>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</si>
  <si>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</si>
  <si>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</si>
  <si>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</si>
  <si>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</si>
  <si>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</si>
  <si>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</si>
  <si>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</si>
  <si>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</si>
  <si>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</si>
  <si>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</si>
  <si>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</si>
  <si>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</si>
  <si>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</si>
  <si>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</si>
  <si>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</si>
  <si>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</si>
  <si>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</si>
  <si>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</si>
  <si>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</si>
  <si>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</si>
  <si>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</si>
  <si>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</si>
  <si>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</si>
  <si>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</si>
  <si>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</si>
  <si>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</si>
  <si>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</si>
  <si>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</si>
  <si>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</si>
  <si>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</si>
  <si>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</si>
  <si>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</si>
  <si>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</si>
  <si>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</si>
  <si>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</si>
  <si>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</si>
  <si>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</si>
  <si>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</si>
  <si>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</si>
  <si>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</si>
  <si>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</si>
  <si>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</si>
  <si>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</si>
  <si>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</si>
  <si>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</si>
  <si>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</si>
  <si>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</si>
  <si>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</si>
  <si>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</si>
  <si>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</si>
  <si>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</si>
  <si>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</si>
  <si>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</si>
  <si>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</si>
  <si>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</si>
  <si>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</si>
  <si>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</si>
  <si>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</si>
  <si>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</si>
  <si>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</si>
  <si>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</si>
  <si>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</si>
  <si>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</si>
  <si>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</si>
  <si>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</si>
  <si>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</si>
  <si>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</si>
  <si>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</si>
  <si>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</si>
  <si>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</si>
  <si>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</si>
  <si>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</si>
  <si>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</si>
  <si>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</si>
  <si>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</si>
  <si>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</si>
  <si>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</si>
  <si>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</si>
  <si>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</si>
  <si>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</si>
  <si>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</si>
  <si>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</si>
  <si>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</si>
  <si>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</si>
  <si>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</si>
  <si>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</si>
  <si>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</si>
  <si>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</si>
  <si>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</si>
  <si>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</si>
  <si>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</si>
  <si>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</si>
  <si>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</si>
  <si>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</si>
  <si>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</si>
  <si>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</si>
  <si>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</si>
  <si>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</si>
  <si>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</si>
  <si>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</si>
  <si>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</si>
  <si>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</si>
  <si>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</si>
  <si>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</si>
  <si>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</si>
  <si>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</si>
  <si>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</si>
  <si>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</si>
  <si>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</si>
  <si>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</si>
  <si>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</si>
  <si>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</si>
  <si>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</si>
  <si>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</si>
  <si>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</si>
  <si>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</si>
  <si>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</si>
  <si>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</si>
  <si>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</si>
  <si>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</si>
  <si>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</si>
  <si>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</si>
  <si>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</si>
  <si>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</si>
  <si>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</si>
  <si>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</si>
  <si>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</si>
  <si>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</si>
  <si>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</si>
  <si>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</si>
  <si>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</si>
  <si>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</si>
  <si>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</si>
  <si>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</si>
  <si>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</si>
  <si>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</si>
  <si>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</si>
  <si>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</si>
  <si>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</si>
  <si>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</si>
  <si>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</si>
  <si>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</si>
  <si>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</si>
  <si>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</si>
  <si>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</si>
  <si>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</si>
  <si>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</si>
  <si>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</si>
  <si>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</si>
  <si>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</si>
  <si>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</si>
  <si>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</si>
  <si>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</si>
  <si>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</si>
  <si>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</si>
  <si>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</si>
  <si>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</si>
  <si>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</si>
  <si>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</si>
  <si>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</si>
  <si>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</si>
  <si>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</si>
  <si>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</si>
  <si>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</si>
  <si>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</si>
  <si>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</si>
  <si>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</si>
  <si>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</si>
  <si>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</si>
  <si>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</si>
  <si>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</si>
  <si>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</si>
  <si>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</si>
  <si>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</si>
  <si>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</si>
  <si>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</si>
  <si>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</si>
  <si>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</si>
  <si>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</si>
  <si>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</si>
  <si>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</si>
  <si>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</si>
  <si>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</si>
  <si>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</si>
  <si>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</si>
  <si>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</si>
  <si>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</si>
  <si>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</si>
  <si>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</si>
  <si>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</si>
  <si>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</si>
  <si>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</si>
  <si>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</si>
  <si>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</si>
  <si>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</si>
  <si>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</si>
  <si>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</si>
  <si>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</si>
  <si>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</si>
  <si>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</si>
  <si>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</si>
  <si>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</si>
  <si>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</si>
  <si>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</si>
  <si>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</si>
  <si>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</si>
  <si>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</si>
  <si>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</si>
  <si>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</si>
  <si>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</si>
  <si>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</si>
  <si>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</si>
  <si>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</si>
  <si>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</si>
  <si>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</si>
  <si>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</si>
  <si>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</si>
  <si>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</si>
  <si>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</si>
  <si>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</si>
  <si>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</si>
  <si>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</si>
  <si>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</si>
  <si>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</si>
  <si>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</si>
  <si>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</si>
  <si>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</si>
  <si>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</si>
  <si>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</si>
  <si>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</si>
  <si>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</si>
  <si>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</si>
  <si>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</si>
  <si>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</si>
  <si>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</si>
  <si>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</si>
  <si>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</si>
  <si>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</si>
  <si>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</si>
  <si>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</si>
  <si>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</si>
  <si>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</si>
  <si>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</si>
  <si>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</si>
  <si>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</si>
  <si>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</si>
  <si>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</si>
  <si>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</si>
  <si>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</si>
  <si>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</si>
  <si>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</si>
  <si>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</si>
  <si>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</si>
  <si>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</si>
  <si>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</si>
  <si>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</si>
  <si>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</si>
  <si>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</si>
  <si>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</si>
  <si>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</si>
  <si>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</si>
  <si>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</si>
  <si>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</si>
  <si>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</si>
  <si>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</si>
  <si>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</si>
  <si>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</si>
  <si>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</si>
  <si>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</si>
  <si>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</si>
  <si>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</si>
  <si>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</si>
  <si>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</si>
  <si>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</si>
  <si>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</si>
  <si>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</si>
  <si>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</si>
  <si>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</si>
  <si>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</si>
  <si>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</si>
  <si>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</si>
  <si>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</si>
  <si>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</si>
  <si>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</si>
  <si>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</si>
  <si>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</si>
  <si>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</si>
  <si>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</si>
  <si>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</si>
  <si>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</si>
  <si>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</si>
  <si>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</si>
  <si>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</si>
  <si>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</si>
  <si>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</si>
  <si>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</si>
  <si>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</si>
  <si>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</si>
  <si>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</si>
  <si>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</si>
  <si>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</si>
  <si>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</si>
  <si>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</si>
  <si>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</si>
  <si>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</si>
  <si>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</si>
  <si>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</si>
  <si>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</si>
  <si>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</si>
  <si>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</si>
  <si>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</si>
  <si>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</si>
  <si>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</si>
  <si>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</si>
  <si>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</si>
  <si>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</si>
  <si>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</si>
  <si>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</si>
  <si>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</si>
  <si>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</si>
  <si>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</si>
  <si>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</si>
  <si>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</si>
  <si>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</si>
  <si>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</si>
  <si>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</si>
  <si>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</si>
  <si>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</si>
  <si>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</si>
  <si>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</si>
  <si>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</si>
  <si>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</si>
  <si>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</si>
  <si>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</si>
  <si>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</si>
  <si>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</si>
  <si>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</si>
  <si>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</si>
  <si>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</si>
  <si>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</si>
  <si>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</si>
  <si>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</si>
  <si>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</si>
  <si>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</si>
  <si>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</si>
  <si>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</si>
  <si>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</si>
  <si>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</si>
  <si>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</si>
  <si>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</si>
  <si>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</si>
  <si>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</si>
  <si>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</si>
  <si>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</si>
  <si>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</si>
  <si>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</si>
  <si>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</si>
  <si>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</si>
  <si>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</si>
  <si>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</si>
  <si>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</si>
  <si>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</si>
  <si>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</si>
  <si>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</si>
  <si>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</si>
  <si>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</si>
  <si>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</si>
  <si>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</si>
  <si>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</si>
  <si>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</si>
  <si>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</si>
  <si>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</si>
  <si>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</si>
  <si>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</si>
  <si>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</si>
  <si>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</si>
  <si>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</si>
  <si>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</si>
  <si>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</si>
  <si>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</si>
  <si>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</si>
  <si>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</si>
  <si>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</si>
  <si>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</si>
  <si>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</si>
  <si>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</si>
  <si>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</si>
  <si>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</si>
  <si>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</si>
  <si>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</si>
  <si>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</si>
  <si>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</si>
  <si>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</si>
  <si>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</si>
  <si>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</si>
  <si>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</si>
  <si>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</si>
  <si>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</si>
  <si>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</si>
  <si>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</si>
  <si>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</si>
  <si>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</si>
  <si>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</si>
  <si>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</si>
  <si>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</si>
  <si>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</si>
  <si>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</si>
  <si>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</si>
  <si>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</si>
  <si>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</si>
  <si>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</si>
  <si>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</si>
  <si>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</si>
  <si>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</si>
  <si>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</si>
  <si>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</si>
  <si>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</si>
  <si>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</si>
  <si>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</si>
  <si>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</si>
  <si>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</si>
  <si>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</si>
  <si>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</si>
  <si>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</si>
  <si>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</si>
  <si>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</si>
  <si>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</si>
  <si>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</si>
  <si>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</si>
  <si>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</si>
  <si>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</si>
  <si>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</si>
  <si>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</si>
  <si>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</si>
  <si>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</si>
  <si>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</si>
  <si>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</si>
  <si>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</si>
  <si>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</si>
  <si>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</si>
  <si>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</si>
  <si>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</si>
  <si>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</si>
  <si>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</si>
  <si>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</si>
  <si>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</si>
  <si>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</si>
  <si>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</si>
  <si>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</si>
  <si>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</si>
  <si>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</si>
  <si>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</si>
  <si>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</si>
  <si>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</si>
  <si>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</si>
  <si>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</si>
  <si>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</si>
  <si>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</si>
  <si>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</si>
  <si>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</si>
  <si>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</si>
  <si>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</si>
  <si>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</si>
  <si>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</si>
  <si>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</si>
  <si>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</si>
  <si>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</si>
  <si>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</si>
  <si>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</si>
  <si>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</si>
  <si>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</si>
  <si>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</si>
  <si>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</si>
  <si>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</si>
  <si>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</si>
  <si>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</si>
  <si>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</si>
  <si>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</si>
  <si>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</si>
  <si>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</si>
  <si>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</si>
  <si>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</si>
  <si>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</si>
  <si>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</si>
  <si>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</si>
  <si>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</si>
  <si>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</si>
  <si>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</si>
  <si>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</si>
  <si>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</si>
  <si>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</si>
  <si>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</si>
  <si>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</si>
  <si>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</si>
  <si>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</si>
  <si>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</si>
  <si>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</si>
  <si>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</si>
  <si>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</si>
  <si>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</si>
  <si>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</si>
  <si>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</si>
  <si>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</si>
  <si>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</si>
  <si>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</si>
  <si>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</si>
  <si>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</si>
  <si>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</si>
  <si>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</si>
  <si>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</si>
  <si>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</si>
  <si>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</si>
  <si>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</si>
  <si>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</si>
  <si>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</si>
  <si>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</si>
  <si>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</si>
  <si>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</si>
  <si>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</si>
  <si>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</si>
  <si>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</si>
  <si>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</si>
  <si>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</si>
  <si>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</si>
  <si>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</si>
  <si>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</si>
  <si>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</si>
  <si>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</si>
  <si>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</si>
  <si>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</si>
  <si>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</si>
  <si>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</si>
  <si>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</si>
  <si>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</si>
  <si>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</si>
  <si>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</si>
  <si>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</si>
  <si>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</si>
  <si>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</si>
  <si>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</si>
  <si>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</si>
  <si>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</si>
  <si>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</si>
  <si>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</si>
  <si>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</si>
  <si>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</si>
  <si>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</si>
  <si>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</si>
  <si>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</si>
  <si>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</si>
  <si>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</si>
  <si>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</si>
  <si>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</si>
  <si>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</si>
  <si>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</si>
  <si>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</si>
  <si>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</si>
  <si>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</si>
  <si>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</si>
  <si>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</si>
  <si>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</si>
  <si>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</si>
  <si>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</si>
  <si>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</si>
  <si>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</si>
  <si>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</si>
  <si>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</si>
  <si>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</si>
  <si>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</si>
  <si>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</si>
  <si>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</si>
  <si>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</si>
  <si>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</si>
  <si>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</si>
  <si>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</si>
  <si>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</si>
  <si>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</si>
  <si>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</si>
  <si>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</si>
  <si>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</si>
  <si>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</si>
  <si>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</si>
  <si>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</si>
  <si>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</si>
  <si>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</si>
  <si>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</si>
  <si>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</si>
  <si>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</si>
  <si>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</si>
  <si>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</si>
  <si>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</si>
  <si>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</si>
  <si>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</si>
  <si>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</si>
  <si>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</si>
  <si>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</si>
  <si>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</si>
  <si>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</si>
  <si>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</si>
  <si>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</si>
  <si>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</si>
  <si>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</si>
  <si>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</si>
  <si>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</si>
  <si>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</si>
  <si>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</si>
  <si>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</si>
  <si>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</si>
  <si>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</si>
  <si>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</si>
  <si>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</si>
  <si>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</si>
  <si>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</si>
  <si>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</si>
  <si>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</si>
  <si>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</si>
  <si>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</si>
  <si>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</si>
  <si>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</si>
  <si>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</si>
  <si>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</si>
  <si>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</si>
  <si>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</si>
  <si>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</si>
  <si>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</si>
  <si>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</si>
  <si>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</si>
  <si>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</si>
  <si>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</si>
  <si>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</si>
  <si>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</si>
  <si>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</si>
  <si>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</si>
  <si>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</si>
  <si>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</si>
  <si>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</si>
  <si>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</si>
  <si>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</si>
  <si>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</si>
  <si>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</si>
  <si>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</si>
  <si>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</si>
  <si>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</si>
  <si>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</si>
  <si>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</si>
  <si>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</si>
  <si>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</si>
  <si>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</si>
  <si>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</si>
  <si>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</si>
  <si>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</si>
  <si>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</si>
  <si>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</si>
  <si>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</si>
  <si>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</si>
  <si>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</si>
  <si>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</si>
  <si>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</si>
  <si>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</si>
  <si>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</si>
  <si>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</si>
  <si>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</si>
  <si>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</si>
  <si>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</si>
  <si>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</si>
  <si>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</si>
  <si>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</si>
  <si>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</si>
  <si>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</si>
  <si>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</si>
  <si>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</si>
  <si>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</si>
  <si>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</si>
  <si>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</si>
  <si>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</si>
  <si>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</si>
  <si>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</si>
  <si>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</si>
  <si>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</si>
  <si>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</si>
  <si>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</si>
  <si>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</si>
  <si>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</si>
  <si>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</si>
  <si>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</si>
  <si>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</si>
  <si>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</si>
  <si>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</si>
  <si>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</si>
  <si>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</si>
  <si>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</si>
  <si>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</si>
  <si>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</si>
  <si>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</si>
  <si>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</si>
  <si>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</si>
  <si>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</si>
  <si>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</si>
  <si>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</si>
  <si>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</si>
  <si>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</si>
  <si>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</si>
  <si>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</si>
  <si>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</si>
  <si>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</si>
  <si>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</si>
  <si>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</si>
  <si>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</si>
  <si>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</si>
  <si>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</si>
  <si>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</si>
  <si>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</si>
  <si>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</si>
  <si>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</si>
  <si>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</si>
  <si>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</si>
  <si>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</si>
  <si>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</si>
  <si>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</si>
  <si>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</si>
  <si>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</si>
  <si>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</si>
  <si>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</si>
  <si>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</si>
  <si>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</si>
  <si>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</si>
  <si>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</si>
  <si>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</si>
  <si>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</si>
  <si>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</si>
  <si>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</si>
  <si>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</si>
  <si>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</si>
  <si>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</si>
  <si>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</si>
  <si>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</si>
  <si>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</si>
  <si>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</si>
  <si>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</si>
  <si>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</si>
  <si>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</si>
  <si>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</si>
  <si>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</si>
  <si>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</si>
  <si>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</si>
  <si>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</si>
  <si>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</si>
  <si>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</si>
  <si>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</si>
  <si>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</si>
  <si>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</si>
  <si>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</si>
  <si>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</si>
  <si>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</si>
  <si>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</si>
  <si>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</si>
  <si>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</si>
  <si>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</si>
  <si>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</si>
  <si>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</si>
  <si>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</si>
  <si>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</si>
  <si>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</si>
  <si>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</si>
  <si>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</si>
  <si>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</si>
  <si>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</si>
  <si>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</si>
  <si>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</si>
  <si>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</si>
  <si>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</si>
  <si>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</si>
  <si>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</si>
  <si>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</si>
  <si>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</si>
  <si>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</si>
  <si>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</si>
  <si>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</si>
  <si>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</si>
  <si>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</si>
  <si>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</si>
  <si>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</si>
  <si>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</si>
  <si>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</si>
  <si>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</si>
  <si>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</si>
  <si>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</si>
  <si>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</si>
  <si>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</si>
  <si>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</si>
  <si>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</si>
  <si>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</si>
  <si>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</si>
  <si>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</si>
  <si>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</si>
  <si>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</si>
  <si>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</si>
  <si>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</si>
  <si>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</si>
  <si>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</si>
  <si>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</si>
  <si>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</si>
  <si>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</si>
  <si>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</si>
  <si>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</si>
  <si>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</si>
  <si>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</si>
  <si>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</si>
  <si>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</si>
  <si>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</si>
  <si>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</si>
  <si>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</si>
  <si>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</si>
  <si>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</si>
  <si>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</si>
  <si>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</si>
  <si>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</si>
  <si>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</si>
  <si>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</si>
  <si>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</si>
  <si>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</si>
  <si>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</si>
  <si>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</si>
  <si>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</si>
  <si>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</si>
  <si>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</si>
  <si>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</si>
  <si>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</si>
  <si>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</si>
  <si>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</si>
  <si>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</si>
  <si>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</si>
  <si>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</si>
  <si>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</si>
  <si>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</si>
  <si>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</si>
  <si>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</si>
  <si>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</si>
  <si>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</si>
  <si>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</si>
  <si>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</si>
  <si>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</si>
  <si>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</si>
  <si>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</si>
  <si>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</si>
  <si>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</si>
  <si>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</si>
  <si>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</si>
  <si>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</si>
  <si>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</si>
  <si>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</si>
  <si>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</si>
  <si>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</si>
  <si>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</si>
  <si>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</si>
  <si>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</si>
  <si>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</si>
  <si>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</si>
  <si>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</si>
  <si>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</si>
  <si>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</si>
  <si>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</si>
  <si>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</si>
  <si>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</si>
  <si>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</si>
  <si>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</si>
  <si>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</si>
  <si>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</si>
  <si>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</si>
  <si>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</si>
  <si>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</si>
  <si>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</si>
  <si>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</si>
  <si>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</si>
  <si>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</si>
  <si>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</si>
  <si>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</si>
  <si>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</si>
  <si>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</si>
  <si>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</si>
  <si>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</si>
  <si>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</si>
  <si>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</si>
  <si>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</si>
  <si>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</si>
  <si>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</si>
  <si>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</si>
  <si>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</si>
  <si>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</si>
  <si>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</si>
  <si>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</si>
  <si>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</si>
  <si>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</si>
  <si>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</si>
  <si>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</si>
  <si>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</si>
  <si>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</si>
  <si>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</si>
  <si>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</si>
  <si>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</si>
  <si>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</si>
  <si>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</si>
  <si>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</si>
  <si>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</si>
  <si>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</si>
  <si>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</si>
  <si>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</si>
  <si>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</si>
  <si>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</si>
  <si>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</si>
  <si>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</si>
  <si>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</si>
  <si>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</si>
  <si>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</si>
  <si>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</si>
  <si>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</si>
  <si>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</si>
  <si>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</si>
  <si>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</si>
  <si>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</si>
  <si>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</si>
  <si>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</si>
  <si>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</si>
  <si>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</si>
  <si>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</si>
  <si>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</si>
  <si>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</si>
  <si>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</si>
  <si>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</si>
  <si>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</si>
  <si>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</si>
  <si>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</si>
  <si>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</si>
  <si>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</si>
  <si>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</si>
  <si>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</si>
  <si>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</si>
  <si>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</si>
  <si>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</si>
  <si>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</si>
  <si>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</si>
  <si>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</si>
  <si>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</si>
  <si>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</si>
  <si>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</si>
  <si>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</si>
  <si>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</si>
  <si>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</si>
  <si>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</si>
  <si>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</si>
  <si>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</si>
  <si>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</si>
  <si>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</si>
  <si>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</si>
  <si>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</si>
  <si>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</si>
  <si>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</si>
  <si>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</si>
  <si>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</si>
  <si>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</si>
  <si>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</si>
  <si>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</si>
  <si>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</si>
  <si>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</si>
  <si>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</si>
  <si>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</si>
  <si>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</si>
  <si>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</si>
  <si>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</si>
  <si>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</si>
  <si>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</si>
  <si>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</si>
  <si>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</si>
  <si>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</si>
  <si>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</si>
  <si>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</si>
  <si>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</si>
  <si>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</si>
  <si>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</si>
  <si>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</si>
  <si>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</si>
  <si>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</si>
  <si>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</si>
  <si>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</si>
  <si>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</si>
  <si>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</si>
  <si>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</si>
  <si>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</si>
  <si>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</si>
  <si>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</si>
  <si>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</si>
  <si>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</si>
  <si>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</si>
  <si>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</si>
  <si>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</si>
  <si>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</si>
  <si>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</si>
  <si>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</si>
  <si>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</si>
  <si>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</si>
  <si>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</si>
  <si>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</si>
  <si>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</si>
  <si>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</si>
  <si>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</si>
  <si>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</si>
  <si>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</si>
  <si>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</si>
  <si>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</si>
  <si>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</si>
  <si>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</si>
  <si>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</si>
  <si>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</si>
  <si>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</si>
  <si>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</si>
  <si>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</si>
  <si>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</si>
  <si>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</si>
  <si>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</si>
  <si>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</si>
  <si>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</si>
  <si>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</si>
  <si>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</si>
  <si>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</si>
  <si>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</si>
  <si>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</si>
  <si>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</si>
  <si>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</si>
  <si>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</si>
  <si>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</si>
  <si>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</si>
  <si>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</si>
  <si>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</si>
  <si>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</si>
  <si>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</si>
  <si>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</si>
  <si>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</si>
  <si>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</si>
  <si>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</si>
  <si>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</si>
  <si>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</si>
  <si>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</si>
  <si>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</si>
  <si>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</si>
  <si>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</si>
  <si>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</si>
  <si>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</si>
  <si>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</si>
  <si>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</si>
  <si>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</si>
  <si>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</si>
  <si>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</si>
  <si>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</si>
  <si>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</si>
  <si>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</si>
  <si>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</si>
  <si>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</si>
  <si>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</si>
  <si>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</si>
  <si>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</si>
  <si>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</si>
  <si>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</si>
  <si>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</si>
  <si>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</si>
  <si>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</si>
  <si>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</si>
  <si>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</si>
  <si>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</si>
  <si>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</si>
  <si>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</si>
  <si>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</si>
  <si>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</si>
  <si>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</si>
  <si>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</si>
  <si>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</si>
  <si>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</si>
  <si>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</si>
  <si>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</si>
  <si>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</si>
  <si>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</si>
  <si>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</si>
  <si>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</si>
  <si>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</si>
  <si>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</si>
  <si>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</si>
  <si>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</si>
  <si>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</si>
  <si>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</si>
  <si>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</si>
  <si>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</si>
  <si>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</si>
  <si>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</si>
  <si>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</si>
  <si>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</si>
  <si>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</si>
  <si>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</si>
  <si>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</si>
  <si>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</si>
  <si>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</si>
  <si>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</si>
  <si>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</si>
  <si>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</si>
  <si>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</si>
  <si>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</si>
  <si>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</si>
  <si>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</si>
  <si>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</si>
  <si>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</si>
  <si>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</si>
  <si>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</si>
  <si>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</si>
  <si>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</si>
  <si>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</si>
  <si>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</si>
  <si>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</si>
  <si>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</si>
  <si>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</si>
  <si>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</si>
  <si>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</si>
  <si>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</si>
  <si>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</si>
  <si>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</si>
  <si>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</si>
  <si>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</si>
  <si>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</si>
  <si>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</si>
  <si>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</si>
  <si>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</si>
  <si>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</si>
  <si>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</si>
  <si>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</si>
  <si>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</si>
  <si>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</si>
  <si>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</si>
  <si>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</si>
  <si>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</si>
  <si>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</si>
  <si>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</si>
  <si>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</si>
  <si>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</si>
  <si>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</si>
  <si>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</si>
  <si>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</si>
  <si>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</si>
  <si>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</si>
  <si>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</si>
  <si>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</si>
  <si>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</si>
  <si>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</si>
  <si>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</si>
  <si>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</si>
  <si>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</si>
  <si>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</si>
  <si>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</si>
  <si>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</si>
  <si>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</si>
  <si>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</si>
  <si>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</si>
  <si>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</si>
  <si>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</si>
  <si>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</si>
  <si>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</si>
  <si>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</si>
  <si>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</si>
  <si>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</si>
  <si>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</si>
  <si>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</si>
  <si>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</si>
  <si>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</si>
  <si>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</si>
  <si>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</si>
  <si>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</si>
  <si>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</si>
  <si>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</si>
  <si>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</si>
  <si>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</si>
  <si>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</si>
  <si>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</si>
  <si>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</si>
  <si>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</si>
  <si>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</si>
  <si>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</si>
  <si>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</si>
  <si>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</si>
  <si>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</si>
  <si>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</si>
  <si>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</si>
  <si>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</si>
  <si>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</si>
  <si>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</si>
  <si>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</si>
  <si>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</si>
  <si>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</si>
  <si>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</si>
  <si>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</si>
  <si>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</si>
  <si>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</si>
  <si>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</si>
  <si>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</si>
  <si>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</si>
  <si>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</si>
  <si>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</si>
  <si>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</si>
  <si>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</si>
  <si>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</si>
  <si>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</si>
  <si>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</si>
  <si>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</si>
  <si>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</si>
  <si>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</si>
  <si>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</si>
  <si>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</si>
  <si>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</si>
  <si>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</si>
  <si>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</si>
  <si>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</si>
  <si>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</si>
  <si>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</si>
  <si>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</si>
  <si>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</si>
  <si>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</si>
  <si>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</si>
  <si>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</si>
  <si>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</si>
  <si>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</si>
  <si>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</si>
  <si>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</si>
  <si>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</si>
  <si>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</si>
  <si>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</si>
  <si>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</si>
  <si>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</si>
  <si>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</si>
  <si>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</si>
  <si>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</si>
  <si>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</si>
  <si>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</si>
  <si>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</si>
  <si>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</si>
  <si>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</si>
  <si>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</si>
  <si>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</si>
  <si>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</si>
  <si>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</si>
  <si>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</si>
  <si>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</si>
  <si>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</si>
  <si>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</si>
  <si>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</si>
  <si>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</si>
  <si>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</si>
  <si>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</si>
  <si>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</si>
  <si>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</si>
  <si>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</si>
  <si>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</si>
  <si>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</si>
  <si>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</si>
  <si>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</si>
  <si>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</si>
  <si>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</si>
  <si>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</si>
  <si>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</si>
  <si>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</si>
  <si>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</si>
  <si>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</si>
  <si>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</si>
  <si>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</si>
  <si>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</si>
  <si>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</si>
  <si>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</si>
  <si>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</si>
  <si>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</si>
  <si>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</si>
  <si>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</si>
  <si>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</si>
  <si>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</si>
  <si>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</si>
  <si>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</si>
  <si>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</si>
  <si>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</si>
  <si>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</si>
  <si>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</si>
  <si>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</si>
  <si>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</si>
  <si>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</si>
  <si>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</si>
  <si>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</si>
  <si>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</si>
  <si>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</si>
  <si>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</si>
  <si>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</si>
  <si>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</si>
  <si>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</si>
  <si>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</si>
  <si>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</si>
  <si>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</si>
  <si>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</si>
  <si>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</si>
  <si>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</si>
  <si>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</si>
  <si>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</si>
  <si>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</si>
  <si>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</si>
  <si>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</si>
  <si>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</si>
  <si>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</si>
  <si>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</si>
  <si>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</si>
  <si>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</si>
  <si>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</si>
  <si>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</si>
  <si>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</si>
  <si>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</si>
  <si>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</si>
  <si>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</si>
  <si>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</si>
  <si>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</si>
  <si>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</si>
  <si>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</si>
  <si>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</si>
  <si>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崔锴</t>
  </si>
  <si>
    <t>郑燚</t>
  </si>
  <si>
    <t>房地产抵押价值</t>
  </si>
  <si>
    <t>北京市</t>
  </si>
  <si>
    <t>企业</t>
  </si>
  <si>
    <t>实测报告</t>
    <phoneticPr fontId="134" type="noConversion"/>
  </si>
  <si>
    <t>部位及房号</t>
    <phoneticPr fontId="134" type="noConversion"/>
  </si>
  <si>
    <t>建筑面积</t>
    <phoneticPr fontId="134" type="noConversion"/>
  </si>
  <si>
    <r>
      <rPr>
        <sz val="10"/>
        <color theme="9" tint="-0.249977111117893"/>
        <rFont val="宋体"/>
        <family val="3"/>
        <charset val="134"/>
      </rPr>
      <t>海淀区魏公村路</t>
    </r>
    <r>
      <rPr>
        <sz val="10"/>
        <color theme="9" tint="-0.249977111117893"/>
        <rFont val="Arial"/>
        <family val="2"/>
      </rPr>
      <t>6</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</si>
  <si>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规划用途</t>
    <phoneticPr fontId="134" type="noConversion"/>
  </si>
  <si>
    <t>1单元</t>
    <phoneticPr fontId="134" type="noConversion"/>
  </si>
  <si>
    <t>2单元</t>
    <phoneticPr fontId="134" type="noConversion"/>
  </si>
  <si>
    <t>-4层(-4)</t>
    <phoneticPr fontId="134" type="noConversion"/>
  </si>
  <si>
    <t>车位</t>
  </si>
  <si>
    <t>戊类库房</t>
  </si>
  <si>
    <t>-3层(-3)</t>
    <phoneticPr fontId="134" type="noConversion"/>
  </si>
  <si>
    <t>可回收物品存储间</t>
  </si>
  <si>
    <t>保洁库房</t>
  </si>
  <si>
    <t>配套用房</t>
  </si>
  <si>
    <t>-2层(-2)</t>
    <phoneticPr fontId="134" type="noConversion"/>
  </si>
  <si>
    <t>员工餐厅（办公）</t>
  </si>
  <si>
    <t>-1层(-1)</t>
    <phoneticPr fontId="134" type="noConversion"/>
  </si>
  <si>
    <t>健身房、更衣区（办公）及游泳池（办公）</t>
  </si>
  <si>
    <t>1层(01)</t>
    <phoneticPr fontId="134" type="noConversion"/>
  </si>
  <si>
    <t>2层(02)</t>
    <phoneticPr fontId="134" type="noConversion"/>
  </si>
  <si>
    <t>3层(03)</t>
    <phoneticPr fontId="134" type="noConversion"/>
  </si>
  <si>
    <t>黄色出售给蚂蚁集团，剩余抵押</t>
    <phoneticPr fontId="134" type="noConversion"/>
  </si>
  <si>
    <t>面积总计</t>
    <phoneticPr fontId="134" type="noConversion"/>
  </si>
  <si>
    <t>合计</t>
    <phoneticPr fontId="134" type="noConversion"/>
  </si>
  <si>
    <t>-1层(-1)</t>
    <phoneticPr fontId="134" type="noConversion"/>
  </si>
  <si>
    <t>1层(01)</t>
    <phoneticPr fontId="134" type="noConversion"/>
  </si>
  <si>
    <t>商业小计</t>
    <phoneticPr fontId="134" type="noConversion"/>
  </si>
  <si>
    <t>办公小计</t>
    <phoneticPr fontId="134" type="noConversion"/>
  </si>
  <si>
    <t>车位小计</t>
    <phoneticPr fontId="134" type="noConversion"/>
  </si>
  <si>
    <t>——</t>
    <phoneticPr fontId="134" type="noConversion"/>
  </si>
  <si>
    <t>楼层</t>
    <phoneticPr fontId="134" type="noConversion"/>
  </si>
  <si>
    <t>库房小计</t>
    <phoneticPr fontId="134" type="noConversion"/>
  </si>
  <si>
    <t>是</t>
  </si>
  <si>
    <t>否</t>
  </si>
  <si>
    <t>已售</t>
    <phoneticPr fontId="3" type="noConversion"/>
  </si>
  <si>
    <t>地上</t>
  </si>
  <si>
    <t>底商</t>
  </si>
  <si>
    <t>地下</t>
  </si>
  <si>
    <t>办公楼</t>
  </si>
  <si>
    <t>建面</t>
  </si>
  <si>
    <t>单方建安</t>
  </si>
  <si>
    <t>合计</t>
  </si>
  <si>
    <t>建安</t>
  </si>
  <si>
    <t>主体</t>
  </si>
  <si>
    <t>装修</t>
  </si>
  <si>
    <t>设备</t>
  </si>
  <si>
    <t>人防设备</t>
  </si>
  <si>
    <t>综合平均</t>
  </si>
  <si>
    <t>办公</t>
    <phoneticPr fontId="7" type="noConversion"/>
  </si>
  <si>
    <t>商业</t>
    <phoneticPr fontId="7" type="noConversion"/>
  </si>
  <si>
    <t>车库</t>
    <phoneticPr fontId="7" type="noConversion"/>
  </si>
  <si>
    <t>库房</t>
  </si>
  <si>
    <t>库房</t>
    <phoneticPr fontId="7" type="noConversion"/>
  </si>
  <si>
    <t>成新度</t>
  </si>
  <si>
    <t>竣工验收</t>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</si>
  <si>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</si>
  <si>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</si>
  <si>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t>B1</t>
    </r>
    <r>
      <rPr>
        <sz val="10"/>
        <color indexed="8"/>
        <rFont val="宋体"/>
        <family val="3"/>
        <charset val="134"/>
      </rPr>
      <t>层</t>
    </r>
    <phoneticPr fontId="3" type="noConversion"/>
  </si>
  <si>
    <r>
      <t>B2</t>
    </r>
    <r>
      <rPr>
        <sz val="10"/>
        <color indexed="8"/>
        <rFont val="宋体"/>
        <family val="3"/>
        <charset val="134"/>
      </rPr>
      <t>层</t>
    </r>
    <phoneticPr fontId="3" type="noConversion"/>
  </si>
  <si>
    <t>地上办公</t>
    <phoneticPr fontId="3" type="noConversion"/>
  </si>
  <si>
    <t>地下办公</t>
    <phoneticPr fontId="3" type="noConversion"/>
  </si>
  <si>
    <t>面积</t>
    <phoneticPr fontId="3" type="noConversion"/>
  </si>
  <si>
    <t>商业</t>
    <phoneticPr fontId="3" type="noConversion"/>
  </si>
  <si>
    <r>
      <t>3</t>
    </r>
    <r>
      <rPr>
        <sz val="10"/>
        <color indexed="8"/>
        <rFont val="宋体"/>
        <family val="3"/>
        <charset val="134"/>
      </rPr>
      <t>层</t>
    </r>
    <phoneticPr fontId="3" type="noConversion"/>
  </si>
  <si>
    <t>系数</t>
    <phoneticPr fontId="3" type="noConversion"/>
  </si>
  <si>
    <t>租金</t>
    <phoneticPr fontId="3" type="noConversion"/>
  </si>
  <si>
    <t>总额</t>
    <phoneticPr fontId="3" type="noConversion"/>
  </si>
  <si>
    <t>收益法-办公</t>
  </si>
  <si>
    <t>收益法-办公</t>
    <phoneticPr fontId="16" type="noConversion"/>
  </si>
  <si>
    <t>收益法-商业</t>
  </si>
  <si>
    <t>收益法-商业</t>
    <phoneticPr fontId="16" type="noConversion"/>
  </si>
  <si>
    <t>收益法-车库</t>
  </si>
  <si>
    <t>收益法-车库</t>
    <phoneticPr fontId="16" type="noConversion"/>
  </si>
  <si>
    <t>收益法-库房</t>
  </si>
  <si>
    <t>收益法-库房</t>
    <phoneticPr fontId="16" type="noConversion"/>
  </si>
  <si>
    <t>押一</t>
  </si>
  <si>
    <t>钢混</t>
  </si>
  <si>
    <t>非生产用房</t>
  </si>
  <si>
    <t>自定义</t>
  </si>
  <si>
    <t>商务金融用地</t>
  </si>
  <si>
    <t>估价对象容积率</t>
  </si>
  <si>
    <t>不临65条商业街</t>
  </si>
  <si>
    <t>与级别开发程度不一致</t>
  </si>
  <si>
    <t>通路</t>
  </si>
  <si>
    <t>通电</t>
  </si>
  <si>
    <t>通讯</t>
  </si>
  <si>
    <t>通上水</t>
  </si>
  <si>
    <t>通下水</t>
  </si>
  <si>
    <t>燃气</t>
  </si>
  <si>
    <t>平整</t>
  </si>
  <si>
    <t>较好</t>
  </si>
  <si>
    <t>较差</t>
  </si>
  <si>
    <t>好</t>
  </si>
  <si>
    <t>基准地价修正-办公</t>
  </si>
  <si>
    <t>基准地价修正-办公</t>
    <phoneticPr fontId="16" type="noConversion"/>
  </si>
  <si>
    <t>基准地价修正-商业</t>
  </si>
  <si>
    <t>基准地价修正-商业</t>
    <phoneticPr fontId="16" type="noConversion"/>
  </si>
  <si>
    <t>楼层修正</t>
  </si>
  <si>
    <t>未包含在土地购买价格中</t>
  </si>
  <si>
    <t>全部缴纳</t>
  </si>
  <si>
    <t>已包含在土地取得成本中</t>
  </si>
  <si>
    <t>成本法</t>
  </si>
  <si>
    <t>收益法（汇总）</t>
  </si>
  <si>
    <t>总价</t>
  </si>
  <si>
    <t>成本比率</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</si>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</sst>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 "/>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69" fillId="0" borderId="0"/>
  </cellStyleXfs>
  <cellXfs count="39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9" fillId="0" borderId="1" xfId="0" applyNumberFormat="1" applyFont="1" applyFill="1" applyBorder="1" applyAlignment="1" applyProtection="1">
      <alignment horizontal="center" vertical="center" shrinkToFit="1"/>
    </xf>
    <xf numFmtId="196" fontId="19" fillId="0" borderId="1" xfId="0" applyNumberFormat="1" applyFont="1" applyFill="1" applyBorder="1" applyAlignment="1" applyProtection="1">
      <alignment horizontal="center" vertical="center" shrinkToFit="1"/>
    </xf>
    <xf numFmtId="0" fontId="107" fillId="0" borderId="0" xfId="0" applyFont="1" applyAlignment="1">
      <alignment horizontal="left" vertical="center"/>
    </xf>
    <xf numFmtId="0" fontId="112" fillId="0" borderId="0" xfId="0" applyFont="1" applyAlignment="1">
      <alignment horizontal="left" vertical="center"/>
    </xf>
    <xf numFmtId="196" fontId="19" fillId="0" borderId="1" xfId="0" applyNumberFormat="1" applyFont="1" applyFill="1" applyBorder="1" applyAlignment="1" applyProtection="1">
      <alignment horizontal="left" vertical="center" shrinkToFit="1"/>
    </xf>
    <xf numFmtId="0" fontId="19" fillId="0" borderId="1" xfId="0" applyNumberFormat="1" applyFont="1" applyFill="1" applyBorder="1" applyAlignment="1" applyProtection="1">
      <alignment horizontal="left" vertical="center" shrinkToFit="1"/>
    </xf>
    <xf numFmtId="0" fontId="107" fillId="0" borderId="1" xfId="0" applyFont="1" applyBorder="1" applyAlignment="1">
      <alignment horizontal="left" vertical="center"/>
    </xf>
    <xf numFmtId="0" fontId="107" fillId="0" borderId="1" xfId="0" applyNumberFormat="1" applyFont="1" applyBorder="1" applyAlignment="1">
      <alignment horizontal="left" vertical="center"/>
    </xf>
    <xf numFmtId="0" fontId="107" fillId="5" borderId="0" xfId="0" applyFont="1" applyFill="1" applyAlignment="1">
      <alignment horizontal="left" vertical="center"/>
    </xf>
    <xf numFmtId="0" fontId="19" fillId="5" borderId="1" xfId="0" applyNumberFormat="1" applyFont="1" applyFill="1" applyBorder="1" applyAlignment="1" applyProtection="1">
      <alignment horizontal="left" vertical="center" shrinkToFit="1"/>
    </xf>
    <xf numFmtId="196" fontId="19" fillId="5" borderId="1" xfId="0" applyNumberFormat="1" applyFont="1" applyFill="1" applyBorder="1" applyAlignment="1" applyProtection="1">
      <alignment horizontal="left" vertical="center" shrinkToFit="1"/>
    </xf>
    <xf numFmtId="0" fontId="19" fillId="5" borderId="1" xfId="0" applyNumberFormat="1" applyFont="1" applyFill="1" applyBorder="1" applyAlignment="1" applyProtection="1">
      <alignment horizontal="center" vertical="center" shrinkToFit="1"/>
    </xf>
    <xf numFmtId="196" fontId="19" fillId="5" borderId="1" xfId="0" applyNumberFormat="1" applyFont="1" applyFill="1" applyBorder="1" applyAlignment="1" applyProtection="1">
      <alignment horizontal="center" vertical="center" shrinkToFit="1"/>
    </xf>
    <xf numFmtId="0" fontId="112" fillId="0" borderId="0" xfId="0" applyFont="1" applyAlignment="1">
      <alignment vertical="center"/>
    </xf>
    <xf numFmtId="0" fontId="107" fillId="0" borderId="1" xfId="0" applyFont="1" applyBorder="1" applyAlignment="1">
      <alignment vertical="center"/>
    </xf>
    <xf numFmtId="0" fontId="0" fillId="0" borderId="0" xfId="0" applyAlignment="1">
      <alignment vertical="center"/>
    </xf>
    <xf numFmtId="0" fontId="107" fillId="0" borderId="0" xfId="0" applyFont="1" applyAlignment="1">
      <alignment vertical="center"/>
    </xf>
    <xf numFmtId="0" fontId="107" fillId="0" borderId="1" xfId="0" applyNumberFormat="1" applyFont="1" applyBorder="1" applyAlignment="1">
      <alignment vertical="center"/>
    </xf>
    <xf numFmtId="196" fontId="19" fillId="0" borderId="1" xfId="0" applyNumberFormat="1" applyFont="1" applyFill="1" applyBorder="1" applyAlignment="1" applyProtection="1">
      <alignment vertical="center" shrinkToFit="1"/>
    </xf>
    <xf numFmtId="0" fontId="19" fillId="0" borderId="1" xfId="0" applyNumberFormat="1" applyFont="1" applyFill="1" applyBorder="1" applyAlignment="1" applyProtection="1">
      <alignment vertical="center" shrinkToFit="1"/>
    </xf>
    <xf numFmtId="0" fontId="95" fillId="0" borderId="0" xfId="0" applyFont="1" applyAlignment="1">
      <alignment vertical="center"/>
    </xf>
    <xf numFmtId="179" fontId="0" fillId="0" borderId="0" xfId="0" applyNumberFormat="1" applyAlignment="1">
      <alignment horizontal="left" vertical="center"/>
    </xf>
    <xf numFmtId="0" fontId="19" fillId="0" borderId="0" xfId="0" applyNumberFormat="1" applyFont="1" applyFill="1" applyBorder="1" applyAlignment="1" applyProtection="1">
      <alignment vertical="center" shrinkToFit="1"/>
    </xf>
    <xf numFmtId="196" fontId="19" fillId="0" borderId="0" xfId="0" applyNumberFormat="1" applyFont="1" applyFill="1" applyBorder="1" applyAlignment="1" applyProtection="1">
      <alignment vertical="center" shrinkToFit="1"/>
    </xf>
    <xf numFmtId="0" fontId="19" fillId="0" borderId="13" xfId="0" applyNumberFormat="1" applyFont="1" applyFill="1" applyBorder="1" applyAlignment="1" applyProtection="1">
      <alignment vertical="center" shrinkToFit="1"/>
    </xf>
    <xf numFmtId="196" fontId="19" fillId="0" borderId="13" xfId="0" applyNumberFormat="1" applyFont="1" applyFill="1" applyBorder="1" applyAlignment="1" applyProtection="1">
      <alignment vertical="center" shrinkToFit="1"/>
    </xf>
    <xf numFmtId="0" fontId="19" fillId="0" borderId="2" xfId="0" applyNumberFormat="1" applyFont="1" applyFill="1" applyBorder="1" applyAlignment="1" applyProtection="1">
      <alignment vertical="center" shrinkToFit="1"/>
    </xf>
    <xf numFmtId="196" fontId="19" fillId="0" borderId="2" xfId="0" applyNumberFormat="1" applyFont="1" applyFill="1" applyBorder="1" applyAlignment="1" applyProtection="1">
      <alignment vertical="center" shrinkToFit="1"/>
    </xf>
    <xf numFmtId="0" fontId="80" fillId="0" borderId="1" xfId="0" applyNumberFormat="1" applyFont="1" applyFill="1" applyBorder="1" applyAlignment="1" applyProtection="1">
      <alignment vertical="center" shrinkToFit="1"/>
    </xf>
    <xf numFmtId="0" fontId="107" fillId="0" borderId="2" xfId="0" applyNumberFormat="1" applyFont="1" applyBorder="1" applyAlignment="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0" borderId="1" xfId="0" applyFont="1" applyBorder="1" applyAlignment="1" applyProtection="1">
      <alignment vertical="center" wrapText="1"/>
      <protection locked="0"/>
    </xf>
    <xf numFmtId="179" fontId="47" fillId="12" borderId="1" xfId="10" applyNumberFormat="1" applyFont="1" applyFill="1" applyBorder="1" applyAlignment="1" applyProtection="1">
      <alignment horizontal="left" vertical="center"/>
      <protection locked="0"/>
    </xf>
    <xf numFmtId="0" fontId="113" fillId="0" borderId="23" xfId="0" applyFont="1" applyBorder="1" applyAlignment="1" applyProtection="1">
      <alignment horizontal="center" vertical="center"/>
      <protection locked="0"/>
    </xf>
    <xf numFmtId="0" fontId="77" fillId="12" borderId="0" xfId="0" applyFont="1" applyFill="1" applyAlignment="1" applyProtection="1">
      <alignment vertical="center"/>
      <protection locked="0"/>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 xfId="1" applyFont="1" applyFill="1" applyBorder="1" applyAlignment="1" applyProtection="1">
      <alignmen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54" fillId="6" borderId="1" xfId="1" applyFont="1" applyFill="1" applyBorder="1" applyAlignment="1" applyProtection="1">
      <alignment vertical="center"/>
    </xf>
    <xf numFmtId="0" fontId="54" fillId="6" borderId="32" xfId="1" applyFont="1" applyFill="1" applyBorder="1" applyAlignment="1" applyProtection="1">
      <alignment vertical="center"/>
    </xf>
    <xf numFmtId="0" fontId="57" fillId="6" borderId="5" xfId="1" applyFont="1" applyFill="1" applyBorder="1" applyAlignment="1" applyProtection="1">
      <alignment vertical="center"/>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0" fontId="51" fillId="6" borderId="23" xfId="8" applyFont="1" applyFill="1" applyBorder="1" applyAlignment="1" applyProtection="1">
      <alignment horizontal="center" vertical="center" wrapText="1"/>
    </xf>
    <xf numFmtId="0" fontId="51" fillId="6" borderId="25" xfId="8" applyFont="1" applyFill="1" applyBorder="1" applyAlignment="1" applyProtection="1">
      <alignment horizontal="center" vertical="center" wrapText="1"/>
    </xf>
    <xf numFmtId="0" fontId="47" fillId="12" borderId="0" xfId="10" applyFont="1" applyFill="1" applyAlignment="1" applyProtection="1">
      <alignment horizontal="center" vertical="center"/>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0" fontId="53" fillId="5" borderId="84" xfId="8" applyFont="1" applyFill="1" applyBorder="1" applyAlignment="1" applyProtection="1">
      <alignment horizontal="center" vertical="center" wrapText="1"/>
      <protection locked="0"/>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8" fillId="0" borderId="1" xfId="8" applyFont="1" applyFill="1" applyBorder="1" applyAlignment="1" applyProtection="1">
      <alignment horizontal="center" vertical="center" wrapText="1"/>
    </xf>
    <xf numFmtId="0" fontId="7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1" fontId="52" fillId="12" borderId="1" xfId="10" applyNumberFormat="1"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0" fontId="47" fillId="12" borderId="1" xfId="10" applyFont="1" applyFill="1" applyBorder="1" applyAlignment="1" applyProtection="1">
      <alignment horizontal="left" vertical="center"/>
      <protection locked="0"/>
    </xf>
    <xf numFmtId="176" fontId="52" fillId="12" borderId="1" xfId="10" applyNumberFormat="1" applyFont="1" applyFill="1" applyBorder="1" applyAlignment="1" applyProtection="1">
      <alignment horizontal="left" vertical="center"/>
      <protection locked="0"/>
    </xf>
    <xf numFmtId="190" fontId="53" fillId="18" borderId="1" xfId="0" applyNumberFormat="1" applyFont="1" applyFill="1" applyBorder="1" applyAlignment="1" applyProtection="1">
      <alignment horizontal="left" vertical="center" wrapText="1"/>
      <protection locked="0"/>
    </xf>
    <xf numFmtId="0" fontId="47" fillId="18" borderId="0" xfId="0" applyFont="1" applyFill="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112" fillId="0" borderId="0" xfId="0" applyFont="1" applyAlignment="1">
      <alignment horizontal="center" vertical="center"/>
    </xf>
    <xf numFmtId="0" fontId="112" fillId="0" borderId="1" xfId="0" applyFont="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1">
    <cellStyle name="百分比" xfId="17" builtinId="5"/>
    <cellStyle name="百分比 2" xfId="14"/>
    <cellStyle name="百分比 3" xfId="19"/>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485029</xdr:colOff>
      <xdr:row>19</xdr:row>
      <xdr:rowOff>66259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971429" cy="33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1" customWidth="1"/>
    <col min="2" max="2" width="81" style="1208" customWidth="1"/>
    <col min="3" max="16384" width="9" style="1206"/>
  </cols>
  <sheetData>
    <row r="1" spans="1:2" s="1194" customFormat="1" ht="16.2" thickBot="1">
      <c r="A1" s="1193" t="s">
        <v>520</v>
      </c>
      <c r="B1" s="1192" t="s">
        <v>599</v>
      </c>
    </row>
    <row r="2" spans="1:2" s="1197" customFormat="1" ht="16.2" thickTop="1">
      <c r="A2" s="1195" t="s">
        <v>521</v>
      </c>
      <c r="B2" s="1196" t="str">
        <f>'预评函-封皮'!B37:I37</f>
        <v>北京市海淀区魏公村路6号院1号楼房地产抵押价值预评估</v>
      </c>
    </row>
    <row r="3" spans="1:2" s="1200" customFormat="1">
      <c r="A3" s="1198" t="s">
        <v>522</v>
      </c>
      <c r="B3" s="1199">
        <f>'预评函-封皮'!B40</f>
        <v>0</v>
      </c>
    </row>
    <row r="4" spans="1:2" s="1200" customFormat="1">
      <c r="A4" s="1198" t="s">
        <v>523</v>
      </c>
      <c r="B4" s="1199" t="str">
        <f ca="1">'预评函-封皮'!B46</f>
        <v>崔锴（注册号：1120100036)、郑燚（注册号：1120070131)</v>
      </c>
    </row>
    <row r="5" spans="1:2" s="1194" customFormat="1" ht="16.2" thickBot="1">
      <c r="A5" s="1201" t="s">
        <v>524</v>
      </c>
      <c r="B5" s="1202" t="str">
        <f>'预评函-封皮'!B49</f>
        <v>康正预评字号</v>
      </c>
    </row>
    <row r="6" spans="1:2" s="1197" customFormat="1" ht="16.2" thickTop="1">
      <c r="A6" s="1195" t="s">
        <v>525</v>
      </c>
      <c r="B6" s="1196" t="str">
        <f>'预评函-1'!A4</f>
        <v>受贵公司委托，我公司对北京市海淀区魏公村路6号院1号楼房地产抵押价值进行了预评估。</v>
      </c>
    </row>
    <row r="7" spans="1:2" s="1200" customFormat="1">
      <c r="A7" s="1198" t="s">
        <v>565</v>
      </c>
      <c r="B7" s="1199" t="str">
        <f>'预评函-1'!A7</f>
        <v>估价对象为北京市海淀区魏公村路6号院1号楼房地产，为所有。根据《国有土地使用证》[]，估价对象（分摊）出让国有建设用地使用权面积为10426.78平方米，建筑面积为112144.48平方米。</v>
      </c>
    </row>
    <row r="8" spans="1:2" s="1200" customFormat="1">
      <c r="A8" s="1198" t="s">
        <v>566</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567</v>
      </c>
      <c r="B9" s="1199" t="str">
        <f>'预评函-1'!A10</f>
        <v>估价对象为北京市海淀区魏公村路6号院1号楼房地产,属开发建设的，该项目尚在开发建设中。根据《国有土地使用证》[]，估价对象（分摊）出让国有建设用地使用权面积为10426.78平方米，规划建筑面积为112144.48平方米。</v>
      </c>
    </row>
    <row r="10" spans="1:2" s="1200" customFormat="1">
      <c r="A10" s="1198" t="s">
        <v>568</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526</v>
      </c>
      <c r="B11" s="1199" t="str">
        <f>'预评函-1'!A13</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527</v>
      </c>
      <c r="B12" s="1199" t="str">
        <f>'预评函-1'!A15</f>
        <v>2024年1月4日</v>
      </c>
    </row>
    <row r="13" spans="1:2" s="1200" customFormat="1">
      <c r="A13" s="1198" t="s">
        <v>528</v>
      </c>
      <c r="B13" s="1199" t="str">
        <f>'预评函-1'!A18</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4" spans="1:2" s="1200" customFormat="1">
      <c r="A14" s="1198" t="s">
        <v>529</v>
      </c>
      <c r="B14" s="11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530</v>
      </c>
      <c r="B15" s="1199" t="str">
        <f>'预评函-1'!A20</f>
        <v>本次估价的“房地产抵押价值”是指估价对象在价值时点的“房地产价值”扣减估价师于价值时点所知悉的法定优先受偿款后的余额。</v>
      </c>
    </row>
    <row r="16" spans="1:2" s="1200" customFormat="1">
      <c r="A16" s="1198" t="s">
        <v>531</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532</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6.2" thickBot="1">
      <c r="A18" s="1201" t="s">
        <v>533</v>
      </c>
      <c r="B18" s="1202" t="str">
        <f>'预评函-1'!A24</f>
        <v>本次评估采用的主估价方法为成本法和收益法。</v>
      </c>
    </row>
    <row r="19" spans="1:2" s="1197" customFormat="1" ht="16.2" thickTop="1">
      <c r="A19" s="1195" t="s">
        <v>534</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535</v>
      </c>
      <c r="B20" s="1199">
        <f ca="1">'预评函-2'!D5</f>
        <v>448976</v>
      </c>
    </row>
    <row r="21" spans="1:2" s="1200" customFormat="1">
      <c r="A21" s="1198" t="s">
        <v>536</v>
      </c>
      <c r="B21" s="1199">
        <f ca="1">'预评函-2'!D7</f>
        <v>40035</v>
      </c>
    </row>
    <row r="22" spans="1:2" s="1200" customFormat="1">
      <c r="A22" s="1198" t="s">
        <v>537</v>
      </c>
      <c r="B22" s="1199" t="str">
        <f ca="1">'预评函-2'!D6</f>
        <v>肆拾肆亿捌仟玖佰柒拾陆万元整</v>
      </c>
    </row>
    <row r="23" spans="1:2" s="1200" customFormat="1">
      <c r="A23" s="1198" t="s">
        <v>588</v>
      </c>
      <c r="B23" s="1199" t="str">
        <f>'预评函-2'!B8</f>
        <v>2.估价师知悉的法定优先受偿款</v>
      </c>
    </row>
    <row r="24" spans="1:2" s="1200" customFormat="1">
      <c r="A24" s="1198" t="s">
        <v>594</v>
      </c>
      <c r="B24" s="1199">
        <f>'预评函-2'!D8</f>
        <v>0</v>
      </c>
    </row>
    <row r="25" spans="1:2" s="1200" customFormat="1">
      <c r="A25" s="1198" t="s">
        <v>538</v>
      </c>
      <c r="B25" s="1199" t="str">
        <f>'预评函-2'!D9</f>
        <v>零元整</v>
      </c>
    </row>
    <row r="26" spans="1:2" s="1200" customFormat="1">
      <c r="A26" s="1198" t="s">
        <v>539</v>
      </c>
      <c r="B26" s="1199">
        <f>'预评函-2'!D10</f>
        <v>0</v>
      </c>
    </row>
    <row r="27" spans="1:2" s="1200" customFormat="1">
      <c r="A27" s="1198" t="s">
        <v>540</v>
      </c>
      <c r="B27" s="1199">
        <f>'预评函-2'!D11</f>
        <v>0</v>
      </c>
    </row>
    <row r="28" spans="1:2" s="1200" customFormat="1">
      <c r="A28" s="1198" t="s">
        <v>541</v>
      </c>
      <c r="B28" s="1199">
        <f>'预评函-2'!D12</f>
        <v>0</v>
      </c>
    </row>
    <row r="29" spans="1:2" s="1200" customFormat="1">
      <c r="A29" s="1198" t="s">
        <v>592</v>
      </c>
      <c r="B29" s="1199" t="str">
        <f>'预评函-2'!B13</f>
        <v>3.房地产抵押价值</v>
      </c>
    </row>
    <row r="30" spans="1:2" s="1200" customFormat="1">
      <c r="A30" s="1198" t="s">
        <v>593</v>
      </c>
      <c r="B30" s="1199">
        <f ca="1">'预评函-2'!D13</f>
        <v>448976</v>
      </c>
    </row>
    <row r="31" spans="1:2" s="1200" customFormat="1">
      <c r="A31" s="1198" t="s">
        <v>575</v>
      </c>
      <c r="B31" s="1199">
        <f ca="1">'预评函-2'!D15</f>
        <v>40035</v>
      </c>
    </row>
    <row r="32" spans="1:2" s="1200" customFormat="1">
      <c r="A32" s="1198" t="s">
        <v>542</v>
      </c>
      <c r="B32" s="1199" t="str">
        <f ca="1">'预评函-2'!D14</f>
        <v>肆拾肆亿捌仟玖佰柒拾陆万元整</v>
      </c>
    </row>
    <row r="33" spans="1:2" s="1200" customFormat="1">
      <c r="A33" s="1198" t="s">
        <v>577</v>
      </c>
      <c r="B33" s="1199" t="str">
        <f>'预评函-2'!B16</f>
        <v>——</v>
      </c>
    </row>
    <row r="34" spans="1:2" s="1200" customFormat="1">
      <c r="A34" s="1198" t="s">
        <v>595</v>
      </c>
      <c r="B34" s="1199" t="str">
        <f>'预评函-2'!D16</f>
        <v>——</v>
      </c>
    </row>
    <row r="35" spans="1:2" s="1200" customFormat="1">
      <c r="A35" s="1198" t="s">
        <v>576</v>
      </c>
      <c r="B35" s="1199" t="str">
        <f>'预评函-2'!D18</f>
        <v>——</v>
      </c>
    </row>
    <row r="36" spans="1:2" s="1200" customFormat="1">
      <c r="A36" s="1198" t="s">
        <v>543</v>
      </c>
      <c r="B36" s="1199" t="e">
        <f>'预评函-2'!D17</f>
        <v>#VALUE!</v>
      </c>
    </row>
    <row r="37" spans="1:2" s="1200" customFormat="1">
      <c r="A37" s="1198" t="s">
        <v>578</v>
      </c>
      <c r="B37" s="1199" t="str">
        <f>'预评函-2'!B19</f>
        <v>4.抵押净值</v>
      </c>
    </row>
    <row r="38" spans="1:2" s="1200" customFormat="1">
      <c r="A38" s="1198" t="s">
        <v>596</v>
      </c>
      <c r="B38" s="1199">
        <f ca="1">'预评函-2'!D19</f>
        <v>398807</v>
      </c>
    </row>
    <row r="39" spans="1:2" s="1200" customFormat="1">
      <c r="A39" s="1198" t="s">
        <v>544</v>
      </c>
      <c r="B39" s="1199">
        <f ca="1">'预评函-2'!D21</f>
        <v>35562</v>
      </c>
    </row>
    <row r="40" spans="1:2" s="1200" customFormat="1">
      <c r="A40" s="1198" t="s">
        <v>545</v>
      </c>
      <c r="B40" s="1199" t="str">
        <f ca="1">'预评函-2'!D20</f>
        <v>叁拾玖亿捌仟捌佰零柒万元整</v>
      </c>
    </row>
    <row r="41" spans="1:2" s="1200" customFormat="1">
      <c r="A41" s="1198" t="s">
        <v>591</v>
      </c>
      <c r="B41" s="1199" t="str">
        <f>'预评函-3'!A4</f>
        <v>北京市海淀区魏公村路6号院1号楼房地产</v>
      </c>
    </row>
    <row r="42" spans="1:2" s="1200" customFormat="1" ht="31.2">
      <c r="A42" s="1198" t="s">
        <v>589</v>
      </c>
      <c r="B42" s="1199" t="str">
        <f>'预评函-3'!B2</f>
        <v>建筑面积</v>
      </c>
    </row>
    <row r="43" spans="1:2" s="1200" customFormat="1">
      <c r="A43" s="1198" t="s">
        <v>590</v>
      </c>
      <c r="B43" s="1199">
        <f>'预评函-3'!B4</f>
        <v>112144.47999999998</v>
      </c>
    </row>
    <row r="44" spans="1:2" s="1200" customFormat="1" ht="31.2">
      <c r="A44" s="1198" t="s">
        <v>574</v>
      </c>
      <c r="B44" s="1199" t="str">
        <f>'预评函-3'!C2</f>
        <v>(分摊)土地面积</v>
      </c>
    </row>
    <row r="45" spans="1:2" s="1200" customFormat="1">
      <c r="A45" s="1198" t="s">
        <v>546</v>
      </c>
      <c r="B45" s="1199">
        <f>'预评函-3'!C4</f>
        <v>10426.780000000001</v>
      </c>
    </row>
    <row r="46" spans="1:2" s="1200" customFormat="1">
      <c r="A46" s="1198" t="s">
        <v>572</v>
      </c>
      <c r="B46" s="1199" t="str">
        <f>'预评函-3'!D2</f>
        <v>出让国有建设用地使用权价值</v>
      </c>
    </row>
    <row r="47" spans="1:2" s="1200" customFormat="1">
      <c r="A47" s="1198" t="s">
        <v>547</v>
      </c>
      <c r="B47" s="1199">
        <f ca="1">'预评函-3'!D4</f>
        <v>338079</v>
      </c>
    </row>
    <row r="48" spans="1:2" s="1200" customFormat="1">
      <c r="A48" s="1198" t="s">
        <v>548</v>
      </c>
      <c r="B48" s="1199">
        <f ca="1">'预评函-3'!E4</f>
        <v>30146</v>
      </c>
    </row>
    <row r="49" spans="1:2" s="1200" customFormat="1">
      <c r="A49" s="1198" t="s">
        <v>549</v>
      </c>
      <c r="B49" s="1199" t="str">
        <f ca="1">'预评函-3'!D5</f>
        <v>叁拾叁亿捌仟零柒拾玖万元整</v>
      </c>
    </row>
    <row r="50" spans="1:2" s="1200" customFormat="1">
      <c r="A50" s="1198" t="s">
        <v>573</v>
      </c>
      <c r="B50" s="1199" t="str">
        <f>'预评函-3'!F2</f>
        <v>在建建筑物价值</v>
      </c>
    </row>
    <row r="51" spans="1:2" s="1200" customFormat="1">
      <c r="A51" s="1198" t="s">
        <v>550</v>
      </c>
      <c r="B51" s="1199">
        <f ca="1">'预评函-3'!F4</f>
        <v>110897</v>
      </c>
    </row>
    <row r="52" spans="1:2" s="1200" customFormat="1">
      <c r="A52" s="1198" t="s">
        <v>551</v>
      </c>
      <c r="B52" s="1199">
        <f ca="1">'预评函-3'!G4</f>
        <v>9889</v>
      </c>
    </row>
    <row r="53" spans="1:2" s="1200" customFormat="1">
      <c r="A53" s="1198" t="s">
        <v>579</v>
      </c>
      <c r="B53" s="1199" t="str">
        <f ca="1">'预评函-3'!F5</f>
        <v>壹拾壹亿零捌佰玖拾柒万元整</v>
      </c>
    </row>
    <row r="54" spans="1:2" s="1200" customFormat="1">
      <c r="A54" s="1198" t="s">
        <v>597</v>
      </c>
      <c r="B54" s="1199" t="str">
        <f>'预评函-3'!A8</f>
        <v>房地产抵押价值</v>
      </c>
    </row>
    <row r="55" spans="1:2" s="1200" customFormat="1">
      <c r="A55" s="1198" t="s">
        <v>580</v>
      </c>
      <c r="B55" s="1199" t="str">
        <f>'预评函-3'!A10</f>
        <v/>
      </c>
    </row>
    <row r="56" spans="1:2" s="1200" customFormat="1">
      <c r="A56" s="1198" t="s">
        <v>581</v>
      </c>
      <c r="B56" s="1199" t="str">
        <f>'预评函-3'!A12</f>
        <v>抵押净值</v>
      </c>
    </row>
    <row r="57" spans="1:2" s="1194" customFormat="1" ht="16.2" thickBot="1">
      <c r="A57" s="1201" t="s">
        <v>598</v>
      </c>
      <c r="B57" s="1202" t="str">
        <f>'预评函-3'!A6</f>
        <v>估价师知悉的法定优先受偿款</v>
      </c>
    </row>
    <row r="58" spans="1:2" s="1197" customFormat="1" ht="16.2" thickTop="1">
      <c r="A58" s="1195" t="s">
        <v>552</v>
      </c>
      <c r="B58" s="1196" t="str">
        <f>'预评函-4'!A12</f>
        <v>2.本《评估意见函》仅供金融机构进行内部审核使用，不做其他目的之用。</v>
      </c>
    </row>
    <row r="59" spans="1:2" s="1200" customFormat="1">
      <c r="A59" s="1198" t="s">
        <v>553</v>
      </c>
      <c r="B59" s="1199" t="str">
        <f>'预评函-4'!A13</f>
        <v>3.抵押双方在办理抵押登记手续时，应使用本公司出具的正式《房地产评估报告》，特提醒报告使用者注意。</v>
      </c>
    </row>
    <row r="60" spans="1:2" s="1200" customFormat="1">
      <c r="A60" s="1198" t="s">
        <v>554</v>
      </c>
      <c r="B60" s="1199" t="str">
        <f>'预评函-4'!A14</f>
        <v>4.本次评估估价师所知悉的法定优先受偿款情况说明如下：</v>
      </c>
    </row>
    <row r="61" spans="1:2" s="1200" customFormat="1">
      <c r="A61" s="1198" t="s">
        <v>555</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556</v>
      </c>
      <c r="B62" s="1199" t="str">
        <f>'预评函-4'!A16</f>
        <v>（2）根据《工程款支付情况说明》，截至价值时点，估价对象不存在应付未付工程款项。（只要没有施工方盖章的，均“设定”进行表述）</v>
      </c>
    </row>
    <row r="63" spans="1:2" s="1200" customFormat="1">
      <c r="A63" s="1198" t="s">
        <v>557</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569</v>
      </c>
      <c r="B64" s="1199" t="str">
        <f>'预评函-4'!A18</f>
        <v>故，本次评估不存在估价师知悉的法定优先受偿款</v>
      </c>
    </row>
    <row r="65" spans="1:2" s="1200" customFormat="1">
      <c r="A65" s="1198" t="s">
        <v>558</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559</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570</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571</v>
      </c>
      <c r="B68" s="1199" t="str">
        <f>'预评函-4'!A22</f>
        <v>8.其他需特殊说明事项：无（注意调整序号）</v>
      </c>
    </row>
    <row r="69" spans="1:2" s="1194" customFormat="1" ht="16.2" thickBot="1">
      <c r="A69" s="1201" t="s">
        <v>560</v>
      </c>
      <c r="B69" s="1203">
        <f>'预评函-4'!C31</f>
        <v>42551</v>
      </c>
    </row>
    <row r="70" spans="1:2" ht="16.2" thickTop="1">
      <c r="A70" s="1204" t="s">
        <v>561</v>
      </c>
      <c r="B70" s="1205" t="str">
        <f>'预评函-4'!A4</f>
        <v>崔锴</v>
      </c>
    </row>
    <row r="71" spans="1:2">
      <c r="A71" s="1198" t="s">
        <v>562</v>
      </c>
      <c r="B71" s="1199">
        <f ca="1">'预评函-4'!B4</f>
        <v>1120100036</v>
      </c>
    </row>
    <row r="72" spans="1:2">
      <c r="A72" s="1198" t="s">
        <v>563</v>
      </c>
      <c r="B72" s="1207" t="str">
        <f>'预评函-4'!A5</f>
        <v>郑燚</v>
      </c>
    </row>
    <row r="73" spans="1:2" s="1194" customFormat="1" ht="16.2" thickBot="1">
      <c r="A73" s="1201" t="s">
        <v>564</v>
      </c>
      <c r="B73" s="1202">
        <f ca="1">'预评函-4'!B5</f>
        <v>1120070131</v>
      </c>
    </row>
    <row r="74" spans="1:2" ht="16.2" thickTop="1">
      <c r="A74" s="1191" t="s">
        <v>600</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7" sqref="E27"/>
    </sheetView>
  </sheetViews>
  <sheetFormatPr defaultColWidth="9" defaultRowHeight="14.4"/>
  <cols>
    <col min="1" max="1" width="13.44140625" style="1553" customWidth="1"/>
    <col min="2" max="2" width="23.21875" style="1504" customWidth="1"/>
    <col min="3" max="3" width="13" style="1548" customWidth="1"/>
    <col min="4" max="4" width="5.77734375" style="1545" customWidth="1"/>
    <col min="5" max="5" width="7.109375" style="1545" customWidth="1"/>
    <col min="6" max="6" width="10.6640625" style="1545" customWidth="1"/>
    <col min="7" max="7" width="7.44140625" style="1545" customWidth="1"/>
    <col min="8" max="8" width="11.88671875" style="1548" customWidth="1"/>
    <col min="9" max="9" width="11.6640625" style="1548" customWidth="1"/>
    <col min="10" max="10" width="9" style="1548" customWidth="1"/>
    <col min="11" max="19" width="9" style="1545" customWidth="1"/>
    <col min="20" max="23" width="9" style="1548" customWidth="1"/>
    <col min="24" max="24" width="21.109375" style="1504" customWidth="1"/>
    <col min="25" max="16384" width="9" style="1504"/>
  </cols>
  <sheetData>
    <row r="1" spans="1:23" s="1542" customFormat="1" ht="43.2">
      <c r="A1" s="1536" t="s">
        <v>44</v>
      </c>
      <c r="B1" s="1537" t="s">
        <v>976</v>
      </c>
      <c r="C1" s="1538" t="s">
        <v>313</v>
      </c>
      <c r="D1" s="1540" t="s">
        <v>3352</v>
      </c>
      <c r="E1" s="1539" t="s">
        <v>977</v>
      </c>
      <c r="F1" s="1539" t="s">
        <v>978</v>
      </c>
      <c r="G1" s="1539" t="s">
        <v>979</v>
      </c>
      <c r="H1" s="1539" t="s">
        <v>980</v>
      </c>
      <c r="I1" s="1539" t="s">
        <v>981</v>
      </c>
      <c r="J1" s="1539" t="s">
        <v>982</v>
      </c>
      <c r="K1" s="1539" t="s">
        <v>983</v>
      </c>
      <c r="L1" s="1539" t="s">
        <v>984</v>
      </c>
      <c r="M1" s="1539" t="s">
        <v>985</v>
      </c>
      <c r="N1" s="1539" t="s">
        <v>986</v>
      </c>
      <c r="O1" s="1539" t="s">
        <v>987</v>
      </c>
      <c r="P1" s="1540" t="s">
        <v>309</v>
      </c>
      <c r="Q1" s="1540" t="s">
        <v>446</v>
      </c>
      <c r="R1" s="1539" t="s">
        <v>440</v>
      </c>
      <c r="S1" s="1539" t="s">
        <v>988</v>
      </c>
      <c r="T1" s="1541" t="s">
        <v>989</v>
      </c>
      <c r="U1" s="1539" t="s">
        <v>990</v>
      </c>
      <c r="V1" s="1539" t="s">
        <v>991</v>
      </c>
      <c r="W1" s="1539" t="s">
        <v>311</v>
      </c>
    </row>
    <row r="2" spans="1:23">
      <c r="A2" s="1543" t="s">
        <v>19</v>
      </c>
      <c r="B2" s="1543" t="s">
        <v>992</v>
      </c>
      <c r="C2" s="1544" t="s">
        <v>314</v>
      </c>
      <c r="D2" s="1545" t="s">
        <v>993</v>
      </c>
      <c r="E2" s="1545" t="s">
        <v>994</v>
      </c>
      <c r="F2" s="1545" t="s">
        <v>995</v>
      </c>
      <c r="G2" s="1545">
        <v>20</v>
      </c>
      <c r="H2" s="1545" t="s">
        <v>995</v>
      </c>
      <c r="I2" s="1545" t="s">
        <v>3338</v>
      </c>
      <c r="J2" s="1545" t="s">
        <v>996</v>
      </c>
      <c r="K2" s="1545" t="s">
        <v>997</v>
      </c>
      <c r="L2" s="1545" t="s">
        <v>997</v>
      </c>
      <c r="M2" s="1545" t="s">
        <v>997</v>
      </c>
      <c r="N2" s="1545" t="s">
        <v>997</v>
      </c>
      <c r="O2" s="1545" t="s">
        <v>997</v>
      </c>
      <c r="P2" s="1545" t="s">
        <v>997</v>
      </c>
      <c r="Q2" s="1545" t="s">
        <v>997</v>
      </c>
      <c r="R2" s="1545" t="s">
        <v>442</v>
      </c>
      <c r="S2" s="1545" t="s">
        <v>997</v>
      </c>
      <c r="T2" s="1545" t="s">
        <v>998</v>
      </c>
      <c r="U2" s="1545" t="s">
        <v>997</v>
      </c>
      <c r="V2" s="1545" t="s">
        <v>999</v>
      </c>
      <c r="W2" s="1545" t="s">
        <v>997</v>
      </c>
    </row>
    <row r="3" spans="1:23">
      <c r="A3" s="1543" t="s">
        <v>1000</v>
      </c>
      <c r="B3" s="1546" t="s">
        <v>447</v>
      </c>
      <c r="C3" s="1547" t="s">
        <v>315</v>
      </c>
      <c r="D3" s="1545" t="s">
        <v>1001</v>
      </c>
      <c r="E3" s="1545" t="s">
        <v>13</v>
      </c>
      <c r="F3" s="1545" t="s">
        <v>1002</v>
      </c>
      <c r="G3" s="1545">
        <v>40</v>
      </c>
      <c r="H3" s="1545" t="s">
        <v>1002</v>
      </c>
      <c r="I3" s="1545" t="s">
        <v>3339</v>
      </c>
      <c r="J3" s="1545" t="s">
        <v>1003</v>
      </c>
      <c r="K3" s="1545" t="s">
        <v>1004</v>
      </c>
      <c r="L3" s="1545" t="s">
        <v>1004</v>
      </c>
      <c r="M3" s="1545" t="s">
        <v>1004</v>
      </c>
      <c r="N3" s="1545" t="s">
        <v>1004</v>
      </c>
      <c r="O3" s="1545" t="s">
        <v>1004</v>
      </c>
      <c r="P3" s="1545" t="s">
        <v>1004</v>
      </c>
      <c r="Q3" s="1545" t="s">
        <v>1004</v>
      </c>
      <c r="R3" s="1545" t="s">
        <v>441</v>
      </c>
      <c r="S3" s="1545" t="s">
        <v>1004</v>
      </c>
      <c r="T3" s="1545" t="s">
        <v>1005</v>
      </c>
      <c r="U3" s="1545" t="s">
        <v>1004</v>
      </c>
      <c r="V3" s="1545" t="s">
        <v>1006</v>
      </c>
      <c r="W3" s="1545" t="s">
        <v>1004</v>
      </c>
    </row>
    <row r="4" spans="1:23">
      <c r="A4" s="1543" t="s">
        <v>1007</v>
      </c>
      <c r="B4" s="1543" t="s">
        <v>1008</v>
      </c>
      <c r="C4" s="1544" t="s">
        <v>316</v>
      </c>
      <c r="D4" s="1545" t="s">
        <v>388</v>
      </c>
      <c r="E4" s="1545" t="s">
        <v>1009</v>
      </c>
      <c r="F4" s="1545" t="s">
        <v>1010</v>
      </c>
      <c r="G4" s="1545">
        <v>50</v>
      </c>
      <c r="H4" s="1545" t="s">
        <v>1010</v>
      </c>
      <c r="I4" s="1545" t="s">
        <v>3340</v>
      </c>
      <c r="K4" s="1545" t="s">
        <v>1011</v>
      </c>
      <c r="L4" s="1545" t="s">
        <v>1011</v>
      </c>
      <c r="M4" s="1545" t="s">
        <v>1011</v>
      </c>
      <c r="N4" s="1545" t="s">
        <v>1011</v>
      </c>
      <c r="O4" s="1545" t="s">
        <v>1011</v>
      </c>
      <c r="P4" s="1545" t="s">
        <v>1011</v>
      </c>
      <c r="Q4" s="1545" t="s">
        <v>1011</v>
      </c>
      <c r="R4" s="1545" t="s">
        <v>443</v>
      </c>
      <c r="S4" s="1545" t="s">
        <v>1011</v>
      </c>
      <c r="T4" s="1545" t="s">
        <v>1012</v>
      </c>
      <c r="U4" s="1545" t="s">
        <v>1011</v>
      </c>
      <c r="W4" s="1545" t="s">
        <v>1011</v>
      </c>
    </row>
    <row r="5" spans="1:23">
      <c r="A5" s="1543" t="s">
        <v>1013</v>
      </c>
      <c r="B5" s="1546" t="s">
        <v>3454</v>
      </c>
      <c r="C5" s="1544" t="s">
        <v>317</v>
      </c>
      <c r="F5" s="1545" t="s">
        <v>1014</v>
      </c>
      <c r="G5" s="1545">
        <v>70</v>
      </c>
      <c r="H5" s="1545" t="s">
        <v>1015</v>
      </c>
      <c r="I5" s="1545" t="s">
        <v>3341</v>
      </c>
      <c r="K5" s="1545" t="s">
        <v>1016</v>
      </c>
      <c r="L5" s="1545" t="s">
        <v>1016</v>
      </c>
      <c r="M5" s="1545" t="s">
        <v>1016</v>
      </c>
      <c r="N5" s="1545" t="s">
        <v>1016</v>
      </c>
      <c r="O5" s="1545" t="s">
        <v>1016</v>
      </c>
      <c r="P5" s="1545" t="s">
        <v>1016</v>
      </c>
      <c r="Q5" s="1545" t="s">
        <v>1016</v>
      </c>
      <c r="R5" s="1545" t="s">
        <v>444</v>
      </c>
      <c r="S5" s="1545" t="s">
        <v>1016</v>
      </c>
      <c r="T5" s="1545" t="s">
        <v>1017</v>
      </c>
      <c r="U5" s="1545" t="s">
        <v>1016</v>
      </c>
      <c r="W5" s="1545" t="s">
        <v>1016</v>
      </c>
    </row>
    <row r="6" spans="1:23">
      <c r="A6" s="1543" t="s">
        <v>1018</v>
      </c>
      <c r="B6" s="1546" t="s">
        <v>448</v>
      </c>
      <c r="C6" s="1549" t="s">
        <v>24</v>
      </c>
      <c r="F6" s="1545" t="s">
        <v>1015</v>
      </c>
      <c r="H6" s="1545" t="s">
        <v>1019</v>
      </c>
      <c r="I6" s="1545" t="s">
        <v>3342</v>
      </c>
      <c r="K6" s="1545" t="s">
        <v>1020</v>
      </c>
      <c r="L6" s="1545" t="s">
        <v>1020</v>
      </c>
      <c r="M6" s="1545" t="s">
        <v>1020</v>
      </c>
      <c r="N6" s="1545" t="s">
        <v>1020</v>
      </c>
      <c r="O6" s="1545" t="s">
        <v>1020</v>
      </c>
      <c r="P6" s="1545" t="s">
        <v>1020</v>
      </c>
      <c r="Q6" s="1545" t="s">
        <v>1020</v>
      </c>
      <c r="R6" s="1545" t="s">
        <v>445</v>
      </c>
      <c r="S6" s="1545" t="s">
        <v>1020</v>
      </c>
      <c r="T6" s="1545"/>
      <c r="U6" s="1545" t="s">
        <v>1020</v>
      </c>
      <c r="W6" s="1545" t="s">
        <v>1020</v>
      </c>
    </row>
    <row r="7" spans="1:23">
      <c r="A7" s="1543" t="s">
        <v>1021</v>
      </c>
      <c r="B7" s="1546" t="s">
        <v>449</v>
      </c>
      <c r="C7" s="1544" t="s">
        <v>25</v>
      </c>
      <c r="F7" s="1545" t="s">
        <v>1022</v>
      </c>
      <c r="H7" s="1545" t="s">
        <v>1023</v>
      </c>
      <c r="I7" s="1545" t="s">
        <v>3343</v>
      </c>
    </row>
    <row r="8" spans="1:23">
      <c r="A8" s="1543" t="s">
        <v>1024</v>
      </c>
      <c r="B8" s="1543" t="s">
        <v>1025</v>
      </c>
      <c r="C8" s="1544" t="s">
        <v>318</v>
      </c>
      <c r="F8" s="1545" t="s">
        <v>1026</v>
      </c>
      <c r="H8" s="1545" t="s">
        <v>2578</v>
      </c>
      <c r="I8" s="1545" t="s">
        <v>3344</v>
      </c>
    </row>
    <row r="9" spans="1:23">
      <c r="A9" s="1543" t="s">
        <v>1027</v>
      </c>
      <c r="B9" s="1543" t="s">
        <v>1028</v>
      </c>
      <c r="C9" s="1544" t="s">
        <v>319</v>
      </c>
      <c r="F9" s="1545" t="s">
        <v>1029</v>
      </c>
      <c r="H9" s="1545"/>
      <c r="I9" s="1548" t="s">
        <v>3345</v>
      </c>
    </row>
    <row r="10" spans="1:23">
      <c r="A10" s="1543" t="s">
        <v>1030</v>
      </c>
      <c r="B10" s="1543" t="s">
        <v>1031</v>
      </c>
      <c r="C10" s="1544" t="s">
        <v>320</v>
      </c>
      <c r="F10" s="1545" t="s">
        <v>2579</v>
      </c>
      <c r="I10" s="1548" t="s">
        <v>3346</v>
      </c>
    </row>
    <row r="11" spans="1:23">
      <c r="A11" s="1543" t="s">
        <v>1032</v>
      </c>
      <c r="B11" s="1543" t="s">
        <v>1033</v>
      </c>
      <c r="C11" s="1544" t="s">
        <v>321</v>
      </c>
      <c r="F11" s="1545" t="s">
        <v>13</v>
      </c>
      <c r="I11" s="1548" t="s">
        <v>3347</v>
      </c>
    </row>
    <row r="12" spans="1:23">
      <c r="A12" s="1543" t="s">
        <v>1034</v>
      </c>
      <c r="B12" s="1543" t="s">
        <v>1035</v>
      </c>
      <c r="C12" s="1544" t="s">
        <v>322</v>
      </c>
      <c r="I12" s="1548" t="s">
        <v>3348</v>
      </c>
    </row>
    <row r="13" spans="1:23">
      <c r="A13" s="1543" t="s">
        <v>1036</v>
      </c>
      <c r="B13" s="1543" t="s">
        <v>1037</v>
      </c>
      <c r="C13" s="1544" t="s">
        <v>323</v>
      </c>
      <c r="I13" s="1548" t="s">
        <v>3349</v>
      </c>
    </row>
    <row r="14" spans="1:23">
      <c r="A14" s="1543" t="s">
        <v>1038</v>
      </c>
      <c r="B14" s="1543" t="s">
        <v>1039</v>
      </c>
      <c r="C14" s="1545" t="s">
        <v>13</v>
      </c>
      <c r="I14" s="1548" t="s">
        <v>3350</v>
      </c>
    </row>
    <row r="15" spans="1:23">
      <c r="A15" s="1543" t="s">
        <v>1040</v>
      </c>
      <c r="B15" s="1543" t="s">
        <v>1041</v>
      </c>
      <c r="C15" s="1544"/>
      <c r="I15" s="1548" t="s">
        <v>3351</v>
      </c>
    </row>
    <row r="16" spans="1:23">
      <c r="A16" s="1543" t="s">
        <v>1042</v>
      </c>
      <c r="B16" s="1543" t="s">
        <v>3480</v>
      </c>
      <c r="C16" s="1544"/>
    </row>
    <row r="17" spans="1:3">
      <c r="A17" s="1543" t="s">
        <v>1043</v>
      </c>
      <c r="B17" s="1543" t="s">
        <v>2290</v>
      </c>
      <c r="C17" s="1544"/>
    </row>
    <row r="18" spans="1:3">
      <c r="A18" s="1543" t="s">
        <v>1044</v>
      </c>
      <c r="B18" s="1543" t="s">
        <v>2434</v>
      </c>
      <c r="C18" s="1544"/>
    </row>
    <row r="19" spans="1:3">
      <c r="A19" s="1543" t="s">
        <v>1045</v>
      </c>
      <c r="B19" s="1546" t="s">
        <v>3456</v>
      </c>
      <c r="C19" s="1544"/>
    </row>
    <row r="20" spans="1:3">
      <c r="A20" s="1543" t="s">
        <v>1046</v>
      </c>
      <c r="B20" s="1546" t="s">
        <v>3458</v>
      </c>
      <c r="C20" s="1544"/>
    </row>
    <row r="21" spans="1:3">
      <c r="A21" s="1543" t="s">
        <v>1047</v>
      </c>
      <c r="B21" s="1546" t="s">
        <v>3460</v>
      </c>
      <c r="C21" s="1544"/>
    </row>
    <row r="22" spans="1:3">
      <c r="A22" s="1543" t="s">
        <v>1048</v>
      </c>
      <c r="B22" s="1543" t="s">
        <v>3482</v>
      </c>
      <c r="C22" s="1544"/>
    </row>
    <row r="23" spans="1:3">
      <c r="A23" s="1543" t="s">
        <v>1049</v>
      </c>
      <c r="B23" s="1543" t="s">
        <v>312</v>
      </c>
      <c r="C23" s="1544"/>
    </row>
    <row r="24" spans="1:3">
      <c r="A24" s="1543" t="s">
        <v>1050</v>
      </c>
      <c r="B24" s="1543" t="s">
        <v>312</v>
      </c>
      <c r="C24" s="1544"/>
    </row>
    <row r="25" spans="1:3">
      <c r="A25" s="1543" t="s">
        <v>1051</v>
      </c>
      <c r="B25" s="1543" t="s">
        <v>312</v>
      </c>
      <c r="C25" s="1544"/>
    </row>
    <row r="26" spans="1:3">
      <c r="A26" s="1543" t="s">
        <v>1052</v>
      </c>
      <c r="B26" s="1543" t="s">
        <v>312</v>
      </c>
      <c r="C26" s="1544"/>
    </row>
    <row r="27" spans="1:3">
      <c r="A27" s="1543" t="s">
        <v>312</v>
      </c>
      <c r="B27" s="1543" t="s">
        <v>312</v>
      </c>
      <c r="C27" s="1544"/>
    </row>
    <row r="28" spans="1:3">
      <c r="A28" s="1543" t="s">
        <v>312</v>
      </c>
      <c r="B28" s="1543" t="s">
        <v>312</v>
      </c>
      <c r="C28" s="1544"/>
    </row>
    <row r="29" spans="1:3">
      <c r="A29" s="1543" t="s">
        <v>312</v>
      </c>
      <c r="B29" s="1543" t="s">
        <v>312</v>
      </c>
      <c r="C29" s="1544"/>
    </row>
    <row r="30" spans="1:3">
      <c r="A30" s="1543" t="s">
        <v>312</v>
      </c>
      <c r="B30" s="1543" t="s">
        <v>312</v>
      </c>
      <c r="C30" s="1544"/>
    </row>
    <row r="31" spans="1:3">
      <c r="A31" s="1543" t="s">
        <v>312</v>
      </c>
      <c r="B31" s="1543" t="s">
        <v>312</v>
      </c>
      <c r="C31" s="1544"/>
    </row>
    <row r="32" spans="1:3">
      <c r="A32" s="1543" t="s">
        <v>312</v>
      </c>
      <c r="B32" s="1543" t="s">
        <v>312</v>
      </c>
      <c r="C32" s="1544"/>
    </row>
    <row r="33" spans="1:3">
      <c r="A33" s="1543" t="s">
        <v>312</v>
      </c>
      <c r="B33" s="1543" t="s">
        <v>312</v>
      </c>
      <c r="C33" s="1544"/>
    </row>
    <row r="34" spans="1:3">
      <c r="A34" s="1543" t="s">
        <v>312</v>
      </c>
      <c r="B34" s="1543" t="s">
        <v>312</v>
      </c>
      <c r="C34" s="1544"/>
    </row>
    <row r="35" spans="1:3">
      <c r="A35" s="1543" t="s">
        <v>312</v>
      </c>
      <c r="B35" s="1543" t="s">
        <v>312</v>
      </c>
      <c r="C35" s="1544"/>
    </row>
    <row r="36" spans="1:3">
      <c r="A36" s="1543" t="s">
        <v>312</v>
      </c>
      <c r="B36" s="1543" t="s">
        <v>312</v>
      </c>
      <c r="C36" s="1544"/>
    </row>
    <row r="37" spans="1:3">
      <c r="A37" s="1543" t="s">
        <v>312</v>
      </c>
      <c r="B37" s="1543" t="s">
        <v>312</v>
      </c>
      <c r="C37" s="1544"/>
    </row>
    <row r="38" spans="1:3">
      <c r="A38" s="1543" t="s">
        <v>312</v>
      </c>
      <c r="B38" s="1543" t="s">
        <v>312</v>
      </c>
      <c r="C38" s="1544"/>
    </row>
    <row r="39" spans="1:3">
      <c r="A39" s="1543" t="s">
        <v>312</v>
      </c>
      <c r="B39" s="1543" t="s">
        <v>312</v>
      </c>
      <c r="C39" s="1544"/>
    </row>
    <row r="40" spans="1:3">
      <c r="A40" s="1543" t="s">
        <v>312</v>
      </c>
      <c r="B40" s="1543" t="s">
        <v>312</v>
      </c>
      <c r="C40" s="1544"/>
    </row>
    <row r="41" spans="1:3">
      <c r="A41" s="1543" t="s">
        <v>312</v>
      </c>
      <c r="B41" s="1543" t="s">
        <v>312</v>
      </c>
      <c r="C41" s="1544"/>
    </row>
    <row r="42" spans="1:3">
      <c r="A42" s="1543" t="s">
        <v>312</v>
      </c>
      <c r="B42" s="1543" t="s">
        <v>312</v>
      </c>
      <c r="C42" s="1544"/>
    </row>
    <row r="43" spans="1:3">
      <c r="A43" s="1543" t="s">
        <v>312</v>
      </c>
      <c r="B43" s="1543" t="s">
        <v>312</v>
      </c>
      <c r="C43" s="1544"/>
    </row>
    <row r="44" spans="1:3">
      <c r="A44" s="1543" t="s">
        <v>312</v>
      </c>
      <c r="B44" s="1543" t="s">
        <v>312</v>
      </c>
      <c r="C44" s="1544"/>
    </row>
    <row r="45" spans="1:3">
      <c r="A45" s="1543" t="s">
        <v>312</v>
      </c>
      <c r="B45" s="1543" t="s">
        <v>312</v>
      </c>
      <c r="C45" s="1544"/>
    </row>
    <row r="46" spans="1:3">
      <c r="A46" s="1543" t="s">
        <v>312</v>
      </c>
      <c r="B46" s="1543" t="s">
        <v>312</v>
      </c>
      <c r="C46" s="1544"/>
    </row>
    <row r="47" spans="1:3">
      <c r="A47" s="1543" t="s">
        <v>312</v>
      </c>
      <c r="B47" s="1543" t="s">
        <v>312</v>
      </c>
      <c r="C47" s="1544"/>
    </row>
    <row r="48" spans="1:3">
      <c r="A48" s="1543" t="s">
        <v>312</v>
      </c>
      <c r="B48" s="1543" t="s">
        <v>312</v>
      </c>
      <c r="C48" s="1544"/>
    </row>
    <row r="49" spans="1:4">
      <c r="A49" s="1543" t="s">
        <v>312</v>
      </c>
      <c r="B49" s="1543" t="s">
        <v>312</v>
      </c>
      <c r="C49" s="1544"/>
    </row>
    <row r="50" spans="1:4">
      <c r="A50" s="1543" t="s">
        <v>312</v>
      </c>
      <c r="B50" s="1543" t="s">
        <v>312</v>
      </c>
      <c r="C50" s="1544"/>
    </row>
    <row r="51" spans="1:4">
      <c r="A51" s="1550" t="s">
        <v>377</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c r="D51" s="1551" t="s">
        <v>585</v>
      </c>
    </row>
    <row r="52" spans="1:4">
      <c r="A52" s="1550" t="s">
        <v>378</v>
      </c>
      <c r="B52" s="1550" t="s">
        <v>379</v>
      </c>
      <c r="C52" s="1548" t="s">
        <v>380</v>
      </c>
      <c r="D52" s="1548" t="s">
        <v>381</v>
      </c>
    </row>
    <row r="53" spans="1:4">
      <c r="A53" s="3602" t="s">
        <v>382</v>
      </c>
      <c r="B53" s="1551" t="s">
        <v>383</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02"/>
      <c r="B54" s="1551" t="s">
        <v>384</v>
      </c>
      <c r="C54" s="1548" t="s">
        <v>582</v>
      </c>
    </row>
    <row r="55" spans="1:4">
      <c r="A55" s="3602"/>
      <c r="B55" s="1551" t="s">
        <v>385</v>
      </c>
      <c r="C55" s="1548" t="s">
        <v>583</v>
      </c>
    </row>
    <row r="56" spans="1:4">
      <c r="A56" s="3602"/>
      <c r="B56" s="1551" t="s">
        <v>386</v>
      </c>
      <c r="C56" s="1548" t="s">
        <v>587</v>
      </c>
    </row>
    <row r="57" spans="1:4">
      <c r="A57" s="3602"/>
      <c r="B57" s="1551" t="s">
        <v>387</v>
      </c>
      <c r="C57" s="1548" t="s">
        <v>584</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2501</v>
      </c>
      <c r="B1" s="3011"/>
      <c r="C1" s="3011"/>
      <c r="D1" s="3011"/>
      <c r="E1" s="3011"/>
      <c r="F1" s="3012"/>
      <c r="I1" s="3434" t="s">
        <v>2594</v>
      </c>
      <c r="J1" s="3223"/>
      <c r="K1" s="3223"/>
      <c r="L1" s="3223"/>
      <c r="M1" s="3223"/>
      <c r="N1" s="3435"/>
      <c r="O1" s="3435"/>
      <c r="P1" s="3435"/>
      <c r="Q1" s="3435"/>
      <c r="R1" s="3435"/>
    </row>
    <row r="2" spans="1:18">
      <c r="A2" s="3014"/>
      <c r="B2" s="3015"/>
      <c r="C2" s="3015"/>
      <c r="D2" s="3015"/>
      <c r="E2" s="3015"/>
      <c r="F2" s="3016"/>
      <c r="I2" s="3603" t="s">
        <v>2581</v>
      </c>
      <c r="J2" s="3603"/>
      <c r="K2" s="3603"/>
      <c r="L2" s="3603"/>
      <c r="M2" s="3603"/>
      <c r="N2" s="3603"/>
      <c r="O2" s="3603"/>
      <c r="P2" s="3603"/>
      <c r="Q2" s="3603"/>
      <c r="R2" s="3603"/>
    </row>
    <row r="3" spans="1:18">
      <c r="A3" s="3017" t="s">
        <v>2502</v>
      </c>
      <c r="B3" s="3018">
        <f>项目基本情况!D3</f>
        <v>45295</v>
      </c>
      <c r="C3" s="3020"/>
      <c r="D3" s="3020"/>
      <c r="E3" s="3020"/>
      <c r="F3" s="3016"/>
      <c r="I3" s="3436"/>
      <c r="J3" s="3436" t="s">
        <v>2585</v>
      </c>
      <c r="K3" s="3436" t="s">
        <v>2586</v>
      </c>
      <c r="L3" s="3436" t="s">
        <v>2587</v>
      </c>
      <c r="M3" s="3436" t="s">
        <v>2588</v>
      </c>
      <c r="N3" s="3437" t="s">
        <v>2589</v>
      </c>
      <c r="O3" s="3437" t="s">
        <v>2590</v>
      </c>
      <c r="P3" s="3437" t="s">
        <v>2591</v>
      </c>
      <c r="Q3" s="3437" t="s">
        <v>2592</v>
      </c>
      <c r="R3" s="3437" t="s">
        <v>2593</v>
      </c>
    </row>
    <row r="4" spans="1:18">
      <c r="A4" s="3017" t="s">
        <v>2503</v>
      </c>
      <c r="B4" s="3020" t="s">
        <v>2504</v>
      </c>
      <c r="C4" s="3020" t="s">
        <v>2505</v>
      </c>
      <c r="D4" s="3020" t="s">
        <v>2506</v>
      </c>
      <c r="E4" s="3020" t="s">
        <v>2507</v>
      </c>
      <c r="F4" s="3016"/>
      <c r="I4" s="3436" t="s">
        <v>2582</v>
      </c>
      <c r="J4" s="3436">
        <v>80</v>
      </c>
      <c r="K4" s="3436">
        <v>70</v>
      </c>
      <c r="L4" s="3436">
        <v>20</v>
      </c>
      <c r="M4" s="3436">
        <v>30</v>
      </c>
      <c r="N4" s="3020">
        <v>45</v>
      </c>
      <c r="O4" s="3020">
        <v>60</v>
      </c>
      <c r="P4" s="3020">
        <v>50</v>
      </c>
      <c r="Q4" s="3020">
        <v>20</v>
      </c>
      <c r="R4" s="3020">
        <v>375</v>
      </c>
    </row>
    <row r="5" spans="1:18">
      <c r="A5" s="3021">
        <v>40</v>
      </c>
      <c r="B5" s="3018">
        <v>46375</v>
      </c>
      <c r="C5" s="3020">
        <f>ROUNDDOWN(MIN((B5-B3)/365,A5),2)</f>
        <v>2.95</v>
      </c>
      <c r="D5" s="3022">
        <f>IF(ISERROR(ROUND(POWER(1+E5,A5-C5)*(POWER(1+E5,C5)-1)/(POWER(1+E5,A5)-1),3)),0,ROUND(POWER(1+E5,A5-C5)*(POWER(1+E5,C5)-1)/(POWER(1+E5,A5)-1),4))</f>
        <v>0.13800000000000001</v>
      </c>
      <c r="E5" s="3023">
        <v>0.04</v>
      </c>
      <c r="F5" s="3016"/>
      <c r="I5" s="3436" t="s">
        <v>2583</v>
      </c>
      <c r="J5" s="3436">
        <v>70</v>
      </c>
      <c r="K5" s="3436">
        <v>60</v>
      </c>
      <c r="L5" s="3436">
        <v>15</v>
      </c>
      <c r="M5" s="3436">
        <v>25</v>
      </c>
      <c r="N5" s="3020">
        <v>40</v>
      </c>
      <c r="O5" s="3020">
        <v>50</v>
      </c>
      <c r="P5" s="3020">
        <v>40</v>
      </c>
      <c r="Q5" s="3020">
        <v>15</v>
      </c>
      <c r="R5" s="3020">
        <v>315</v>
      </c>
    </row>
    <row r="6" spans="1:18">
      <c r="A6" s="3021">
        <v>50</v>
      </c>
      <c r="B6" s="3018">
        <v>50028</v>
      </c>
      <c r="C6" s="3020">
        <f>ROUNDDOWN(MIN((B6-B3)/365,A6),2)</f>
        <v>12.96</v>
      </c>
      <c r="D6" s="3022">
        <f>IF(ISERROR(ROUND(POWER(1+E6,A6-C6)*(POWER(1+E6,C6)-1)/(POWER(1+E6,A6)-1),3)),0,ROUND(POWER(1+E6,A6-C6)*(POWER(1+E6,C6)-1)/(POWER(1+E6,A6)-1),4))</f>
        <v>0.4637</v>
      </c>
      <c r="E6" s="3023">
        <v>0.04</v>
      </c>
      <c r="F6" s="3016"/>
      <c r="I6" s="3436" t="s">
        <v>2584</v>
      </c>
      <c r="J6" s="3436">
        <v>60</v>
      </c>
      <c r="K6" s="3436">
        <v>50</v>
      </c>
      <c r="L6" s="3436">
        <v>10</v>
      </c>
      <c r="M6" s="3436">
        <v>20</v>
      </c>
      <c r="N6" s="3020">
        <v>35</v>
      </c>
      <c r="O6" s="3020">
        <v>40</v>
      </c>
      <c r="P6" s="3020">
        <v>30</v>
      </c>
      <c r="Q6" s="3020">
        <v>10</v>
      </c>
      <c r="R6" s="3020">
        <v>255</v>
      </c>
    </row>
    <row r="7" spans="1:18">
      <c r="A7" s="3021">
        <v>70</v>
      </c>
      <c r="B7" s="3018">
        <v>57333</v>
      </c>
      <c r="C7" s="3020">
        <f>ROUNDDOWN(MIN((B7-B3)/365,A7),2)</f>
        <v>32.979999999999997</v>
      </c>
      <c r="D7" s="3022">
        <f>IF(ISERROR(ROUND(POWER(1+E7,A7-C7)*(POWER(1+E7,C7)-1)/(POWER(1+E7,A7)-1),3)),0,ROUND(POWER(1+E7,A7-C7)*(POWER(1+E7,C7)-1)/(POWER(1+E7,A7)-1),4))</f>
        <v>0.77549999999999997</v>
      </c>
      <c r="E7" s="3023">
        <v>0.04</v>
      </c>
      <c r="F7" s="3016"/>
    </row>
    <row r="8" spans="1:18">
      <c r="A8" s="3014"/>
      <c r="B8" s="3015"/>
      <c r="C8" s="3015"/>
      <c r="D8" s="3015"/>
      <c r="E8" s="3015"/>
      <c r="F8" s="3016"/>
    </row>
    <row r="9" spans="1:18">
      <c r="A9" s="3017" t="s">
        <v>2508</v>
      </c>
      <c r="B9" s="3020"/>
      <c r="C9" s="3020"/>
      <c r="D9" s="3020"/>
      <c r="E9" s="3020"/>
      <c r="F9" s="3024"/>
    </row>
    <row r="10" spans="1:18">
      <c r="A10" s="3017" t="s">
        <v>2509</v>
      </c>
      <c r="B10" s="3020"/>
      <c r="C10" s="3020"/>
      <c r="D10" s="3020" t="s">
        <v>2507</v>
      </c>
      <c r="E10" s="3020"/>
      <c r="F10" s="3024" t="s">
        <v>2506</v>
      </c>
    </row>
    <row r="11" spans="1:18">
      <c r="A11" s="3017" t="s">
        <v>2510</v>
      </c>
      <c r="B11" s="3025">
        <v>70</v>
      </c>
      <c r="C11" s="3020" t="s">
        <v>2511</v>
      </c>
      <c r="D11" s="3026">
        <v>4.4999999999999998E-2</v>
      </c>
      <c r="E11" s="3020" t="s">
        <v>2512</v>
      </c>
      <c r="F11" s="3027">
        <f>ROUND(1-(1/(POWER(1+D11,B11))),4)</f>
        <v>0.95409999999999995</v>
      </c>
    </row>
    <row r="12" spans="1:18">
      <c r="A12" s="3017" t="s">
        <v>2513</v>
      </c>
      <c r="B12" s="3025">
        <v>40</v>
      </c>
      <c r="C12" s="3020" t="s">
        <v>2514</v>
      </c>
      <c r="D12" s="3026">
        <v>4.4999999999999998E-2</v>
      </c>
      <c r="E12" s="3020" t="s">
        <v>2515</v>
      </c>
      <c r="F12" s="3027">
        <f>ROUND(1-(1/(POWER(1+D12,B12))),4)</f>
        <v>0.82809999999999995</v>
      </c>
    </row>
    <row r="13" spans="1:18">
      <c r="A13" s="3017" t="s">
        <v>2516</v>
      </c>
      <c r="B13" s="3020"/>
      <c r="C13" s="3020"/>
      <c r="D13" s="3015"/>
      <c r="E13" s="3015"/>
      <c r="F13" s="3016"/>
    </row>
    <row r="14" spans="1:18">
      <c r="A14" s="3017" t="s">
        <v>2517</v>
      </c>
      <c r="B14" s="3025">
        <v>5000</v>
      </c>
      <c r="C14" s="3019"/>
      <c r="D14" s="3015"/>
      <c r="E14" s="3015"/>
      <c r="F14" s="3016"/>
    </row>
    <row r="15" spans="1:18">
      <c r="A15" s="3017" t="s">
        <v>2518</v>
      </c>
      <c r="B15" s="3020">
        <f>ROUND(B14*F12/F11,2)</f>
        <v>4339.6899999999996</v>
      </c>
      <c r="C15" s="3020">
        <f>ROUND(F12/F11,4)</f>
        <v>0.8679</v>
      </c>
      <c r="D15" s="3015"/>
      <c r="E15" s="3015"/>
      <c r="F15" s="3016"/>
    </row>
    <row r="16" spans="1:18">
      <c r="A16" s="3017" t="s">
        <v>2519</v>
      </c>
      <c r="B16" s="3020"/>
      <c r="C16" s="3020"/>
      <c r="D16" s="3015"/>
      <c r="E16" s="3015"/>
      <c r="F16" s="3016"/>
    </row>
    <row r="17" spans="1:13">
      <c r="A17" s="3017" t="s">
        <v>2518</v>
      </c>
      <c r="B17" s="3026">
        <v>4810</v>
      </c>
      <c r="C17" s="3019"/>
      <c r="D17" s="3015"/>
      <c r="E17" s="3015"/>
      <c r="F17" s="3016"/>
    </row>
    <row r="18" spans="1:13" ht="15" thickBot="1">
      <c r="A18" s="3028" t="s">
        <v>2517</v>
      </c>
      <c r="B18" s="3029">
        <f>ROUND(B17*F11/F12,2)</f>
        <v>5541.87</v>
      </c>
      <c r="C18" s="3029">
        <f>ROUND(F11/F12,4)</f>
        <v>1.1521999999999999</v>
      </c>
      <c r="D18" s="3030"/>
      <c r="E18" s="3030"/>
      <c r="F18" s="3031"/>
    </row>
    <row r="19" spans="1:13" ht="15" thickBot="1"/>
    <row r="20" spans="1:13" s="3066" customFormat="1" ht="15" thickTop="1">
      <c r="A20" s="3063" t="s">
        <v>2520</v>
      </c>
      <c r="B20" s="3064"/>
      <c r="C20" s="3064"/>
      <c r="D20" s="3064"/>
      <c r="E20" s="3064"/>
      <c r="F20" s="3064"/>
      <c r="G20" s="3065"/>
      <c r="I20" s="3067" t="s">
        <v>2565</v>
      </c>
      <c r="J20" s="3067" t="s">
        <v>2570</v>
      </c>
      <c r="K20" s="3067"/>
      <c r="L20" s="3067"/>
      <c r="M20" s="3067"/>
    </row>
    <row r="21" spans="1:13">
      <c r="A21" s="3032"/>
      <c r="B21" s="3033" t="s">
        <v>2521</v>
      </c>
      <c r="C21" s="3033" t="s">
        <v>2522</v>
      </c>
      <c r="D21" s="3033" t="s">
        <v>2523</v>
      </c>
      <c r="E21" s="3033" t="s">
        <v>2524</v>
      </c>
      <c r="F21" s="3033" t="s">
        <v>2525</v>
      </c>
      <c r="G21" s="3034" t="s">
        <v>2526</v>
      </c>
      <c r="I21" s="3055">
        <v>5</v>
      </c>
      <c r="J21" s="3055">
        <v>54.2</v>
      </c>
    </row>
    <row r="22" spans="1:13">
      <c r="A22" s="3032" t="s">
        <v>2527</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2528</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2568</v>
      </c>
      <c r="M23" s="3055" t="s">
        <v>2569</v>
      </c>
    </row>
    <row r="24" spans="1:13">
      <c r="A24" s="3032" t="s">
        <v>2529</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2567</v>
      </c>
      <c r="M24" s="3055">
        <v>10</v>
      </c>
    </row>
    <row r="25" spans="1:13">
      <c r="A25" s="3032" t="s">
        <v>2530</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2571</v>
      </c>
      <c r="M25" s="3055">
        <v>8</v>
      </c>
    </row>
    <row r="26" spans="1:13">
      <c r="A26" s="3037"/>
      <c r="B26" s="3038"/>
      <c r="C26" s="3038"/>
      <c r="D26" s="3038"/>
      <c r="E26" s="3038"/>
      <c r="F26" s="3038"/>
      <c r="G26" s="3039"/>
      <c r="I26" s="3055">
        <v>30</v>
      </c>
      <c r="J26" s="3055">
        <v>90.5</v>
      </c>
      <c r="K26" s="3055">
        <f t="shared" si="2"/>
        <v>4.2000000000000028</v>
      </c>
      <c r="L26" s="3055" t="s">
        <v>2572</v>
      </c>
      <c r="M26" s="3055">
        <v>5</v>
      </c>
    </row>
    <row r="27" spans="1:13">
      <c r="A27" s="3037" t="s">
        <v>2531</v>
      </c>
      <c r="B27" s="3038"/>
      <c r="C27" s="3038"/>
      <c r="D27" s="3038"/>
      <c r="E27" s="3038"/>
      <c r="F27" s="3038"/>
      <c r="G27" s="3039"/>
      <c r="I27" s="3055">
        <v>35</v>
      </c>
      <c r="J27" s="3055">
        <v>93.8</v>
      </c>
      <c r="K27" s="3055">
        <f t="shared" si="2"/>
        <v>3.2999999999999972</v>
      </c>
      <c r="L27" s="3055" t="s">
        <v>2573</v>
      </c>
      <c r="M27" s="3055">
        <v>3</v>
      </c>
    </row>
    <row r="28" spans="1:13">
      <c r="A28" s="3037" t="s">
        <v>2532</v>
      </c>
      <c r="B28" s="3038"/>
      <c r="C28" s="3038"/>
      <c r="D28" s="3038"/>
      <c r="E28" s="3038"/>
      <c r="F28" s="3038"/>
      <c r="G28" s="3039"/>
      <c r="I28" s="3055">
        <v>40</v>
      </c>
      <c r="J28" s="3055">
        <v>96.4</v>
      </c>
      <c r="K28" s="3055">
        <f t="shared" si="2"/>
        <v>2.6000000000000085</v>
      </c>
      <c r="L28" s="3055" t="s">
        <v>2574</v>
      </c>
      <c r="M28" s="3055">
        <v>2</v>
      </c>
    </row>
    <row r="29" spans="1:13">
      <c r="A29" s="3037" t="s">
        <v>2533</v>
      </c>
      <c r="B29" s="3038"/>
      <c r="C29" s="3038"/>
      <c r="D29" s="3038"/>
      <c r="E29" s="3038"/>
      <c r="F29" s="3038"/>
      <c r="G29" s="3039"/>
      <c r="I29" s="3055">
        <v>45</v>
      </c>
      <c r="J29" s="3055">
        <v>98.4</v>
      </c>
      <c r="K29" s="3055">
        <f t="shared" si="2"/>
        <v>2</v>
      </c>
    </row>
    <row r="30" spans="1:13">
      <c r="A30" s="3037" t="s">
        <v>2534</v>
      </c>
      <c r="B30" s="3038"/>
      <c r="C30" s="3038"/>
      <c r="D30" s="3038"/>
      <c r="E30" s="3038"/>
      <c r="F30" s="3038"/>
      <c r="G30" s="3039"/>
      <c r="I30" s="3055">
        <v>50</v>
      </c>
      <c r="J30" s="3055">
        <v>100</v>
      </c>
      <c r="K30" s="3055">
        <f t="shared" si="2"/>
        <v>1.5999999999999943</v>
      </c>
    </row>
    <row r="31" spans="1:13">
      <c r="A31" s="3037" t="s">
        <v>2535</v>
      </c>
      <c r="B31" s="3038"/>
      <c r="C31" s="3038"/>
      <c r="D31" s="3038"/>
      <c r="E31" s="3038"/>
      <c r="F31" s="3038"/>
      <c r="G31" s="3039"/>
      <c r="I31" s="3055" t="s">
        <v>2566</v>
      </c>
    </row>
    <row r="32" spans="1:13">
      <c r="A32" s="3037" t="s">
        <v>2536</v>
      </c>
      <c r="B32" s="3038"/>
      <c r="C32" s="3038"/>
      <c r="D32" s="3038"/>
      <c r="E32" s="3038"/>
      <c r="F32" s="3038"/>
      <c r="G32" s="3039"/>
    </row>
    <row r="33" spans="1:13">
      <c r="A33" s="3037" t="s">
        <v>2537</v>
      </c>
      <c r="B33" s="3038"/>
      <c r="C33" s="3038"/>
      <c r="D33" s="3038"/>
      <c r="E33" s="3038"/>
      <c r="F33" s="3038"/>
      <c r="G33" s="3039"/>
      <c r="I33" s="3055" t="s">
        <v>2565</v>
      </c>
      <c r="J33" s="3055" t="s">
        <v>2575</v>
      </c>
    </row>
    <row r="34" spans="1:13">
      <c r="A34" s="3037" t="s">
        <v>2538</v>
      </c>
      <c r="B34" s="3038"/>
      <c r="C34" s="3038"/>
      <c r="D34" s="3038"/>
      <c r="E34" s="3038"/>
      <c r="F34" s="3038"/>
      <c r="G34" s="3039"/>
      <c r="I34" s="3055">
        <v>5</v>
      </c>
      <c r="J34" s="3055">
        <v>55.1</v>
      </c>
    </row>
    <row r="35" spans="1:13">
      <c r="A35" s="3037" t="s">
        <v>2539</v>
      </c>
      <c r="B35" s="3038"/>
      <c r="C35" s="3038"/>
      <c r="D35" s="3038"/>
      <c r="E35" s="3038"/>
      <c r="F35" s="3038"/>
      <c r="G35" s="3039"/>
      <c r="I35" s="3055">
        <v>10</v>
      </c>
      <c r="J35" s="3055">
        <v>67</v>
      </c>
      <c r="K35" s="3055">
        <f>J35-J34</f>
        <v>11.899999999999999</v>
      </c>
    </row>
    <row r="36" spans="1:13">
      <c r="A36" s="3037" t="s">
        <v>2540</v>
      </c>
      <c r="B36" s="3038"/>
      <c r="C36" s="3038"/>
      <c r="D36" s="3038"/>
      <c r="E36" s="3038"/>
      <c r="F36" s="3038"/>
      <c r="G36" s="3039"/>
      <c r="I36" s="3055">
        <v>15</v>
      </c>
      <c r="J36" s="3055">
        <v>76.3</v>
      </c>
      <c r="K36" s="3055">
        <f t="shared" ref="K36:K41" si="3">J36-J35</f>
        <v>9.2999999999999972</v>
      </c>
      <c r="L36" s="3055" t="s">
        <v>2568</v>
      </c>
      <c r="M36" s="3055" t="s">
        <v>2569</v>
      </c>
    </row>
    <row r="37" spans="1:13">
      <c r="A37" s="3037" t="s">
        <v>2541</v>
      </c>
      <c r="B37" s="3038"/>
      <c r="C37" s="3038"/>
      <c r="D37" s="3038"/>
      <c r="E37" s="3038"/>
      <c r="F37" s="3038"/>
      <c r="G37" s="3039"/>
      <c r="I37" s="3055">
        <v>20</v>
      </c>
      <c r="J37" s="3055">
        <v>83.6</v>
      </c>
      <c r="K37" s="3055">
        <f t="shared" si="3"/>
        <v>7.2999999999999972</v>
      </c>
      <c r="L37" s="3055" t="s">
        <v>2567</v>
      </c>
      <c r="M37" s="3055">
        <v>10</v>
      </c>
    </row>
    <row r="38" spans="1:13">
      <c r="A38" s="3037" t="s">
        <v>2542</v>
      </c>
      <c r="B38" s="3038"/>
      <c r="C38" s="3038"/>
      <c r="D38" s="3038"/>
      <c r="E38" s="3038"/>
      <c r="F38" s="3038"/>
      <c r="G38" s="3039"/>
      <c r="I38" s="3055">
        <v>25</v>
      </c>
      <c r="J38" s="3055">
        <v>89.3</v>
      </c>
      <c r="K38" s="3055">
        <f t="shared" si="3"/>
        <v>5.7000000000000028</v>
      </c>
      <c r="L38" s="3055" t="s">
        <v>2571</v>
      </c>
      <c r="M38" s="3055">
        <v>8</v>
      </c>
    </row>
    <row r="39" spans="1:13">
      <c r="A39" s="3037"/>
      <c r="B39" s="3038"/>
      <c r="C39" s="3038"/>
      <c r="D39" s="3038"/>
      <c r="E39" s="3038"/>
      <c r="F39" s="3038"/>
      <c r="G39" s="3039"/>
      <c r="I39" s="3055">
        <v>30</v>
      </c>
      <c r="J39" s="3055">
        <v>93.8</v>
      </c>
      <c r="K39" s="3055">
        <f t="shared" si="3"/>
        <v>4.5</v>
      </c>
      <c r="L39" s="3055" t="s">
        <v>2572</v>
      </c>
      <c r="M39" s="3055">
        <v>6</v>
      </c>
    </row>
    <row r="40" spans="1:13">
      <c r="A40" s="3040" t="s">
        <v>2543</v>
      </c>
      <c r="B40" s="3041"/>
      <c r="C40" s="3041"/>
      <c r="D40" s="3041"/>
      <c r="E40" s="3041"/>
      <c r="F40" s="3041"/>
      <c r="G40" s="3042"/>
      <c r="I40" s="3055">
        <v>35</v>
      </c>
      <c r="J40" s="3055">
        <v>97.2</v>
      </c>
      <c r="K40" s="3055">
        <f t="shared" si="3"/>
        <v>3.4000000000000057</v>
      </c>
      <c r="L40" s="3055" t="s">
        <v>2573</v>
      </c>
      <c r="M40" s="3055">
        <v>3</v>
      </c>
    </row>
    <row r="41" spans="1:13">
      <c r="A41" s="3043" t="s">
        <v>2544</v>
      </c>
      <c r="B41" s="3044" t="s">
        <v>2545</v>
      </c>
      <c r="C41" s="3045" t="s">
        <v>2546</v>
      </c>
      <c r="D41" s="3045" t="s">
        <v>2547</v>
      </c>
      <c r="E41" s="3046"/>
      <c r="F41" s="3047"/>
      <c r="G41" s="3048"/>
      <c r="I41" s="3055">
        <v>40</v>
      </c>
      <c r="J41" s="3055">
        <v>100</v>
      </c>
      <c r="K41" s="3055">
        <f t="shared" si="3"/>
        <v>2.7999999999999972</v>
      </c>
    </row>
    <row r="42" spans="1:13">
      <c r="A42" s="3043" t="s">
        <v>2548</v>
      </c>
      <c r="B42" s="3044" t="s">
        <v>2549</v>
      </c>
      <c r="C42" s="3045" t="s">
        <v>2550</v>
      </c>
      <c r="D42" s="3049" t="s">
        <v>2551</v>
      </c>
      <c r="E42" s="3041" t="s">
        <v>2552</v>
      </c>
      <c r="F42" s="3041"/>
      <c r="G42" s="3042"/>
    </row>
    <row r="43" spans="1:13">
      <c r="A43" s="3043" t="s">
        <v>2553</v>
      </c>
      <c r="B43" s="3044" t="s">
        <v>2554</v>
      </c>
      <c r="C43" s="3045" t="s">
        <v>2555</v>
      </c>
      <c r="D43" s="3045" t="s">
        <v>2556</v>
      </c>
      <c r="E43" s="3046" t="s">
        <v>2557</v>
      </c>
      <c r="F43" s="3047"/>
      <c r="G43" s="3048"/>
      <c r="I43" s="3055" t="s">
        <v>2565</v>
      </c>
      <c r="J43" s="3055" t="s">
        <v>2576</v>
      </c>
    </row>
    <row r="44" spans="1:13">
      <c r="A44" s="3043" t="s">
        <v>2558</v>
      </c>
      <c r="B44" s="3044" t="s">
        <v>2559</v>
      </c>
      <c r="C44" s="3045" t="s">
        <v>2560</v>
      </c>
      <c r="D44" s="3049">
        <v>0.5</v>
      </c>
      <c r="E44" s="3046" t="s">
        <v>2561</v>
      </c>
      <c r="F44" s="3047"/>
      <c r="G44" s="3048"/>
      <c r="I44" s="3055">
        <v>30</v>
      </c>
      <c r="J44" s="3055">
        <v>81.7</v>
      </c>
    </row>
    <row r="45" spans="1:13" ht="15" thickBot="1">
      <c r="A45" s="3050" t="s">
        <v>2562</v>
      </c>
      <c r="B45" s="3051" t="s">
        <v>2549</v>
      </c>
      <c r="C45" s="3052" t="s">
        <v>2549</v>
      </c>
      <c r="D45" s="3052" t="s">
        <v>2563</v>
      </c>
      <c r="E45" s="3053" t="s">
        <v>2564</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25" sqref="O25"/>
    </sheetView>
  </sheetViews>
  <sheetFormatPr defaultColWidth="10" defaultRowHeight="13.2"/>
  <cols>
    <col min="1" max="1" width="16.88671875" style="1742" customWidth="1"/>
    <col min="2" max="2" width="10" style="1742" customWidth="1"/>
    <col min="3" max="3" width="11.44140625" style="1742" customWidth="1"/>
    <col min="4" max="4" width="10" style="1742" customWidth="1"/>
    <col min="5" max="5" width="12.6640625" style="1742" customWidth="1"/>
    <col min="6" max="6" width="10" style="1742" customWidth="1"/>
    <col min="7" max="7" width="10.77734375" style="1742" customWidth="1"/>
    <col min="8" max="8" width="10" style="1742" customWidth="1"/>
    <col min="9" max="9" width="11.10937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8" thickBot="1">
      <c r="A1" s="2363" t="s">
        <v>2165</v>
      </c>
      <c r="B1" s="3612" t="str">
        <f>IF(B10="北京市","北京市",C10)&amp;F10&amp;IF(结果表!G1="在建","出让国有建设用地使用权及在建建筑物",IF(结果表!G1="土地","出让国有建设用地使用权",))&amp;B9&amp;"预评估"</f>
        <v>北京市海淀区魏公村路6号院1号楼房地产抵押价值预评估</v>
      </c>
      <c r="C1" s="3613"/>
      <c r="D1" s="3613"/>
      <c r="E1" s="3613"/>
      <c r="F1" s="3613"/>
      <c r="G1" s="3613"/>
      <c r="H1" s="3613"/>
      <c r="I1" s="3614"/>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北京市海淀区魏公村路6号院1号楼房地产抵押价值</v>
      </c>
      <c r="T1" s="1742"/>
      <c r="U1" s="1742"/>
      <c r="V1" s="1742"/>
      <c r="W1" s="1742"/>
      <c r="X1" s="1742"/>
      <c r="Y1" s="1742"/>
      <c r="Z1" s="1742"/>
      <c r="AA1" s="1742"/>
      <c r="AB1" s="1742"/>
    </row>
    <row r="2" spans="1:30">
      <c r="A2" s="2364" t="s">
        <v>2166</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北京市海淀区魏公村路6号院1号楼房地产</v>
      </c>
      <c r="T2" s="1742"/>
      <c r="U2" s="1742"/>
      <c r="V2" s="1742"/>
      <c r="W2" s="1742"/>
      <c r="X2" s="1742"/>
      <c r="Y2" s="1742"/>
      <c r="Z2" s="1742"/>
      <c r="AA2" s="1742"/>
      <c r="AB2" s="1742"/>
    </row>
    <row r="3" spans="1:30">
      <c r="A3" s="302" t="s">
        <v>2167</v>
      </c>
      <c r="B3" s="2370"/>
      <c r="C3" s="2371" t="s">
        <v>2168</v>
      </c>
      <c r="D3" s="2370">
        <v>45295</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8" thickBot="1">
      <c r="A4" s="1087" t="s">
        <v>2169</v>
      </c>
      <c r="B4" s="2372" t="s">
        <v>3381</v>
      </c>
      <c r="C4" s="2373">
        <f ca="1">SUMIF(注册房地产估价师,B4,估价师及机构信息!B3:B24)</f>
        <v>1120100036</v>
      </c>
      <c r="D4" s="2372" t="s">
        <v>3382</v>
      </c>
      <c r="E4" s="2374">
        <f ca="1">SUMIF(注册房地产估价师,D4,估价师及机构信息!B3:B24)</f>
        <v>1120070131</v>
      </c>
      <c r="F4" s="2372"/>
      <c r="G4" s="2374">
        <f>SUMIF(注册房地产估价师,F4,估价师及机构信息!B3:B24)</f>
        <v>0</v>
      </c>
      <c r="H4" s="2372"/>
      <c r="I4" s="2374">
        <f>SUMIF(注册房地产估价师,H4,估价师及机构信息!B3:B24)</f>
        <v>0</v>
      </c>
      <c r="J4" s="2436"/>
      <c r="K4" s="2375" t="str">
        <f ca="1">CONCATENATE(B4,"（注册号：",C4,")、",D4,"（注册号：",E4,")")</f>
        <v>崔锴（注册号：1120100036)、郑燚（注册号：1120070131)</v>
      </c>
      <c r="L4" s="2366"/>
      <c r="M4" s="2366"/>
      <c r="N4" s="2367"/>
      <c r="O4" s="1573"/>
      <c r="P4" s="2367"/>
      <c r="Q4" s="2367"/>
      <c r="R4" s="2367"/>
      <c r="S4" s="1679"/>
      <c r="T4" s="1742"/>
      <c r="U4" s="1742"/>
      <c r="V4" s="1742"/>
      <c r="W4" s="1742"/>
      <c r="X4" s="1742"/>
      <c r="Y4" s="1742"/>
      <c r="Z4" s="1742"/>
      <c r="AA4" s="1742"/>
      <c r="AB4" s="1742"/>
    </row>
    <row r="5" spans="1:30" ht="13.8" thickTop="1">
      <c r="A5" s="2376" t="s">
        <v>2170</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2171</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2172</v>
      </c>
      <c r="B7" s="2384"/>
      <c r="C7" s="2382"/>
      <c r="D7" s="2383"/>
      <c r="E7" s="2659"/>
      <c r="F7" s="2661"/>
      <c r="G7" s="2661"/>
      <c r="H7" s="2661"/>
      <c r="I7" s="2661"/>
      <c r="J7" s="2436"/>
      <c r="K7" s="2613"/>
      <c r="L7" s="2610"/>
      <c r="M7" s="2610"/>
      <c r="N7" s="2436"/>
      <c r="O7" s="2447"/>
      <c r="P7" s="2436"/>
      <c r="Q7" s="2436"/>
      <c r="R7" s="2436"/>
    </row>
    <row r="8" spans="1:30">
      <c r="A8" s="2385" t="s">
        <v>2173</v>
      </c>
      <c r="B8" s="2386" t="s">
        <v>3380</v>
      </c>
      <c r="C8" s="2387"/>
      <c r="D8" s="3615" t="s">
        <v>2174</v>
      </c>
      <c r="E8" s="2388" t="s">
        <v>3383</v>
      </c>
      <c r="F8" s="2389"/>
      <c r="G8" s="2660"/>
      <c r="H8" s="2660"/>
      <c r="I8" s="2660"/>
      <c r="J8" s="2436"/>
      <c r="K8" s="2611"/>
      <c r="L8" s="2610"/>
      <c r="M8" s="2610"/>
      <c r="N8" s="2436"/>
      <c r="O8" s="2447"/>
      <c r="P8" s="2436"/>
      <c r="Q8" s="2436"/>
      <c r="R8" s="2436"/>
    </row>
    <row r="9" spans="1:30" ht="13.8" thickBot="1">
      <c r="A9" s="2390" t="s">
        <v>2175</v>
      </c>
      <c r="B9" s="2391" t="s">
        <v>3383</v>
      </c>
      <c r="C9" s="2392"/>
      <c r="D9" s="3616"/>
      <c r="E9" s="2391" t="s">
        <v>586</v>
      </c>
      <c r="F9" s="2393"/>
      <c r="G9" s="2662"/>
      <c r="H9" s="2662"/>
      <c r="I9" s="2662"/>
      <c r="J9" s="2436"/>
      <c r="K9" s="2613"/>
      <c r="L9" s="2610"/>
      <c r="M9" s="2610"/>
      <c r="N9" s="2436"/>
      <c r="O9" s="2447"/>
      <c r="P9" s="2436"/>
      <c r="Q9" s="2436"/>
      <c r="R9" s="2436"/>
    </row>
    <row r="10" spans="1:30" ht="13.8" thickTop="1">
      <c r="A10" s="2394" t="s">
        <v>2176</v>
      </c>
      <c r="B10" s="2395" t="s">
        <v>3384</v>
      </c>
      <c r="C10" s="2396"/>
      <c r="D10" s="2379"/>
      <c r="E10" s="2397" t="s">
        <v>2177</v>
      </c>
      <c r="F10" s="2663" t="s">
        <v>3389</v>
      </c>
      <c r="G10" s="2664"/>
      <c r="H10" s="2665"/>
      <c r="I10" s="2666"/>
      <c r="J10" s="2436"/>
      <c r="K10" s="2613"/>
      <c r="L10" s="2610"/>
      <c r="M10" s="2610"/>
      <c r="N10" s="2436"/>
      <c r="O10" s="2447"/>
      <c r="P10" s="2436"/>
      <c r="Q10" s="2436"/>
      <c r="R10" s="2436"/>
    </row>
    <row r="11" spans="1:30">
      <c r="A11" s="2398" t="s">
        <v>2178</v>
      </c>
      <c r="B11" s="2399" t="s">
        <v>3385</v>
      </c>
      <c r="C11" s="2400"/>
      <c r="D11" s="2401"/>
      <c r="E11" s="2367"/>
      <c r="F11" s="2367"/>
      <c r="G11" s="2367"/>
      <c r="H11" s="2367"/>
      <c r="I11" s="2367"/>
      <c r="J11" s="3058"/>
      <c r="K11" s="3057"/>
      <c r="L11" s="2610"/>
      <c r="M11" s="2610"/>
      <c r="N11" s="2436"/>
      <c r="O11" s="2447"/>
      <c r="P11" s="2436"/>
      <c r="Q11" s="2436"/>
      <c r="R11" s="2436"/>
    </row>
    <row r="12" spans="1:30">
      <c r="A12" s="2402" t="s">
        <v>2179</v>
      </c>
      <c r="B12" s="323" t="s">
        <v>2180</v>
      </c>
      <c r="C12" s="2403" t="s">
        <v>2181</v>
      </c>
      <c r="D12" s="2403" t="s">
        <v>2182</v>
      </c>
      <c r="E12" s="2403" t="s">
        <v>2183</v>
      </c>
      <c r="F12" s="2403" t="s">
        <v>2184</v>
      </c>
      <c r="G12" s="2403" t="s">
        <v>2185</v>
      </c>
      <c r="H12" s="2403" t="s">
        <v>2186</v>
      </c>
      <c r="I12" s="3056" t="s">
        <v>2577</v>
      </c>
      <c r="J12" s="3059"/>
      <c r="K12" s="2610"/>
      <c r="L12" s="2610"/>
      <c r="M12" s="2436"/>
      <c r="N12" s="2447"/>
      <c r="O12" s="2436"/>
      <c r="P12" s="2436"/>
      <c r="Q12" s="2436"/>
      <c r="AD12" s="1742"/>
    </row>
    <row r="13" spans="1:30">
      <c r="A13" s="3420" t="s">
        <v>3333</v>
      </c>
      <c r="B13" s="2404" t="s">
        <v>2187</v>
      </c>
      <c r="C13" s="853"/>
      <c r="D13" s="853">
        <v>52525</v>
      </c>
      <c r="E13" s="853">
        <v>56178</v>
      </c>
      <c r="F13" s="853">
        <v>56178</v>
      </c>
      <c r="G13" s="853">
        <v>56178</v>
      </c>
      <c r="H13" s="853"/>
      <c r="I13" s="853"/>
      <c r="J13" s="3059"/>
      <c r="K13" s="2610"/>
      <c r="L13" s="2610"/>
      <c r="M13" s="2436"/>
      <c r="N13" s="2447"/>
      <c r="O13" s="2436"/>
      <c r="P13" s="2436"/>
      <c r="Q13" s="2436"/>
      <c r="AD13" s="1742"/>
    </row>
    <row r="14" spans="1:30">
      <c r="A14" s="1078"/>
      <c r="B14" s="2404" t="s">
        <v>2188</v>
      </c>
      <c r="C14" s="2405"/>
      <c r="D14" s="2405">
        <v>40</v>
      </c>
      <c r="E14" s="2405">
        <v>50</v>
      </c>
      <c r="F14" s="2405">
        <v>50</v>
      </c>
      <c r="G14" s="2405">
        <v>50</v>
      </c>
      <c r="H14" s="2405"/>
      <c r="I14" s="2405"/>
      <c r="J14" s="3060"/>
      <c r="K14" s="2610"/>
      <c r="L14" s="2610"/>
      <c r="M14" s="2436"/>
      <c r="N14" s="2447"/>
      <c r="O14" s="2436"/>
      <c r="P14" s="2436"/>
      <c r="Q14" s="2436"/>
      <c r="AD14" s="1742"/>
    </row>
    <row r="15" spans="1:30">
      <c r="A15" s="320"/>
      <c r="B15" s="2406" t="s">
        <v>2189</v>
      </c>
      <c r="C15" s="2407" t="str">
        <f>IF(A13="出让",IF(C13="","",ROUNDDOWN(MIN((C13-$D$3)/365,C14),2)),C14)</f>
        <v/>
      </c>
      <c r="D15" s="2407">
        <f>IF(A13="出让",IF(D13="","",ROUNDDOWN(MIN((D13-$D$3)/365,D14),2)),D14)</f>
        <v>19.8</v>
      </c>
      <c r="E15" s="2407">
        <f>IF(A13="出让",IF(E13="","",ROUNDDOWN(MIN((E13-$D$3)/365,E14),2)),E14)</f>
        <v>29.81</v>
      </c>
      <c r="F15" s="2407">
        <f>IF(A13="出让",IF(F13="","",ROUNDDOWN(MIN((F13-$D$3)/365,F14),2)),F14)</f>
        <v>29.81</v>
      </c>
      <c r="G15" s="2407">
        <f>IF(A13="出让",IF(G13="","",ROUNDDOWN(MIN((G13-$D$3)/365,G14),2)),G14)</f>
        <v>29.81</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2190</v>
      </c>
      <c r="B16" s="3622"/>
      <c r="C16" s="3623"/>
      <c r="D16" s="3624"/>
      <c r="E16" s="2410" t="s">
        <v>2191</v>
      </c>
      <c r="F16" s="3625"/>
      <c r="G16" s="3626"/>
      <c r="H16" s="3626"/>
      <c r="I16" s="3627"/>
      <c r="J16" s="2436"/>
      <c r="K16" s="2614"/>
      <c r="L16" s="2448"/>
      <c r="M16" s="2448"/>
      <c r="N16" s="2506"/>
      <c r="O16" s="2448"/>
      <c r="P16" s="2506"/>
      <c r="Q16" s="2436"/>
      <c r="R16" s="2436"/>
    </row>
    <row r="17" spans="1:28">
      <c r="A17" s="313" t="s">
        <v>2192</v>
      </c>
      <c r="B17" s="302" t="s">
        <v>2193</v>
      </c>
      <c r="C17" s="8">
        <f>'数据-汇总表'!E3</f>
        <v>112144.47999999998</v>
      </c>
      <c r="D17" s="2319" t="s">
        <v>2194</v>
      </c>
      <c r="E17" s="3628" t="s">
        <v>2195</v>
      </c>
      <c r="F17" s="3629"/>
      <c r="G17" s="3629"/>
      <c r="H17" s="3629"/>
      <c r="I17" s="3630"/>
      <c r="J17" s="2436"/>
      <c r="K17" s="2615"/>
      <c r="L17" s="2448"/>
      <c r="M17" s="2448"/>
      <c r="N17" s="2506"/>
      <c r="O17" s="2448"/>
      <c r="P17" s="2506"/>
      <c r="Q17" s="2436"/>
      <c r="R17" s="2436"/>
      <c r="S17" s="2436"/>
      <c r="T17" s="2436"/>
      <c r="U17" s="2436"/>
      <c r="V17" s="2436"/>
    </row>
    <row r="18" spans="1:28" ht="24.6" thickBot="1">
      <c r="A18" s="2411" t="s">
        <v>2196</v>
      </c>
      <c r="B18" s="1087" t="s">
        <v>2197</v>
      </c>
      <c r="C18" s="2412">
        <f>'数据-汇总表'!D3</f>
        <v>10426.780000000001</v>
      </c>
      <c r="D18" s="1089" t="s">
        <v>2198</v>
      </c>
      <c r="E18" s="3631" t="s">
        <v>2199</v>
      </c>
      <c r="F18" s="3632"/>
      <c r="G18" s="3632"/>
      <c r="H18" s="3632"/>
      <c r="I18" s="3633"/>
      <c r="J18" s="2436"/>
      <c r="K18" s="2615"/>
      <c r="L18" s="2448"/>
      <c r="M18" s="2448"/>
      <c r="N18" s="2506"/>
      <c r="O18" s="2448"/>
      <c r="P18" s="2506"/>
      <c r="Q18" s="2436"/>
      <c r="R18" s="2436"/>
      <c r="S18" s="2436"/>
      <c r="T18" s="2436"/>
      <c r="U18" s="2436"/>
      <c r="V18" s="2436"/>
    </row>
    <row r="19" spans="1:28" ht="37.200000000000003" thickTop="1" thickBot="1">
      <c r="A19" s="327" t="s">
        <v>1053</v>
      </c>
      <c r="B19" s="307" t="s">
        <v>2200</v>
      </c>
      <c r="C19" s="1560"/>
      <c r="D19" s="1561" t="s">
        <v>2201</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2202</v>
      </c>
      <c r="B20" s="3618" t="s">
        <v>2203</v>
      </c>
      <c r="C20" s="3619"/>
      <c r="D20" s="3620" t="s">
        <v>2204</v>
      </c>
      <c r="E20" s="3621"/>
      <c r="F20" s="2644" t="s">
        <v>1054</v>
      </c>
      <c r="G20" s="2661"/>
      <c r="H20" s="2661"/>
      <c r="I20" s="2661"/>
      <c r="J20" s="2436"/>
      <c r="K20" s="3617" t="s">
        <v>2205</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36.6" thickBot="1">
      <c r="A21" s="2629"/>
      <c r="B21" s="2630" t="s">
        <v>2206</v>
      </c>
      <c r="C21" s="2631" t="s">
        <v>1055</v>
      </c>
      <c r="D21" s="1565" t="s">
        <v>2207</v>
      </c>
      <c r="E21" s="2632" t="s">
        <v>1055</v>
      </c>
      <c r="F21" s="2645"/>
      <c r="G21" s="2661"/>
      <c r="H21" s="2661"/>
      <c r="I21" s="2661"/>
      <c r="J21" s="2436"/>
      <c r="K21" s="36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36.6" thickBot="1">
      <c r="A22" s="2629"/>
      <c r="B22" s="2633" t="s">
        <v>2208</v>
      </c>
      <c r="C22" s="2631" t="s">
        <v>1056</v>
      </c>
      <c r="D22" s="2660"/>
      <c r="E22" s="2660"/>
      <c r="F22" s="2660"/>
      <c r="G22" s="2661"/>
      <c r="H22" s="2661"/>
      <c r="I22" s="2661"/>
      <c r="J22" s="2436"/>
      <c r="K22" s="36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2209</v>
      </c>
      <c r="B23" s="2499" t="s">
        <v>2210</v>
      </c>
      <c r="C23" s="2635"/>
      <c r="D23" s="2636" t="s">
        <v>2210</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1057</v>
      </c>
      <c r="C24" s="2638"/>
      <c r="D24" s="2634" t="s">
        <v>1057</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1058</v>
      </c>
      <c r="C25" s="2638"/>
      <c r="D25" s="2634" t="s">
        <v>1058</v>
      </c>
      <c r="E25" s="2639"/>
      <c r="F25" s="2660"/>
      <c r="G25" s="2661"/>
      <c r="H25" s="2661"/>
      <c r="I25" s="2661"/>
      <c r="J25" s="2436"/>
      <c r="K25" s="2613"/>
      <c r="L25" s="2610"/>
      <c r="M25" s="2610"/>
      <c r="N25" s="2506"/>
      <c r="O25" s="2448"/>
      <c r="P25" s="2506"/>
      <c r="Q25" s="2436"/>
      <c r="R25" s="2436"/>
      <c r="S25" s="2436"/>
      <c r="T25" s="2436"/>
      <c r="U25" s="2436"/>
      <c r="V25" s="2436"/>
    </row>
    <row r="26" spans="1:28" ht="13.8" thickBot="1">
      <c r="A26" s="2640"/>
      <c r="B26" s="2641" t="s">
        <v>1059</v>
      </c>
      <c r="C26" s="2642"/>
      <c r="D26" s="2640" t="s">
        <v>1059</v>
      </c>
      <c r="E26" s="2643"/>
      <c r="F26" s="2662"/>
      <c r="G26" s="2662"/>
      <c r="H26" s="2662"/>
      <c r="I26" s="2662"/>
      <c r="J26" s="2436"/>
      <c r="K26" s="2613"/>
      <c r="L26" s="2610"/>
      <c r="M26" s="2610"/>
      <c r="N26" s="2506"/>
      <c r="O26" s="2448"/>
      <c r="P26" s="2506"/>
      <c r="Q26" s="2436"/>
      <c r="R26" s="2436"/>
      <c r="S26" s="2436"/>
      <c r="T26" s="2436"/>
      <c r="U26" s="2436"/>
      <c r="V26" s="2436"/>
    </row>
    <row r="27" spans="1:28" ht="13.8" thickTop="1">
      <c r="A27" s="3605" t="s">
        <v>2211</v>
      </c>
      <c r="B27" s="320" t="s">
        <v>2212</v>
      </c>
      <c r="C27" s="2413"/>
      <c r="D27" s="2414"/>
      <c r="E27" s="2661"/>
      <c r="F27" s="2661"/>
      <c r="G27" s="2661"/>
      <c r="H27" s="2661"/>
      <c r="I27" s="2661"/>
      <c r="J27" s="2436"/>
      <c r="K27" s="2614"/>
      <c r="L27" s="2448"/>
      <c r="M27" s="2448"/>
      <c r="N27" s="2506"/>
      <c r="O27" s="2448"/>
      <c r="P27" s="2506"/>
      <c r="Q27" s="2436"/>
      <c r="R27" s="2436"/>
      <c r="S27" s="2436"/>
      <c r="T27" s="2436"/>
      <c r="U27" s="2436"/>
      <c r="V27" s="2436"/>
    </row>
    <row r="28" spans="1:28">
      <c r="A28" s="3605"/>
      <c r="B28" s="302" t="s">
        <v>2213</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605"/>
      <c r="B29" s="302" t="s">
        <v>2214</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606"/>
      <c r="B30" s="302" t="s">
        <v>2215</v>
      </c>
      <c r="C30" s="3607"/>
      <c r="D30" s="3608"/>
      <c r="E30" s="2661"/>
      <c r="F30" s="2661"/>
      <c r="G30" s="2661"/>
      <c r="H30" s="2661"/>
      <c r="I30" s="2661"/>
      <c r="J30" s="2436"/>
      <c r="K30" s="2613"/>
      <c r="L30" s="2610"/>
      <c r="M30" s="2610"/>
      <c r="N30" s="2436"/>
      <c r="O30" s="2447"/>
      <c r="P30" s="2436"/>
      <c r="Q30" s="2436"/>
      <c r="R30" s="2436"/>
      <c r="S30" s="2436"/>
      <c r="T30" s="2436"/>
      <c r="U30" s="2436"/>
      <c r="V30" s="2436"/>
    </row>
    <row r="31" spans="1:28">
      <c r="A31" s="3609" t="s">
        <v>2216</v>
      </c>
      <c r="B31" s="2419"/>
      <c r="C31" s="2320" t="str">
        <f>IF(B31="现房","成新及维护状况正常否",IF(B31="在建","工程状态是否正常",IF(B31="土地","是否闲置","-")))</f>
        <v>-</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610"/>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610"/>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2217</v>
      </c>
      <c r="B34" s="2023"/>
      <c r="C34" s="2023"/>
      <c r="D34" s="2023"/>
      <c r="E34" s="2023"/>
      <c r="F34" s="2023"/>
      <c r="G34" s="2023"/>
      <c r="H34" s="2023"/>
      <c r="I34" s="2661"/>
      <c r="J34" s="2436"/>
      <c r="K34" s="2424">
        <f>COUNTIF(B34:H34,"——")</f>
        <v>0</v>
      </c>
      <c r="L34" s="323" t="s">
        <v>2218</v>
      </c>
      <c r="M34" s="323" t="s">
        <v>2219</v>
      </c>
      <c r="N34" s="323" t="s">
        <v>2220</v>
      </c>
      <c r="O34" s="323" t="s">
        <v>2221</v>
      </c>
      <c r="P34" s="323" t="s">
        <v>2222</v>
      </c>
      <c r="Q34" s="323" t="s">
        <v>2223</v>
      </c>
      <c r="R34" s="323" t="s">
        <v>2224</v>
      </c>
      <c r="S34" s="3604" t="s">
        <v>2225</v>
      </c>
      <c r="T34" s="2425" t="str">
        <f>NUMBERSTRING(7-K34,1)&amp;"通"</f>
        <v>七通</v>
      </c>
      <c r="U34" s="2436"/>
      <c r="V34" s="2436"/>
    </row>
    <row r="35" spans="1:30">
      <c r="A35" s="2426"/>
      <c r="B35" s="3611" t="s">
        <v>2226</v>
      </c>
      <c r="C35" s="3611"/>
      <c r="D35" s="3611"/>
      <c r="E35" s="3611"/>
      <c r="F35" s="664">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604"/>
      <c r="T35" s="329" t="str">
        <f>IF(T34="一通",L35,IF(T34="二通",M35,IF(T34="三通",N35,IF(T34="四通",O35,IF(T34="五通",P35,IF(T34="六通",Q35,R35))))))</f>
        <v>、、、、、、</v>
      </c>
      <c r="U35" s="2436"/>
      <c r="V35" s="2436"/>
    </row>
    <row r="36" spans="1:30">
      <c r="A36" s="2427"/>
      <c r="B36" s="664" t="s">
        <v>2182</v>
      </c>
      <c r="C36" s="664" t="s">
        <v>2183</v>
      </c>
      <c r="D36" s="664" t="s">
        <v>2181</v>
      </c>
      <c r="E36" s="664" t="s">
        <v>2186</v>
      </c>
      <c r="F36" s="3062" t="s">
        <v>2580</v>
      </c>
      <c r="G36" s="2661"/>
      <c r="H36" s="2661"/>
      <c r="I36" s="2661"/>
      <c r="J36" s="2436"/>
      <c r="K36" s="2613"/>
      <c r="L36" s="2610"/>
      <c r="M36" s="2610"/>
      <c r="N36" s="2436"/>
      <c r="O36" s="2447"/>
      <c r="P36" s="2436"/>
      <c r="Q36" s="2436"/>
      <c r="R36" s="2436"/>
      <c r="S36" s="2436"/>
      <c r="T36" s="2436"/>
      <c r="U36" s="2436"/>
      <c r="V36" s="2436"/>
    </row>
    <row r="37" spans="1:30">
      <c r="A37" s="2627" t="s">
        <v>2227</v>
      </c>
      <c r="B37" s="2428" t="s">
        <v>296</v>
      </c>
      <c r="C37" s="2428" t="s">
        <v>184</v>
      </c>
      <c r="D37" s="2428"/>
      <c r="E37" s="2428"/>
      <c r="F37" s="2428"/>
      <c r="G37" s="2661"/>
      <c r="H37" s="2661"/>
      <c r="I37" s="2661"/>
      <c r="J37" s="2436"/>
      <c r="K37" s="2613"/>
      <c r="L37" s="2610"/>
      <c r="M37" s="2610"/>
      <c r="N37" s="2436"/>
      <c r="O37" s="2447"/>
      <c r="P37" s="2436"/>
      <c r="Q37" s="2436"/>
      <c r="R37" s="2436"/>
      <c r="S37" s="2436"/>
      <c r="T37" s="2436"/>
      <c r="U37" s="2436"/>
      <c r="V37" s="2436"/>
    </row>
    <row r="38" spans="1:30" ht="13.8" thickBot="1">
      <c r="A38" s="2628" t="s">
        <v>2228</v>
      </c>
      <c r="B38" s="2429" t="s">
        <v>138</v>
      </c>
      <c r="C38" s="2429" t="s">
        <v>111</v>
      </c>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4" thickTop="1" thickBot="1">
      <c r="A39" s="2430" t="s">
        <v>2229</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2230</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2">
      <c r="A42" s="323" t="s">
        <v>2231</v>
      </c>
      <c r="B42" s="8" t="s">
        <v>2232</v>
      </c>
      <c r="C42" s="8" t="s">
        <v>2233</v>
      </c>
      <c r="D42" s="8" t="s">
        <v>2234</v>
      </c>
      <c r="E42" s="8" t="s">
        <v>2235</v>
      </c>
      <c r="F42" s="8" t="s">
        <v>2236</v>
      </c>
      <c r="G42" s="8" t="s">
        <v>2237</v>
      </c>
      <c r="H42" s="8" t="s">
        <v>2238</v>
      </c>
      <c r="I42" s="8" t="s">
        <v>2239</v>
      </c>
      <c r="J42" s="2623" t="s">
        <v>2240</v>
      </c>
      <c r="K42" s="2624" t="s">
        <v>2241</v>
      </c>
      <c r="L42" s="2624" t="s">
        <v>2242</v>
      </c>
      <c r="M42" s="2624" t="s">
        <v>2243</v>
      </c>
      <c r="N42" s="2617" t="s">
        <v>2244</v>
      </c>
      <c r="O42" s="2617" t="s">
        <v>2245</v>
      </c>
      <c r="P42" s="2617" t="s">
        <v>2246</v>
      </c>
      <c r="Q42" s="2618" t="s">
        <v>2247</v>
      </c>
      <c r="R42" s="2618" t="s">
        <v>2248</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T124"/>
  <sheetViews>
    <sheetView workbookViewId="0">
      <selection activeCell="S39" activeCellId="2" sqref="S21:S22 S30:S31 S39:S40"/>
    </sheetView>
  </sheetViews>
  <sheetFormatPr defaultColWidth="9" defaultRowHeight="12"/>
  <cols>
    <col min="1" max="1" width="11" style="3448" bestFit="1" customWidth="1"/>
    <col min="2" max="16384" width="9" style="3448"/>
  </cols>
  <sheetData>
    <row r="1" spans="1:20">
      <c r="A1" s="3449" t="s">
        <v>3386</v>
      </c>
      <c r="B1" s="3454"/>
      <c r="C1" s="3634" t="s">
        <v>3407</v>
      </c>
      <c r="D1" s="3634"/>
      <c r="E1" s="3634"/>
    </row>
    <row r="2" spans="1:20">
      <c r="A2" s="3449" t="s">
        <v>3391</v>
      </c>
      <c r="B2" s="3452" t="s">
        <v>3387</v>
      </c>
      <c r="C2" s="3452" t="s">
        <v>3388</v>
      </c>
      <c r="D2" s="3452" t="s">
        <v>3390</v>
      </c>
      <c r="E2" s="3449" t="s">
        <v>3392</v>
      </c>
      <c r="F2" s="3452" t="s">
        <v>3387</v>
      </c>
      <c r="G2" s="3452" t="s">
        <v>3388</v>
      </c>
      <c r="H2" s="3452" t="s">
        <v>3390</v>
      </c>
      <c r="I2" s="3449" t="s">
        <v>3393</v>
      </c>
      <c r="J2" s="3452" t="s">
        <v>3387</v>
      </c>
      <c r="K2" s="3452" t="s">
        <v>3388</v>
      </c>
      <c r="L2" s="3452" t="s">
        <v>3390</v>
      </c>
      <c r="M2" s="3449" t="s">
        <v>3396</v>
      </c>
      <c r="N2" s="3452" t="s">
        <v>3387</v>
      </c>
      <c r="O2" s="3452" t="s">
        <v>3388</v>
      </c>
      <c r="P2" s="3452" t="s">
        <v>3390</v>
      </c>
      <c r="Q2" s="3449" t="s">
        <v>3400</v>
      </c>
      <c r="R2" s="3452" t="s">
        <v>3387</v>
      </c>
      <c r="S2" s="3452" t="s">
        <v>3388</v>
      </c>
      <c r="T2" s="3452" t="s">
        <v>3390</v>
      </c>
    </row>
    <row r="3" spans="1:20">
      <c r="B3" s="3453">
        <v>401</v>
      </c>
      <c r="C3" s="3453">
        <v>943.9</v>
      </c>
      <c r="D3" s="3450" t="s">
        <v>21</v>
      </c>
      <c r="F3" s="3455">
        <v>401</v>
      </c>
      <c r="G3" s="3455">
        <v>721.51</v>
      </c>
      <c r="H3" s="3456" t="s">
        <v>21</v>
      </c>
      <c r="J3" s="3457">
        <v>-4001</v>
      </c>
      <c r="K3" s="3457">
        <v>87.19</v>
      </c>
      <c r="L3" s="3458" t="s">
        <v>3394</v>
      </c>
      <c r="N3" s="3446">
        <v>-3001</v>
      </c>
      <c r="O3" s="3446">
        <v>163.62</v>
      </c>
      <c r="P3" s="3447" t="s">
        <v>3394</v>
      </c>
      <c r="R3" s="3446">
        <v>-2001</v>
      </c>
      <c r="S3" s="3446">
        <v>27.48</v>
      </c>
      <c r="T3" s="3447" t="s">
        <v>3394</v>
      </c>
    </row>
    <row r="4" spans="1:20">
      <c r="B4" s="3453">
        <v>402</v>
      </c>
      <c r="C4" s="3453">
        <v>776.32</v>
      </c>
      <c r="D4" s="3450" t="s">
        <v>21</v>
      </c>
      <c r="F4" s="3455">
        <v>402</v>
      </c>
      <c r="G4" s="3455">
        <v>829.74</v>
      </c>
      <c r="H4" s="3456" t="s">
        <v>21</v>
      </c>
      <c r="J4" s="3457">
        <v>-4002</v>
      </c>
      <c r="K4" s="3457">
        <v>87.19</v>
      </c>
      <c r="L4" s="3458" t="s">
        <v>3394</v>
      </c>
      <c r="N4" s="3446">
        <v>-3002</v>
      </c>
      <c r="O4" s="3446">
        <v>163.62</v>
      </c>
      <c r="P4" s="3447" t="s">
        <v>3394</v>
      </c>
      <c r="R4" s="3446">
        <v>-201</v>
      </c>
      <c r="S4" s="3446">
        <v>916.28</v>
      </c>
      <c r="T4" s="3447" t="s">
        <v>3401</v>
      </c>
    </row>
    <row r="5" spans="1:20">
      <c r="A5" s="3449" t="s">
        <v>3408</v>
      </c>
      <c r="B5" s="3453">
        <v>403</v>
      </c>
      <c r="C5" s="3453">
        <v>908.78</v>
      </c>
      <c r="D5" s="3450" t="s">
        <v>21</v>
      </c>
      <c r="F5" s="3455">
        <v>403</v>
      </c>
      <c r="G5" s="3455">
        <v>1080.1400000000001</v>
      </c>
      <c r="H5" s="3456" t="s">
        <v>21</v>
      </c>
      <c r="J5" s="3457">
        <v>-4003</v>
      </c>
      <c r="K5" s="3457">
        <v>87.19</v>
      </c>
      <c r="L5" s="3458" t="s">
        <v>3394</v>
      </c>
      <c r="N5" s="3446">
        <v>-3003</v>
      </c>
      <c r="O5" s="3446">
        <v>87.19</v>
      </c>
      <c r="P5" s="3447" t="s">
        <v>3394</v>
      </c>
      <c r="R5" s="3446">
        <v>-202</v>
      </c>
      <c r="S5" s="3446">
        <v>359.23</v>
      </c>
      <c r="T5" s="3447" t="s">
        <v>3401</v>
      </c>
    </row>
    <row r="6" spans="1:20">
      <c r="A6" s="3449">
        <f>C56+G59+K46+O124+S44+S37+S28+S19+S12</f>
        <v>180927.82</v>
      </c>
      <c r="B6" s="3453">
        <v>404</v>
      </c>
      <c r="C6" s="3453">
        <v>1060.48</v>
      </c>
      <c r="D6" s="3450" t="s">
        <v>21</v>
      </c>
      <c r="F6" s="3455">
        <v>404</v>
      </c>
      <c r="G6" s="3455">
        <v>929.37</v>
      </c>
      <c r="H6" s="3456" t="s">
        <v>21</v>
      </c>
      <c r="J6" s="3457">
        <v>-4004</v>
      </c>
      <c r="K6" s="3457">
        <v>87.19</v>
      </c>
      <c r="L6" s="3458" t="s">
        <v>3394</v>
      </c>
      <c r="N6" s="3446">
        <v>-3004</v>
      </c>
      <c r="O6" s="3446">
        <v>87.19</v>
      </c>
      <c r="P6" s="3447" t="s">
        <v>3394</v>
      </c>
      <c r="R6" s="3446">
        <v>-203</v>
      </c>
      <c r="S6" s="3446">
        <v>10160.94</v>
      </c>
      <c r="T6" s="3447" t="s">
        <v>672</v>
      </c>
    </row>
    <row r="7" spans="1:20">
      <c r="B7" s="3453">
        <v>501</v>
      </c>
      <c r="C7" s="3453">
        <v>939</v>
      </c>
      <c r="D7" s="3450" t="s">
        <v>21</v>
      </c>
      <c r="F7" s="3455">
        <v>501</v>
      </c>
      <c r="G7" s="3455">
        <v>721.91</v>
      </c>
      <c r="H7" s="3456" t="s">
        <v>21</v>
      </c>
      <c r="J7" s="3457">
        <v>-4005</v>
      </c>
      <c r="K7" s="3457">
        <v>134.41999999999999</v>
      </c>
      <c r="L7" s="3458" t="s">
        <v>3394</v>
      </c>
      <c r="N7" s="3446">
        <v>-3005</v>
      </c>
      <c r="O7" s="3446">
        <v>87.19</v>
      </c>
      <c r="P7" s="3447" t="s">
        <v>3394</v>
      </c>
      <c r="R7" s="3446">
        <v>-204</v>
      </c>
      <c r="S7" s="3446">
        <v>1502.28</v>
      </c>
      <c r="T7" s="3447" t="s">
        <v>3401</v>
      </c>
    </row>
    <row r="8" spans="1:20">
      <c r="B8" s="3453">
        <v>502</v>
      </c>
      <c r="C8" s="3453">
        <v>782.02</v>
      </c>
      <c r="D8" s="3450" t="s">
        <v>21</v>
      </c>
      <c r="F8" s="3455">
        <v>502</v>
      </c>
      <c r="G8" s="3455">
        <v>803.93</v>
      </c>
      <c r="H8" s="3456" t="s">
        <v>21</v>
      </c>
      <c r="J8" s="3457">
        <v>-4006</v>
      </c>
      <c r="K8" s="3457">
        <v>87.19</v>
      </c>
      <c r="L8" s="3458" t="s">
        <v>3394</v>
      </c>
      <c r="N8" s="3446">
        <v>-3006</v>
      </c>
      <c r="O8" s="3446">
        <v>87.19</v>
      </c>
      <c r="P8" s="3447" t="s">
        <v>3394</v>
      </c>
      <c r="R8" s="3446">
        <v>-205</v>
      </c>
      <c r="S8" s="3446">
        <v>203</v>
      </c>
      <c r="T8" s="3447" t="s">
        <v>672</v>
      </c>
    </row>
    <row r="9" spans="1:20">
      <c r="B9" s="3453">
        <v>503</v>
      </c>
      <c r="C9" s="3453">
        <v>3906.24</v>
      </c>
      <c r="D9" s="3450" t="s">
        <v>21</v>
      </c>
      <c r="F9" s="3455">
        <v>503</v>
      </c>
      <c r="G9" s="3455">
        <v>1058.1500000000001</v>
      </c>
      <c r="H9" s="3456" t="s">
        <v>21</v>
      </c>
      <c r="J9" s="3457">
        <v>-4007</v>
      </c>
      <c r="K9" s="3457">
        <v>87.19</v>
      </c>
      <c r="L9" s="3458" t="s">
        <v>3394</v>
      </c>
      <c r="N9" s="3446">
        <v>-3007</v>
      </c>
      <c r="O9" s="3446">
        <v>87.19</v>
      </c>
      <c r="P9" s="3447" t="s">
        <v>3394</v>
      </c>
      <c r="R9" s="3446">
        <v>-206</v>
      </c>
      <c r="S9" s="3446">
        <v>15.59</v>
      </c>
      <c r="T9" s="3447" t="s">
        <v>3395</v>
      </c>
    </row>
    <row r="10" spans="1:20">
      <c r="B10" s="3453">
        <v>601</v>
      </c>
      <c r="C10" s="3453">
        <v>959.04</v>
      </c>
      <c r="D10" s="3450" t="s">
        <v>21</v>
      </c>
      <c r="F10" s="3455">
        <v>504</v>
      </c>
      <c r="G10" s="3455">
        <v>920.59</v>
      </c>
      <c r="H10" s="3456" t="s">
        <v>21</v>
      </c>
      <c r="J10" s="3457">
        <v>-4008</v>
      </c>
      <c r="K10" s="3457">
        <v>87.19</v>
      </c>
      <c r="L10" s="3458" t="s">
        <v>3394</v>
      </c>
      <c r="N10" s="3446">
        <v>-3008</v>
      </c>
      <c r="O10" s="3446">
        <v>87.19</v>
      </c>
      <c r="P10" s="3447" t="s">
        <v>3394</v>
      </c>
      <c r="R10" s="3446">
        <v>-207</v>
      </c>
      <c r="S10" s="3446">
        <v>465.36</v>
      </c>
      <c r="T10" s="3447" t="s">
        <v>672</v>
      </c>
    </row>
    <row r="11" spans="1:20">
      <c r="B11" s="3453">
        <v>602</v>
      </c>
      <c r="C11" s="3453">
        <v>829.73</v>
      </c>
      <c r="D11" s="3450" t="s">
        <v>21</v>
      </c>
      <c r="F11" s="3455">
        <v>601</v>
      </c>
      <c r="G11" s="3455">
        <v>794.59</v>
      </c>
      <c r="H11" s="3456" t="s">
        <v>21</v>
      </c>
      <c r="J11" s="3457">
        <v>-4009</v>
      </c>
      <c r="K11" s="3457">
        <v>87.19</v>
      </c>
      <c r="L11" s="3458" t="s">
        <v>3394</v>
      </c>
      <c r="N11" s="3446">
        <v>-3009</v>
      </c>
      <c r="O11" s="3446">
        <v>87.19</v>
      </c>
      <c r="P11" s="3447" t="s">
        <v>3394</v>
      </c>
      <c r="R11" s="3446">
        <v>-208</v>
      </c>
      <c r="S11" s="3446">
        <v>893.63</v>
      </c>
      <c r="T11" s="3447" t="s">
        <v>672</v>
      </c>
    </row>
    <row r="12" spans="1:20">
      <c r="B12" s="3453">
        <v>701</v>
      </c>
      <c r="C12" s="3453">
        <v>958.87</v>
      </c>
      <c r="D12" s="3450" t="s">
        <v>21</v>
      </c>
      <c r="F12" s="3455">
        <v>602</v>
      </c>
      <c r="G12" s="3455">
        <v>807.37</v>
      </c>
      <c r="H12" s="3456" t="s">
        <v>21</v>
      </c>
      <c r="J12" s="3446">
        <v>-401</v>
      </c>
      <c r="K12" s="3446">
        <v>620.24</v>
      </c>
      <c r="L12" s="3447" t="s">
        <v>3395</v>
      </c>
      <c r="N12" s="3446">
        <v>-301</v>
      </c>
      <c r="O12" s="3446">
        <v>18.23</v>
      </c>
      <c r="P12" s="3447" t="s">
        <v>3395</v>
      </c>
      <c r="S12" s="3448">
        <f>SUM(S3:S11)</f>
        <v>14543.79</v>
      </c>
    </row>
    <row r="13" spans="1:20">
      <c r="B13" s="3453">
        <v>702</v>
      </c>
      <c r="C13" s="3453">
        <v>1010.33</v>
      </c>
      <c r="D13" s="3450" t="s">
        <v>21</v>
      </c>
      <c r="F13" s="3455">
        <v>603</v>
      </c>
      <c r="G13" s="3455">
        <v>1029.51</v>
      </c>
      <c r="H13" s="3456" t="s">
        <v>21</v>
      </c>
      <c r="J13" s="3457">
        <v>-4010</v>
      </c>
      <c r="K13" s="3457">
        <v>87.19</v>
      </c>
      <c r="L13" s="3458" t="s">
        <v>3394</v>
      </c>
      <c r="N13" s="3446">
        <v>-3010</v>
      </c>
      <c r="O13" s="3446">
        <v>87.19</v>
      </c>
      <c r="P13" s="3447" t="s">
        <v>3394</v>
      </c>
      <c r="Q13" s="3449" t="s">
        <v>3402</v>
      </c>
      <c r="R13" s="3452" t="s">
        <v>3387</v>
      </c>
      <c r="S13" s="3452" t="s">
        <v>3388</v>
      </c>
      <c r="T13" s="3452" t="s">
        <v>3390</v>
      </c>
    </row>
    <row r="14" spans="1:20">
      <c r="B14" s="3453">
        <v>703</v>
      </c>
      <c r="C14" s="3453">
        <v>1183.54</v>
      </c>
      <c r="D14" s="3450" t="s">
        <v>21</v>
      </c>
      <c r="F14" s="3455">
        <v>604</v>
      </c>
      <c r="G14" s="3455">
        <v>1115.79</v>
      </c>
      <c r="H14" s="3456" t="s">
        <v>21</v>
      </c>
      <c r="J14" s="3457">
        <v>-4011</v>
      </c>
      <c r="K14" s="3457">
        <v>87.19</v>
      </c>
      <c r="L14" s="3458" t="s">
        <v>3394</v>
      </c>
      <c r="N14" s="3446">
        <v>-3011</v>
      </c>
      <c r="O14" s="3446">
        <v>87.19</v>
      </c>
      <c r="P14" s="3447" t="s">
        <v>3394</v>
      </c>
      <c r="R14" s="3446">
        <v>-101</v>
      </c>
      <c r="S14" s="3446">
        <v>2369.2199999999998</v>
      </c>
      <c r="T14" s="3447" t="s">
        <v>3403</v>
      </c>
    </row>
    <row r="15" spans="1:20">
      <c r="B15" s="3453">
        <v>704</v>
      </c>
      <c r="C15" s="3453">
        <v>1019.64</v>
      </c>
      <c r="D15" s="3450" t="s">
        <v>21</v>
      </c>
      <c r="F15" s="3455">
        <v>701</v>
      </c>
      <c r="G15" s="3455">
        <v>972.69</v>
      </c>
      <c r="H15" s="3456" t="s">
        <v>21</v>
      </c>
      <c r="J15" s="3446">
        <v>-4012</v>
      </c>
      <c r="K15" s="3446">
        <v>87.19</v>
      </c>
      <c r="L15" s="3447" t="s">
        <v>3394</v>
      </c>
      <c r="N15" s="3446">
        <v>-3012</v>
      </c>
      <c r="O15" s="3446">
        <v>87.19</v>
      </c>
      <c r="P15" s="3447" t="s">
        <v>3394</v>
      </c>
      <c r="R15" s="3446">
        <v>-102</v>
      </c>
      <c r="S15" s="3446">
        <v>418.31</v>
      </c>
      <c r="T15" s="3447" t="s">
        <v>21</v>
      </c>
    </row>
    <row r="16" spans="1:20">
      <c r="B16" s="3453">
        <v>801</v>
      </c>
      <c r="C16" s="3453">
        <v>958.87</v>
      </c>
      <c r="D16" s="3450" t="s">
        <v>21</v>
      </c>
      <c r="F16" s="3455">
        <v>702</v>
      </c>
      <c r="G16" s="3455">
        <v>807.36</v>
      </c>
      <c r="H16" s="3456" t="s">
        <v>21</v>
      </c>
      <c r="J16" s="3446">
        <v>-4013</v>
      </c>
      <c r="K16" s="3446">
        <v>87.19</v>
      </c>
      <c r="L16" s="3447" t="s">
        <v>3394</v>
      </c>
      <c r="N16" s="3446">
        <v>-3013</v>
      </c>
      <c r="O16" s="3446">
        <v>87.19</v>
      </c>
      <c r="P16" s="3447" t="s">
        <v>3394</v>
      </c>
      <c r="R16" s="3446">
        <v>-103</v>
      </c>
      <c r="S16" s="3446">
        <v>8022</v>
      </c>
      <c r="T16" s="3447" t="s">
        <v>672</v>
      </c>
    </row>
    <row r="17" spans="2:20">
      <c r="B17" s="3453">
        <v>802</v>
      </c>
      <c r="C17" s="3453">
        <v>1010.33</v>
      </c>
      <c r="D17" s="3450" t="s">
        <v>21</v>
      </c>
      <c r="F17" s="3455">
        <v>703</v>
      </c>
      <c r="G17" s="3455">
        <v>1029.51</v>
      </c>
      <c r="H17" s="3456" t="s">
        <v>21</v>
      </c>
      <c r="J17" s="3446">
        <v>-4014</v>
      </c>
      <c r="K17" s="3446">
        <v>87.19</v>
      </c>
      <c r="L17" s="3447" t="s">
        <v>3394</v>
      </c>
      <c r="N17" s="3446">
        <v>-3014</v>
      </c>
      <c r="O17" s="3446">
        <v>87.19</v>
      </c>
      <c r="P17" s="3447" t="s">
        <v>3394</v>
      </c>
      <c r="R17" s="3446">
        <v>-104</v>
      </c>
      <c r="S17" s="3446">
        <v>1467.6</v>
      </c>
      <c r="T17" s="3447" t="s">
        <v>672</v>
      </c>
    </row>
    <row r="18" spans="2:20">
      <c r="B18" s="3453">
        <v>803</v>
      </c>
      <c r="C18" s="3453">
        <v>1183.54</v>
      </c>
      <c r="D18" s="3450" t="s">
        <v>21</v>
      </c>
      <c r="F18" s="3455">
        <v>704</v>
      </c>
      <c r="G18" s="3455">
        <v>1197.99</v>
      </c>
      <c r="H18" s="3456" t="s">
        <v>21</v>
      </c>
      <c r="J18" s="3446">
        <v>-4015</v>
      </c>
      <c r="K18" s="3446">
        <v>87.19</v>
      </c>
      <c r="L18" s="3447" t="s">
        <v>3394</v>
      </c>
      <c r="N18" s="3446">
        <v>-3015</v>
      </c>
      <c r="O18" s="3446">
        <v>87.19</v>
      </c>
      <c r="P18" s="3447" t="s">
        <v>3394</v>
      </c>
      <c r="R18" s="3446">
        <v>-105</v>
      </c>
      <c r="S18" s="3446">
        <v>4083.52</v>
      </c>
      <c r="T18" s="3447" t="s">
        <v>672</v>
      </c>
    </row>
    <row r="19" spans="2:20">
      <c r="B19" s="3453">
        <v>804</v>
      </c>
      <c r="C19" s="3453">
        <v>1018.77</v>
      </c>
      <c r="D19" s="3450" t="s">
        <v>21</v>
      </c>
      <c r="F19" s="3455">
        <v>801</v>
      </c>
      <c r="G19" s="3455">
        <v>972.69</v>
      </c>
      <c r="H19" s="3456" t="s">
        <v>21</v>
      </c>
      <c r="J19" s="3446">
        <v>-4016</v>
      </c>
      <c r="K19" s="3446">
        <v>87.19</v>
      </c>
      <c r="L19" s="3447" t="s">
        <v>3394</v>
      </c>
      <c r="N19" s="3446">
        <v>-3016</v>
      </c>
      <c r="O19" s="3446">
        <v>87.19</v>
      </c>
      <c r="P19" s="3447" t="s">
        <v>3394</v>
      </c>
      <c r="S19" s="3448">
        <f>SUM(S14:S18)</f>
        <v>16360.65</v>
      </c>
    </row>
    <row r="20" spans="2:20">
      <c r="B20" s="3453">
        <v>901</v>
      </c>
      <c r="C20" s="3453">
        <v>958.87</v>
      </c>
      <c r="D20" s="3450" t="s">
        <v>21</v>
      </c>
      <c r="F20" s="3455">
        <v>802</v>
      </c>
      <c r="G20" s="3455">
        <v>807.36</v>
      </c>
      <c r="H20" s="3456" t="s">
        <v>21</v>
      </c>
      <c r="J20" s="3457">
        <v>-4017</v>
      </c>
      <c r="K20" s="3457">
        <v>87.19</v>
      </c>
      <c r="L20" s="3458" t="s">
        <v>3394</v>
      </c>
      <c r="N20" s="3446">
        <v>-3017</v>
      </c>
      <c r="O20" s="3446">
        <v>163.62</v>
      </c>
      <c r="P20" s="3447" t="s">
        <v>3394</v>
      </c>
      <c r="Q20" s="3449" t="s">
        <v>3404</v>
      </c>
      <c r="R20" s="3452" t="s">
        <v>3387</v>
      </c>
      <c r="S20" s="3452" t="s">
        <v>3388</v>
      </c>
      <c r="T20" s="3452" t="s">
        <v>3390</v>
      </c>
    </row>
    <row r="21" spans="2:20">
      <c r="B21" s="3453">
        <v>902</v>
      </c>
      <c r="C21" s="3453">
        <v>1010.33</v>
      </c>
      <c r="D21" s="3450" t="s">
        <v>21</v>
      </c>
      <c r="F21" s="3455">
        <v>803</v>
      </c>
      <c r="G21" s="3455">
        <v>1028.6300000000001</v>
      </c>
      <c r="H21" s="3456" t="s">
        <v>21</v>
      </c>
      <c r="J21" s="3457">
        <v>-4018</v>
      </c>
      <c r="K21" s="3457">
        <v>87.19</v>
      </c>
      <c r="L21" s="3458" t="s">
        <v>3394</v>
      </c>
      <c r="N21" s="3446">
        <v>-3018</v>
      </c>
      <c r="O21" s="3446">
        <v>163.62</v>
      </c>
      <c r="P21" s="3447" t="s">
        <v>3394</v>
      </c>
      <c r="R21" s="3446">
        <v>101</v>
      </c>
      <c r="S21" s="3446">
        <v>1025.52</v>
      </c>
      <c r="T21" s="3447" t="s">
        <v>672</v>
      </c>
    </row>
    <row r="22" spans="2:20">
      <c r="B22" s="3453">
        <v>903</v>
      </c>
      <c r="C22" s="3453">
        <v>1183.54</v>
      </c>
      <c r="D22" s="3450" t="s">
        <v>21</v>
      </c>
      <c r="F22" s="3455">
        <v>804</v>
      </c>
      <c r="G22" s="3455">
        <v>1197.99</v>
      </c>
      <c r="H22" s="3456" t="s">
        <v>21</v>
      </c>
      <c r="J22" s="3457">
        <v>-4019</v>
      </c>
      <c r="K22" s="3457">
        <v>87.19</v>
      </c>
      <c r="L22" s="3458" t="s">
        <v>3394</v>
      </c>
      <c r="N22" s="3446">
        <v>-3019</v>
      </c>
      <c r="O22" s="3446">
        <v>163.62</v>
      </c>
      <c r="P22" s="3447" t="s">
        <v>3394</v>
      </c>
      <c r="R22" s="3446">
        <v>102</v>
      </c>
      <c r="S22" s="3446">
        <v>681.01</v>
      </c>
      <c r="T22" s="3447" t="s">
        <v>672</v>
      </c>
    </row>
    <row r="23" spans="2:20">
      <c r="B23" s="3453">
        <v>904</v>
      </c>
      <c r="C23" s="3453">
        <v>1018.77</v>
      </c>
      <c r="D23" s="3450" t="s">
        <v>21</v>
      </c>
      <c r="F23" s="3455">
        <v>901</v>
      </c>
      <c r="G23" s="3455">
        <v>972.69</v>
      </c>
      <c r="H23" s="3456" t="s">
        <v>21</v>
      </c>
      <c r="J23" s="3446">
        <v>-402</v>
      </c>
      <c r="K23" s="3446">
        <v>21.02</v>
      </c>
      <c r="L23" s="3447" t="s">
        <v>3395</v>
      </c>
      <c r="N23" s="3446">
        <v>-302</v>
      </c>
      <c r="O23" s="3446">
        <v>24.94</v>
      </c>
      <c r="P23" s="3447" t="s">
        <v>3395</v>
      </c>
      <c r="R23" s="3457">
        <v>103</v>
      </c>
      <c r="S23" s="3457">
        <v>537.91</v>
      </c>
      <c r="T23" s="3458" t="s">
        <v>672</v>
      </c>
    </row>
    <row r="24" spans="2:20">
      <c r="B24" s="3453">
        <v>1001</v>
      </c>
      <c r="C24" s="3453">
        <v>958.87</v>
      </c>
      <c r="D24" s="3450" t="s">
        <v>21</v>
      </c>
      <c r="F24" s="3455">
        <v>902</v>
      </c>
      <c r="G24" s="3455">
        <v>807.36</v>
      </c>
      <c r="H24" s="3456" t="s">
        <v>21</v>
      </c>
      <c r="J24" s="3457">
        <v>-4020</v>
      </c>
      <c r="K24" s="3457">
        <v>87.19</v>
      </c>
      <c r="L24" s="3458" t="s">
        <v>3394</v>
      </c>
      <c r="N24" s="3446">
        <v>-3020</v>
      </c>
      <c r="O24" s="3446">
        <v>163.62</v>
      </c>
      <c r="P24" s="3447" t="s">
        <v>3394</v>
      </c>
      <c r="R24" s="3457">
        <v>104</v>
      </c>
      <c r="S24" s="3457">
        <v>581.14</v>
      </c>
      <c r="T24" s="3458" t="s">
        <v>672</v>
      </c>
    </row>
    <row r="25" spans="2:20">
      <c r="B25" s="3453">
        <v>1002</v>
      </c>
      <c r="C25" s="3453">
        <v>1010.33</v>
      </c>
      <c r="D25" s="3450" t="s">
        <v>21</v>
      </c>
      <c r="F25" s="3455">
        <v>903</v>
      </c>
      <c r="G25" s="3455">
        <v>1028.6300000000001</v>
      </c>
      <c r="H25" s="3456" t="s">
        <v>21</v>
      </c>
      <c r="J25" s="3457">
        <v>-4021</v>
      </c>
      <c r="K25" s="3457">
        <v>87.19</v>
      </c>
      <c r="L25" s="3458" t="s">
        <v>3394</v>
      </c>
      <c r="N25" s="3446">
        <v>-3021</v>
      </c>
      <c r="O25" s="3446">
        <v>87.19</v>
      </c>
      <c r="P25" s="3447" t="s">
        <v>3394</v>
      </c>
      <c r="R25" s="3457">
        <v>105</v>
      </c>
      <c r="S25" s="3457">
        <v>294.13</v>
      </c>
      <c r="T25" s="3458" t="s">
        <v>672</v>
      </c>
    </row>
    <row r="26" spans="2:20">
      <c r="B26" s="3453">
        <v>1003</v>
      </c>
      <c r="C26" s="3453">
        <v>1183.54</v>
      </c>
      <c r="D26" s="3450" t="s">
        <v>21</v>
      </c>
      <c r="F26" s="3455">
        <v>904</v>
      </c>
      <c r="G26" s="3455">
        <v>1197.99</v>
      </c>
      <c r="H26" s="3456" t="s">
        <v>21</v>
      </c>
      <c r="J26" s="3457">
        <v>-4022</v>
      </c>
      <c r="K26" s="3457">
        <v>87.19</v>
      </c>
      <c r="L26" s="3458" t="s">
        <v>3394</v>
      </c>
      <c r="N26" s="3446">
        <v>-3022</v>
      </c>
      <c r="O26" s="3446">
        <v>87.19</v>
      </c>
      <c r="P26" s="3447" t="s">
        <v>3394</v>
      </c>
      <c r="R26" s="3446">
        <v>106</v>
      </c>
      <c r="S26" s="3446">
        <v>75.930000000000007</v>
      </c>
      <c r="T26" s="3447" t="s">
        <v>21</v>
      </c>
    </row>
    <row r="27" spans="2:20">
      <c r="B27" s="3453">
        <v>1004</v>
      </c>
      <c r="C27" s="3453">
        <v>1018.77</v>
      </c>
      <c r="D27" s="3450" t="s">
        <v>21</v>
      </c>
      <c r="F27" s="3455">
        <v>1001</v>
      </c>
      <c r="G27" s="3455">
        <v>972.69</v>
      </c>
      <c r="H27" s="3456" t="s">
        <v>21</v>
      </c>
      <c r="J27" s="3457">
        <v>-4023</v>
      </c>
      <c r="K27" s="3457">
        <v>87.19</v>
      </c>
      <c r="L27" s="3458" t="s">
        <v>3394</v>
      </c>
      <c r="N27" s="3446">
        <v>-3023</v>
      </c>
      <c r="O27" s="3446">
        <v>87.19</v>
      </c>
      <c r="P27" s="3447" t="s">
        <v>3394</v>
      </c>
      <c r="R27" s="3446">
        <v>107</v>
      </c>
      <c r="S27" s="3446">
        <v>75.849999999999994</v>
      </c>
      <c r="T27" s="3447" t="s">
        <v>21</v>
      </c>
    </row>
    <row r="28" spans="2:20">
      <c r="B28" s="3453">
        <v>1101</v>
      </c>
      <c r="C28" s="3453">
        <v>1056.6099999999999</v>
      </c>
      <c r="D28" s="3450" t="s">
        <v>21</v>
      </c>
      <c r="F28" s="3455">
        <v>1002</v>
      </c>
      <c r="G28" s="3455">
        <v>807.36</v>
      </c>
      <c r="H28" s="3456" t="s">
        <v>21</v>
      </c>
      <c r="J28" s="3457">
        <v>-4024</v>
      </c>
      <c r="K28" s="3457">
        <v>87.19</v>
      </c>
      <c r="L28" s="3458" t="s">
        <v>3394</v>
      </c>
      <c r="N28" s="3446">
        <v>-3024</v>
      </c>
      <c r="O28" s="3446">
        <v>87.19</v>
      </c>
      <c r="P28" s="3447" t="s">
        <v>3394</v>
      </c>
      <c r="S28" s="3448">
        <f>SUM(S21:S27)</f>
        <v>3271.49</v>
      </c>
    </row>
    <row r="29" spans="2:20">
      <c r="B29" s="3453">
        <v>1102</v>
      </c>
      <c r="C29" s="3453">
        <v>983.25</v>
      </c>
      <c r="D29" s="3450" t="s">
        <v>21</v>
      </c>
      <c r="F29" s="3455">
        <v>1003</v>
      </c>
      <c r="G29" s="3455">
        <v>1028.6300000000001</v>
      </c>
      <c r="H29" s="3456" t="s">
        <v>21</v>
      </c>
      <c r="J29" s="3457">
        <v>-4025</v>
      </c>
      <c r="K29" s="3457">
        <v>87.19</v>
      </c>
      <c r="L29" s="3458" t="s">
        <v>3394</v>
      </c>
      <c r="N29" s="3446">
        <v>-3025</v>
      </c>
      <c r="O29" s="3446">
        <v>87.19</v>
      </c>
      <c r="P29" s="3447" t="s">
        <v>3394</v>
      </c>
      <c r="Q29" s="3449" t="s">
        <v>3405</v>
      </c>
      <c r="R29" s="3452" t="s">
        <v>3387</v>
      </c>
      <c r="S29" s="3452" t="s">
        <v>3388</v>
      </c>
      <c r="T29" s="3452" t="s">
        <v>3390</v>
      </c>
    </row>
    <row r="30" spans="2:20">
      <c r="B30" s="3453">
        <v>1103</v>
      </c>
      <c r="C30" s="3453">
        <v>1179.27</v>
      </c>
      <c r="D30" s="3450" t="s">
        <v>21</v>
      </c>
      <c r="F30" s="3455">
        <v>1004</v>
      </c>
      <c r="G30" s="3455">
        <v>1197.99</v>
      </c>
      <c r="H30" s="3456" t="s">
        <v>21</v>
      </c>
      <c r="J30" s="3457">
        <v>-4026</v>
      </c>
      <c r="K30" s="3457">
        <v>87.19</v>
      </c>
      <c r="L30" s="3458" t="s">
        <v>3394</v>
      </c>
      <c r="N30" s="3446">
        <v>-3026</v>
      </c>
      <c r="O30" s="3446">
        <v>87.19</v>
      </c>
      <c r="P30" s="3447" t="s">
        <v>3394</v>
      </c>
      <c r="R30" s="3446">
        <v>201</v>
      </c>
      <c r="S30" s="3446">
        <v>1577.59</v>
      </c>
      <c r="T30" s="3447" t="s">
        <v>672</v>
      </c>
    </row>
    <row r="31" spans="2:20">
      <c r="B31" s="3453">
        <v>1104</v>
      </c>
      <c r="C31" s="3453">
        <v>1017.74</v>
      </c>
      <c r="D31" s="3450" t="s">
        <v>21</v>
      </c>
      <c r="F31" s="3455">
        <v>1101</v>
      </c>
      <c r="G31" s="3455">
        <v>888.19</v>
      </c>
      <c r="H31" s="3456" t="s">
        <v>21</v>
      </c>
      <c r="J31" s="3457">
        <v>-4027</v>
      </c>
      <c r="K31" s="3457">
        <v>87.19</v>
      </c>
      <c r="L31" s="3458" t="s">
        <v>3394</v>
      </c>
      <c r="N31" s="3446">
        <v>-3027</v>
      </c>
      <c r="O31" s="3446">
        <v>87.19</v>
      </c>
      <c r="P31" s="3447" t="s">
        <v>3394</v>
      </c>
      <c r="R31" s="3446">
        <v>202</v>
      </c>
      <c r="S31" s="3446">
        <v>1647.66</v>
      </c>
      <c r="T31" s="3447" t="s">
        <v>672</v>
      </c>
    </row>
    <row r="32" spans="2:20">
      <c r="B32" s="3451">
        <v>1201</v>
      </c>
      <c r="C32" s="3451">
        <v>1056.6099999999999</v>
      </c>
      <c r="D32" s="3450" t="s">
        <v>21</v>
      </c>
      <c r="F32" s="3455">
        <v>1102</v>
      </c>
      <c r="G32" s="3455">
        <v>956.84</v>
      </c>
      <c r="H32" s="3456" t="s">
        <v>21</v>
      </c>
      <c r="J32" s="3457">
        <v>-4028</v>
      </c>
      <c r="K32" s="3457">
        <v>87.19</v>
      </c>
      <c r="L32" s="3458" t="s">
        <v>3394</v>
      </c>
      <c r="N32" s="3446">
        <v>-3028</v>
      </c>
      <c r="O32" s="3446">
        <v>87.19</v>
      </c>
      <c r="P32" s="3447" t="s">
        <v>3394</v>
      </c>
      <c r="R32" s="3446">
        <v>203</v>
      </c>
      <c r="S32" s="3446">
        <v>211.5</v>
      </c>
      <c r="T32" s="3447" t="s">
        <v>3395</v>
      </c>
    </row>
    <row r="33" spans="2:20">
      <c r="B33" s="3451">
        <v>1202</v>
      </c>
      <c r="C33" s="3451">
        <v>983.25</v>
      </c>
      <c r="D33" s="3450" t="s">
        <v>21</v>
      </c>
      <c r="F33" s="3455">
        <v>1103</v>
      </c>
      <c r="G33" s="3455">
        <v>1030.96</v>
      </c>
      <c r="H33" s="3456" t="s">
        <v>21</v>
      </c>
      <c r="J33" s="3457">
        <v>-4029</v>
      </c>
      <c r="K33" s="3457">
        <v>87.19</v>
      </c>
      <c r="L33" s="3458" t="s">
        <v>3394</v>
      </c>
      <c r="N33" s="3446">
        <v>-3029</v>
      </c>
      <c r="O33" s="3446">
        <v>134.41999999999999</v>
      </c>
      <c r="P33" s="3447" t="s">
        <v>3394</v>
      </c>
      <c r="R33" s="3457">
        <v>204</v>
      </c>
      <c r="S33" s="3457">
        <v>1627.28</v>
      </c>
      <c r="T33" s="3458" t="s">
        <v>672</v>
      </c>
    </row>
    <row r="34" spans="2:20">
      <c r="B34" s="3451">
        <v>1203</v>
      </c>
      <c r="C34" s="3451">
        <v>1179.27</v>
      </c>
      <c r="D34" s="3450" t="s">
        <v>21</v>
      </c>
      <c r="F34" s="3455">
        <v>1104</v>
      </c>
      <c r="G34" s="3455">
        <v>1194.76</v>
      </c>
      <c r="H34" s="3456" t="s">
        <v>21</v>
      </c>
      <c r="J34" s="3457">
        <v>-4030</v>
      </c>
      <c r="K34" s="3457">
        <v>87.19</v>
      </c>
      <c r="L34" s="3458" t="s">
        <v>3394</v>
      </c>
      <c r="N34" s="3446">
        <v>-303</v>
      </c>
      <c r="O34" s="3446">
        <v>1006.98</v>
      </c>
      <c r="P34" s="3447" t="s">
        <v>3395</v>
      </c>
      <c r="R34" s="3457">
        <v>205</v>
      </c>
      <c r="S34" s="3457">
        <v>1206.74</v>
      </c>
      <c r="T34" s="3458" t="s">
        <v>672</v>
      </c>
    </row>
    <row r="35" spans="2:20">
      <c r="B35" s="3451">
        <v>1204</v>
      </c>
      <c r="C35" s="3451">
        <v>1017.46</v>
      </c>
      <c r="D35" s="3450" t="s">
        <v>21</v>
      </c>
      <c r="F35" s="3455">
        <v>1201</v>
      </c>
      <c r="G35" s="3455">
        <v>888.19</v>
      </c>
      <c r="H35" s="3456" t="s">
        <v>21</v>
      </c>
      <c r="J35" s="3457">
        <v>-4031</v>
      </c>
      <c r="K35" s="3457">
        <v>87.19</v>
      </c>
      <c r="L35" s="3458" t="s">
        <v>3394</v>
      </c>
      <c r="N35" s="3446">
        <v>-3030</v>
      </c>
      <c r="O35" s="3446">
        <v>87.19</v>
      </c>
      <c r="P35" s="3447" t="s">
        <v>3394</v>
      </c>
      <c r="R35" s="3457">
        <v>206</v>
      </c>
      <c r="S35" s="3457">
        <v>1239.0999999999999</v>
      </c>
      <c r="T35" s="3458" t="s">
        <v>672</v>
      </c>
    </row>
    <row r="36" spans="2:20">
      <c r="B36" s="3451">
        <v>1301</v>
      </c>
      <c r="C36" s="3451">
        <v>985.45</v>
      </c>
      <c r="D36" s="3450" t="s">
        <v>21</v>
      </c>
      <c r="F36" s="3455">
        <v>1202</v>
      </c>
      <c r="G36" s="3455">
        <v>956.84</v>
      </c>
      <c r="H36" s="3456" t="s">
        <v>21</v>
      </c>
      <c r="J36" s="3457">
        <v>-4032</v>
      </c>
      <c r="K36" s="3457">
        <v>87.19</v>
      </c>
      <c r="L36" s="3458" t="s">
        <v>3394</v>
      </c>
      <c r="N36" s="3446">
        <v>-3031</v>
      </c>
      <c r="O36" s="3446">
        <v>87.19</v>
      </c>
      <c r="P36" s="3447" t="s">
        <v>3394</v>
      </c>
      <c r="R36" s="3457">
        <v>207</v>
      </c>
      <c r="S36" s="3457">
        <v>203.23</v>
      </c>
      <c r="T36" s="3458" t="s">
        <v>3395</v>
      </c>
    </row>
    <row r="37" spans="2:20">
      <c r="B37" s="3451">
        <v>1302</v>
      </c>
      <c r="C37" s="3451">
        <v>1051.25</v>
      </c>
      <c r="D37" s="3450" t="s">
        <v>21</v>
      </c>
      <c r="F37" s="3455">
        <v>1203</v>
      </c>
      <c r="G37" s="3455">
        <v>1030.96</v>
      </c>
      <c r="H37" s="3456" t="s">
        <v>21</v>
      </c>
      <c r="J37" s="3457">
        <v>-4033</v>
      </c>
      <c r="K37" s="3457">
        <v>87.19</v>
      </c>
      <c r="L37" s="3458" t="s">
        <v>3394</v>
      </c>
      <c r="N37" s="3446">
        <v>-3032</v>
      </c>
      <c r="O37" s="3446">
        <v>87.19</v>
      </c>
      <c r="P37" s="3447" t="s">
        <v>3394</v>
      </c>
      <c r="S37" s="3448">
        <f>SUM(S30:S36)</f>
        <v>7713.0999999999985</v>
      </c>
    </row>
    <row r="38" spans="2:20">
      <c r="B38" s="3451">
        <v>1303</v>
      </c>
      <c r="C38" s="3451">
        <v>1178.6099999999999</v>
      </c>
      <c r="D38" s="3450" t="s">
        <v>21</v>
      </c>
      <c r="F38" s="3455">
        <v>1204</v>
      </c>
      <c r="G38" s="3455">
        <v>1194.76</v>
      </c>
      <c r="H38" s="3456" t="s">
        <v>21</v>
      </c>
      <c r="J38" s="3457">
        <v>-4034</v>
      </c>
      <c r="K38" s="3457">
        <v>87.19</v>
      </c>
      <c r="L38" s="3458" t="s">
        <v>3394</v>
      </c>
      <c r="N38" s="3446">
        <v>-3033</v>
      </c>
      <c r="O38" s="3446">
        <v>87.19</v>
      </c>
      <c r="P38" s="3447" t="s">
        <v>3394</v>
      </c>
      <c r="Q38" s="3449" t="s">
        <v>3406</v>
      </c>
      <c r="R38" s="3452" t="s">
        <v>3387</v>
      </c>
      <c r="S38" s="3452" t="s">
        <v>3388</v>
      </c>
      <c r="T38" s="3452" t="s">
        <v>3390</v>
      </c>
    </row>
    <row r="39" spans="2:20">
      <c r="B39" s="3451">
        <v>1304</v>
      </c>
      <c r="C39" s="3451">
        <v>1016.79</v>
      </c>
      <c r="D39" s="3450" t="s">
        <v>21</v>
      </c>
      <c r="F39" s="3455">
        <v>1301</v>
      </c>
      <c r="G39" s="3455">
        <v>945.92</v>
      </c>
      <c r="H39" s="3456" t="s">
        <v>21</v>
      </c>
      <c r="J39" s="3457">
        <v>-4035</v>
      </c>
      <c r="K39" s="3457">
        <v>87.19</v>
      </c>
      <c r="L39" s="3458" t="s">
        <v>3394</v>
      </c>
      <c r="N39" s="3446">
        <v>-3034</v>
      </c>
      <c r="O39" s="3446">
        <v>87.19</v>
      </c>
      <c r="P39" s="3447" t="s">
        <v>3394</v>
      </c>
      <c r="R39" s="3446">
        <v>301</v>
      </c>
      <c r="S39" s="3446">
        <v>1967.72</v>
      </c>
      <c r="T39" s="3447" t="s">
        <v>672</v>
      </c>
    </row>
    <row r="40" spans="2:20">
      <c r="B40" s="3451">
        <v>1401</v>
      </c>
      <c r="C40" s="3451">
        <v>985.45</v>
      </c>
      <c r="D40" s="3450" t="s">
        <v>21</v>
      </c>
      <c r="F40" s="3455">
        <v>1302</v>
      </c>
      <c r="G40" s="3455">
        <v>895.88</v>
      </c>
      <c r="H40" s="3456" t="s">
        <v>21</v>
      </c>
      <c r="J40" s="3457">
        <v>-4036</v>
      </c>
      <c r="K40" s="3457">
        <v>87.19</v>
      </c>
      <c r="L40" s="3458" t="s">
        <v>3394</v>
      </c>
      <c r="N40" s="3446">
        <v>-3035</v>
      </c>
      <c r="O40" s="3446">
        <v>134.41999999999999</v>
      </c>
      <c r="P40" s="3447" t="s">
        <v>3394</v>
      </c>
      <c r="R40" s="3446">
        <v>302</v>
      </c>
      <c r="S40" s="3446">
        <v>1928.09</v>
      </c>
      <c r="T40" s="3447" t="s">
        <v>672</v>
      </c>
    </row>
    <row r="41" spans="2:20">
      <c r="B41" s="3451">
        <v>1402</v>
      </c>
      <c r="C41" s="3451">
        <v>1051.25</v>
      </c>
      <c r="D41" s="3450" t="s">
        <v>21</v>
      </c>
      <c r="F41" s="3455">
        <v>1303</v>
      </c>
      <c r="G41" s="3455">
        <v>1030</v>
      </c>
      <c r="H41" s="3456" t="s">
        <v>21</v>
      </c>
      <c r="J41" s="3457">
        <v>-4037</v>
      </c>
      <c r="K41" s="3457">
        <v>87.19</v>
      </c>
      <c r="L41" s="3458" t="s">
        <v>3394</v>
      </c>
      <c r="N41" s="3446">
        <v>-3036</v>
      </c>
      <c r="O41" s="3446">
        <v>87.19</v>
      </c>
      <c r="P41" s="3447" t="s">
        <v>3394</v>
      </c>
      <c r="R41" s="3457">
        <v>303</v>
      </c>
      <c r="S41" s="3457">
        <v>1446.17</v>
      </c>
      <c r="T41" s="3458" t="s">
        <v>672</v>
      </c>
    </row>
    <row r="42" spans="2:20">
      <c r="B42" s="3451">
        <v>1403</v>
      </c>
      <c r="C42" s="3451">
        <v>1178.6099999999999</v>
      </c>
      <c r="D42" s="3450" t="s">
        <v>21</v>
      </c>
      <c r="F42" s="3455">
        <v>1304</v>
      </c>
      <c r="G42" s="3455">
        <v>1194.1099999999999</v>
      </c>
      <c r="H42" s="3456" t="s">
        <v>21</v>
      </c>
      <c r="J42" s="3457">
        <v>-4038</v>
      </c>
      <c r="K42" s="3457">
        <v>87.19</v>
      </c>
      <c r="L42" s="3458" t="s">
        <v>3394</v>
      </c>
      <c r="N42" s="3446">
        <v>-3037</v>
      </c>
      <c r="O42" s="3446">
        <v>87.19</v>
      </c>
      <c r="P42" s="3447" t="s">
        <v>3394</v>
      </c>
      <c r="R42" s="3457">
        <v>304</v>
      </c>
      <c r="S42" s="3457">
        <v>1812.47</v>
      </c>
      <c r="T42" s="3458" t="s">
        <v>672</v>
      </c>
    </row>
    <row r="43" spans="2:20">
      <c r="B43" s="3451">
        <v>1404</v>
      </c>
      <c r="C43" s="3451">
        <v>1016.79</v>
      </c>
      <c r="D43" s="3450" t="s">
        <v>21</v>
      </c>
      <c r="F43" s="3455">
        <v>1401</v>
      </c>
      <c r="G43" s="3455">
        <v>945.92</v>
      </c>
      <c r="H43" s="3456" t="s">
        <v>21</v>
      </c>
      <c r="J43" s="3457">
        <v>-4039</v>
      </c>
      <c r="K43" s="3457">
        <v>87.19</v>
      </c>
      <c r="L43" s="3458" t="s">
        <v>3394</v>
      </c>
      <c r="N43" s="3446">
        <v>-3038</v>
      </c>
      <c r="O43" s="3446">
        <v>87.19</v>
      </c>
      <c r="P43" s="3447" t="s">
        <v>3394</v>
      </c>
      <c r="R43" s="3457">
        <v>305</v>
      </c>
      <c r="S43" s="3457">
        <v>1337.89</v>
      </c>
      <c r="T43" s="3458" t="s">
        <v>672</v>
      </c>
    </row>
    <row r="44" spans="2:20">
      <c r="B44" s="3451">
        <v>1501</v>
      </c>
      <c r="C44" s="3451">
        <v>985.45</v>
      </c>
      <c r="D44" s="3450" t="s">
        <v>21</v>
      </c>
      <c r="F44" s="3455">
        <v>1402</v>
      </c>
      <c r="G44" s="3455">
        <v>895.88</v>
      </c>
      <c r="H44" s="3456" t="s">
        <v>21</v>
      </c>
      <c r="J44" s="3457">
        <v>-4040</v>
      </c>
      <c r="K44" s="3457">
        <v>87.19</v>
      </c>
      <c r="L44" s="3458" t="s">
        <v>3394</v>
      </c>
      <c r="N44" s="3446">
        <v>-3039</v>
      </c>
      <c r="O44" s="3446">
        <v>87.19</v>
      </c>
      <c r="P44" s="3447" t="s">
        <v>3394</v>
      </c>
      <c r="S44" s="3448">
        <f>SUM(S39:S43)</f>
        <v>8492.34</v>
      </c>
    </row>
    <row r="45" spans="2:20">
      <c r="B45" s="3451">
        <v>1502</v>
      </c>
      <c r="C45" s="3451">
        <v>1051.25</v>
      </c>
      <c r="D45" s="3450" t="s">
        <v>21</v>
      </c>
      <c r="F45" s="3455">
        <v>1403</v>
      </c>
      <c r="G45" s="3455">
        <v>1030</v>
      </c>
      <c r="H45" s="3456" t="s">
        <v>21</v>
      </c>
      <c r="J45" s="3457">
        <v>-4041</v>
      </c>
      <c r="K45" s="3457">
        <v>87.19</v>
      </c>
      <c r="L45" s="3458" t="s">
        <v>3394</v>
      </c>
      <c r="N45" s="3446">
        <v>-304</v>
      </c>
      <c r="O45" s="3446">
        <v>146.87</v>
      </c>
      <c r="P45" s="3447" t="s">
        <v>3397</v>
      </c>
    </row>
    <row r="46" spans="2:20">
      <c r="B46" s="3451">
        <v>1503</v>
      </c>
      <c r="C46" s="3451">
        <v>1178.6099999999999</v>
      </c>
      <c r="D46" s="3450" t="s">
        <v>21</v>
      </c>
      <c r="F46" s="3455">
        <v>1404</v>
      </c>
      <c r="G46" s="3455">
        <v>1194.1099999999999</v>
      </c>
      <c r="H46" s="3456" t="s">
        <v>21</v>
      </c>
      <c r="K46" s="3448">
        <f>SUM(K3:K45)</f>
        <v>4263.2800000000007</v>
      </c>
      <c r="N46" s="3446">
        <v>-3040</v>
      </c>
      <c r="O46" s="3446">
        <v>87.19</v>
      </c>
      <c r="P46" s="3447" t="s">
        <v>3394</v>
      </c>
    </row>
    <row r="47" spans="2:20">
      <c r="B47" s="3451">
        <v>1504</v>
      </c>
      <c r="C47" s="3451">
        <v>1016.79</v>
      </c>
      <c r="D47" s="3450" t="s">
        <v>21</v>
      </c>
      <c r="F47" s="3455">
        <v>1501</v>
      </c>
      <c r="G47" s="3455">
        <v>945.92</v>
      </c>
      <c r="H47" s="3456" t="s">
        <v>21</v>
      </c>
      <c r="N47" s="3446">
        <v>-3041</v>
      </c>
      <c r="O47" s="3446">
        <v>87.19</v>
      </c>
      <c r="P47" s="3447" t="s">
        <v>3394</v>
      </c>
    </row>
    <row r="48" spans="2:20">
      <c r="B48" s="3451">
        <v>1601</v>
      </c>
      <c r="C48" s="3451">
        <v>985.45</v>
      </c>
      <c r="D48" s="3450" t="s">
        <v>21</v>
      </c>
      <c r="F48" s="3455">
        <v>1502</v>
      </c>
      <c r="G48" s="3455">
        <v>895.88</v>
      </c>
      <c r="H48" s="3456" t="s">
        <v>21</v>
      </c>
      <c r="N48" s="3446">
        <v>-3042</v>
      </c>
      <c r="O48" s="3446">
        <v>87.19</v>
      </c>
      <c r="P48" s="3447" t="s">
        <v>3394</v>
      </c>
    </row>
    <row r="49" spans="2:16">
      <c r="B49" s="3451">
        <v>1602</v>
      </c>
      <c r="C49" s="3451">
        <v>1051.25</v>
      </c>
      <c r="D49" s="3450" t="s">
        <v>21</v>
      </c>
      <c r="F49" s="3455">
        <v>1503</v>
      </c>
      <c r="G49" s="3455">
        <v>1030</v>
      </c>
      <c r="H49" s="3456" t="s">
        <v>21</v>
      </c>
      <c r="N49" s="3446">
        <v>-3043</v>
      </c>
      <c r="O49" s="3446">
        <v>87.19</v>
      </c>
      <c r="P49" s="3447" t="s">
        <v>3394</v>
      </c>
    </row>
    <row r="50" spans="2:16">
      <c r="B50" s="3451">
        <v>1603</v>
      </c>
      <c r="C50" s="3451">
        <v>1178.6099999999999</v>
      </c>
      <c r="D50" s="3450" t="s">
        <v>21</v>
      </c>
      <c r="F50" s="3455">
        <v>1504</v>
      </c>
      <c r="G50" s="3455">
        <v>1194.1099999999999</v>
      </c>
      <c r="H50" s="3456" t="s">
        <v>21</v>
      </c>
      <c r="N50" s="3446">
        <v>-3044</v>
      </c>
      <c r="O50" s="3446">
        <v>87.19</v>
      </c>
      <c r="P50" s="3447" t="s">
        <v>3394</v>
      </c>
    </row>
    <row r="51" spans="2:16">
      <c r="B51" s="3451">
        <v>1604</v>
      </c>
      <c r="C51" s="3451">
        <v>1016.79</v>
      </c>
      <c r="D51" s="3450" t="s">
        <v>21</v>
      </c>
      <c r="F51" s="3455">
        <v>1601</v>
      </c>
      <c r="G51" s="3455">
        <v>945.92</v>
      </c>
      <c r="H51" s="3456" t="s">
        <v>21</v>
      </c>
      <c r="N51" s="3446">
        <v>-3045</v>
      </c>
      <c r="O51" s="3446">
        <v>87.19</v>
      </c>
      <c r="P51" s="3447" t="s">
        <v>3394</v>
      </c>
    </row>
    <row r="52" spans="2:16">
      <c r="B52" s="3451">
        <v>1701</v>
      </c>
      <c r="C52" s="3451">
        <v>985.45</v>
      </c>
      <c r="D52" s="3450" t="s">
        <v>21</v>
      </c>
      <c r="F52" s="3455">
        <v>1602</v>
      </c>
      <c r="G52" s="3455">
        <v>895.88</v>
      </c>
      <c r="H52" s="3456" t="s">
        <v>21</v>
      </c>
      <c r="N52" s="3446">
        <v>-3046</v>
      </c>
      <c r="O52" s="3446">
        <v>87.19</v>
      </c>
      <c r="P52" s="3447" t="s">
        <v>3394</v>
      </c>
    </row>
    <row r="53" spans="2:16">
      <c r="B53" s="3451">
        <v>1702</v>
      </c>
      <c r="C53" s="3451">
        <v>1051.25</v>
      </c>
      <c r="D53" s="3450" t="s">
        <v>21</v>
      </c>
      <c r="F53" s="3455">
        <v>1603</v>
      </c>
      <c r="G53" s="3455">
        <v>1030</v>
      </c>
      <c r="H53" s="3456" t="s">
        <v>21</v>
      </c>
      <c r="N53" s="3446">
        <v>-3047</v>
      </c>
      <c r="O53" s="3446">
        <v>87.19</v>
      </c>
      <c r="P53" s="3447" t="s">
        <v>3394</v>
      </c>
    </row>
    <row r="54" spans="2:16">
      <c r="B54" s="3451">
        <v>1703</v>
      </c>
      <c r="C54" s="3451">
        <v>1178.6099999999999</v>
      </c>
      <c r="D54" s="3450" t="s">
        <v>21</v>
      </c>
      <c r="F54" s="3455">
        <v>1604</v>
      </c>
      <c r="G54" s="3455">
        <v>1194.1099999999999</v>
      </c>
      <c r="H54" s="3456" t="s">
        <v>21</v>
      </c>
      <c r="N54" s="3446">
        <v>-3048</v>
      </c>
      <c r="O54" s="3446">
        <v>87.19</v>
      </c>
      <c r="P54" s="3447" t="s">
        <v>3394</v>
      </c>
    </row>
    <row r="55" spans="2:16">
      <c r="B55" s="3451">
        <v>1704</v>
      </c>
      <c r="C55" s="3451">
        <v>1016.79</v>
      </c>
      <c r="D55" s="3450" t="s">
        <v>21</v>
      </c>
      <c r="F55" s="3455">
        <v>1701</v>
      </c>
      <c r="G55" s="3455">
        <v>945.92</v>
      </c>
      <c r="H55" s="3456" t="s">
        <v>21</v>
      </c>
      <c r="N55" s="3446">
        <v>-3049</v>
      </c>
      <c r="O55" s="3446">
        <v>87.19</v>
      </c>
      <c r="P55" s="3447" t="s">
        <v>3394</v>
      </c>
    </row>
    <row r="56" spans="2:16">
      <c r="C56" s="3448">
        <f>SUM(C3:C55)</f>
        <v>57426.38</v>
      </c>
      <c r="F56" s="3455">
        <v>1702</v>
      </c>
      <c r="G56" s="3455">
        <v>895.88</v>
      </c>
      <c r="H56" s="3456" t="s">
        <v>21</v>
      </c>
      <c r="N56" s="3446">
        <v>-305</v>
      </c>
      <c r="O56" s="3446">
        <v>16.36</v>
      </c>
      <c r="P56" s="3447" t="s">
        <v>3398</v>
      </c>
    </row>
    <row r="57" spans="2:16">
      <c r="F57" s="3455">
        <v>1703</v>
      </c>
      <c r="G57" s="3455">
        <v>1030</v>
      </c>
      <c r="H57" s="3456" t="s">
        <v>21</v>
      </c>
      <c r="N57" s="3446">
        <v>-3050</v>
      </c>
      <c r="O57" s="3446">
        <v>87.19</v>
      </c>
      <c r="P57" s="3447" t="s">
        <v>3394</v>
      </c>
    </row>
    <row r="58" spans="2:16">
      <c r="F58" s="3455">
        <v>1704</v>
      </c>
      <c r="G58" s="3455">
        <v>1194.1099999999999</v>
      </c>
      <c r="H58" s="3456" t="s">
        <v>21</v>
      </c>
      <c r="N58" s="3446">
        <v>-3051</v>
      </c>
      <c r="O58" s="3446">
        <v>87.19</v>
      </c>
      <c r="P58" s="3447" t="s">
        <v>3394</v>
      </c>
    </row>
    <row r="59" spans="2:16">
      <c r="G59" s="3448">
        <f>SUM(G3:G58)</f>
        <v>55311.209999999992</v>
      </c>
      <c r="N59" s="3446">
        <v>-3052</v>
      </c>
      <c r="O59" s="3446">
        <v>87.19</v>
      </c>
      <c r="P59" s="3447" t="s">
        <v>3394</v>
      </c>
    </row>
    <row r="60" spans="2:16">
      <c r="N60" s="3446">
        <v>-3053</v>
      </c>
      <c r="O60" s="3446">
        <v>87.19</v>
      </c>
      <c r="P60" s="3447" t="s">
        <v>3394</v>
      </c>
    </row>
    <row r="61" spans="2:16">
      <c r="N61" s="3446">
        <v>-3054</v>
      </c>
      <c r="O61" s="3446">
        <v>87.19</v>
      </c>
      <c r="P61" s="3447" t="s">
        <v>3394</v>
      </c>
    </row>
    <row r="62" spans="2:16">
      <c r="N62" s="3446">
        <v>-3055</v>
      </c>
      <c r="O62" s="3446">
        <v>87.19</v>
      </c>
      <c r="P62" s="3447" t="s">
        <v>3394</v>
      </c>
    </row>
    <row r="63" spans="2:16">
      <c r="N63" s="3446">
        <v>-3056</v>
      </c>
      <c r="O63" s="3446">
        <v>87.19</v>
      </c>
      <c r="P63" s="3447" t="s">
        <v>3394</v>
      </c>
    </row>
    <row r="64" spans="2:16">
      <c r="N64" s="3446">
        <v>-3057</v>
      </c>
      <c r="O64" s="3446">
        <v>87.19</v>
      </c>
      <c r="P64" s="3447" t="s">
        <v>3394</v>
      </c>
    </row>
    <row r="65" spans="14:16">
      <c r="N65" s="3446">
        <v>-3058</v>
      </c>
      <c r="O65" s="3446">
        <v>87.19</v>
      </c>
      <c r="P65" s="3447" t="s">
        <v>3394</v>
      </c>
    </row>
    <row r="66" spans="14:16">
      <c r="N66" s="3446">
        <v>-3059</v>
      </c>
      <c r="O66" s="3446">
        <v>87.19</v>
      </c>
      <c r="P66" s="3447" t="s">
        <v>3394</v>
      </c>
    </row>
    <row r="67" spans="14:16">
      <c r="N67" s="3446">
        <v>-306</v>
      </c>
      <c r="O67" s="3446">
        <v>41.81</v>
      </c>
      <c r="P67" s="3447" t="s">
        <v>3395</v>
      </c>
    </row>
    <row r="68" spans="14:16">
      <c r="N68" s="3446">
        <v>-3060</v>
      </c>
      <c r="O68" s="3446">
        <v>87.19</v>
      </c>
      <c r="P68" s="3447" t="s">
        <v>3394</v>
      </c>
    </row>
    <row r="69" spans="14:16">
      <c r="N69" s="3446">
        <v>-3061</v>
      </c>
      <c r="O69" s="3446">
        <v>87.19</v>
      </c>
      <c r="P69" s="3447" t="s">
        <v>3394</v>
      </c>
    </row>
    <row r="70" spans="14:16">
      <c r="N70" s="3446">
        <v>-3062</v>
      </c>
      <c r="O70" s="3446">
        <v>87.19</v>
      </c>
      <c r="P70" s="3447" t="s">
        <v>3394</v>
      </c>
    </row>
    <row r="71" spans="14:16">
      <c r="N71" s="3446">
        <v>-3063</v>
      </c>
      <c r="O71" s="3446">
        <v>87.19</v>
      </c>
      <c r="P71" s="3447" t="s">
        <v>3394</v>
      </c>
    </row>
    <row r="72" spans="14:16">
      <c r="N72" s="3446">
        <v>-3064</v>
      </c>
      <c r="O72" s="3446">
        <v>87.19</v>
      </c>
      <c r="P72" s="3447" t="s">
        <v>3394</v>
      </c>
    </row>
    <row r="73" spans="14:16">
      <c r="N73" s="3446">
        <v>-3065</v>
      </c>
      <c r="O73" s="3446">
        <v>87.19</v>
      </c>
      <c r="P73" s="3447" t="s">
        <v>3394</v>
      </c>
    </row>
    <row r="74" spans="14:16">
      <c r="N74" s="3446">
        <v>-3066</v>
      </c>
      <c r="O74" s="3446">
        <v>87.19</v>
      </c>
      <c r="P74" s="3447" t="s">
        <v>3394</v>
      </c>
    </row>
    <row r="75" spans="14:16">
      <c r="N75" s="3446">
        <v>-3067</v>
      </c>
      <c r="O75" s="3446">
        <v>87.19</v>
      </c>
      <c r="P75" s="3447" t="s">
        <v>3394</v>
      </c>
    </row>
    <row r="76" spans="14:16">
      <c r="N76" s="3446">
        <v>-3068</v>
      </c>
      <c r="O76" s="3446">
        <v>87.19</v>
      </c>
      <c r="P76" s="3447" t="s">
        <v>3394</v>
      </c>
    </row>
    <row r="77" spans="14:16">
      <c r="N77" s="3446">
        <v>-3069</v>
      </c>
      <c r="O77" s="3446">
        <v>87.19</v>
      </c>
      <c r="P77" s="3447" t="s">
        <v>3394</v>
      </c>
    </row>
    <row r="78" spans="14:16">
      <c r="N78" s="3446">
        <v>-307</v>
      </c>
      <c r="O78" s="3446">
        <v>197.78</v>
      </c>
      <c r="P78" s="3447" t="s">
        <v>3395</v>
      </c>
    </row>
    <row r="79" spans="14:16">
      <c r="N79" s="3446">
        <v>-3070</v>
      </c>
      <c r="O79" s="3446">
        <v>87.19</v>
      </c>
      <c r="P79" s="3447" t="s">
        <v>3394</v>
      </c>
    </row>
    <row r="80" spans="14:16">
      <c r="N80" s="3446">
        <v>-3071</v>
      </c>
      <c r="O80" s="3446">
        <v>87.19</v>
      </c>
      <c r="P80" s="3447" t="s">
        <v>3394</v>
      </c>
    </row>
    <row r="81" spans="14:16">
      <c r="N81" s="3446">
        <v>-3072</v>
      </c>
      <c r="O81" s="3446">
        <v>87.19</v>
      </c>
      <c r="P81" s="3447" t="s">
        <v>3394</v>
      </c>
    </row>
    <row r="82" spans="14:16">
      <c r="N82" s="3446">
        <v>-3073</v>
      </c>
      <c r="O82" s="3446">
        <v>87.19</v>
      </c>
      <c r="P82" s="3447" t="s">
        <v>3394</v>
      </c>
    </row>
    <row r="83" spans="14:16">
      <c r="N83" s="3446">
        <v>-3074</v>
      </c>
      <c r="O83" s="3446">
        <v>87.19</v>
      </c>
      <c r="P83" s="3447" t="s">
        <v>3394</v>
      </c>
    </row>
    <row r="84" spans="14:16">
      <c r="N84" s="3446">
        <v>-3075</v>
      </c>
      <c r="O84" s="3446">
        <v>87.19</v>
      </c>
      <c r="P84" s="3447" t="s">
        <v>3394</v>
      </c>
    </row>
    <row r="85" spans="14:16">
      <c r="N85" s="3446">
        <v>-3076</v>
      </c>
      <c r="O85" s="3446">
        <v>87.19</v>
      </c>
      <c r="P85" s="3447" t="s">
        <v>3394</v>
      </c>
    </row>
    <row r="86" spans="14:16">
      <c r="N86" s="3446">
        <v>-3077</v>
      </c>
      <c r="O86" s="3446">
        <v>87.19</v>
      </c>
      <c r="P86" s="3447" t="s">
        <v>3394</v>
      </c>
    </row>
    <row r="87" spans="14:16">
      <c r="N87" s="3446">
        <v>-3078</v>
      </c>
      <c r="O87" s="3446">
        <v>87.19</v>
      </c>
      <c r="P87" s="3447" t="s">
        <v>3394</v>
      </c>
    </row>
    <row r="88" spans="14:16">
      <c r="N88" s="3446">
        <v>-3079</v>
      </c>
      <c r="O88" s="3446">
        <v>87.19</v>
      </c>
      <c r="P88" s="3447" t="s">
        <v>3394</v>
      </c>
    </row>
    <row r="89" spans="14:16">
      <c r="N89" s="3446">
        <v>-308</v>
      </c>
      <c r="O89" s="3446">
        <v>89.5</v>
      </c>
      <c r="P89" s="3447" t="s">
        <v>3395</v>
      </c>
    </row>
    <row r="90" spans="14:16">
      <c r="N90" s="3446">
        <v>-3080</v>
      </c>
      <c r="O90" s="3446">
        <v>87.19</v>
      </c>
      <c r="P90" s="3447" t="s">
        <v>3394</v>
      </c>
    </row>
    <row r="91" spans="14:16">
      <c r="N91" s="3446">
        <v>-3081</v>
      </c>
      <c r="O91" s="3446">
        <v>87.19</v>
      </c>
      <c r="P91" s="3447" t="s">
        <v>3394</v>
      </c>
    </row>
    <row r="92" spans="14:16">
      <c r="N92" s="3446">
        <v>-3082</v>
      </c>
      <c r="O92" s="3446">
        <v>87.19</v>
      </c>
      <c r="P92" s="3447" t="s">
        <v>3394</v>
      </c>
    </row>
    <row r="93" spans="14:16">
      <c r="N93" s="3446">
        <v>-3083</v>
      </c>
      <c r="O93" s="3446">
        <v>87.19</v>
      </c>
      <c r="P93" s="3447" t="s">
        <v>3394</v>
      </c>
    </row>
    <row r="94" spans="14:16">
      <c r="N94" s="3446">
        <v>-3084</v>
      </c>
      <c r="O94" s="3446">
        <v>87.19</v>
      </c>
      <c r="P94" s="3447" t="s">
        <v>3394</v>
      </c>
    </row>
    <row r="95" spans="14:16">
      <c r="N95" s="3446">
        <v>-3085</v>
      </c>
      <c r="O95" s="3446">
        <v>87.19</v>
      </c>
      <c r="P95" s="3447" t="s">
        <v>3394</v>
      </c>
    </row>
    <row r="96" spans="14:16">
      <c r="N96" s="3446">
        <v>-3086</v>
      </c>
      <c r="O96" s="3446">
        <v>87.19</v>
      </c>
      <c r="P96" s="3447" t="s">
        <v>3394</v>
      </c>
    </row>
    <row r="97" spans="14:16">
      <c r="N97" s="3446">
        <v>-3087</v>
      </c>
      <c r="O97" s="3446">
        <v>87.19</v>
      </c>
      <c r="P97" s="3447" t="s">
        <v>3394</v>
      </c>
    </row>
    <row r="98" spans="14:16">
      <c r="N98" s="3446">
        <v>-3088</v>
      </c>
      <c r="O98" s="3446">
        <v>87.19</v>
      </c>
      <c r="P98" s="3447" t="s">
        <v>3394</v>
      </c>
    </row>
    <row r="99" spans="14:16">
      <c r="N99" s="3446">
        <v>-3089</v>
      </c>
      <c r="O99" s="3446">
        <v>87.19</v>
      </c>
      <c r="P99" s="3447" t="s">
        <v>3394</v>
      </c>
    </row>
    <row r="100" spans="14:16">
      <c r="N100" s="3446">
        <v>-309</v>
      </c>
      <c r="O100" s="3446">
        <v>126.48</v>
      </c>
      <c r="P100" s="3447" t="s">
        <v>3395</v>
      </c>
    </row>
    <row r="101" spans="14:16">
      <c r="N101" s="3446">
        <v>-3090</v>
      </c>
      <c r="O101" s="3446">
        <v>87.19</v>
      </c>
      <c r="P101" s="3447" t="s">
        <v>3394</v>
      </c>
    </row>
    <row r="102" spans="14:16">
      <c r="N102" s="3446">
        <v>-3091</v>
      </c>
      <c r="O102" s="3446">
        <v>87.19</v>
      </c>
      <c r="P102" s="3447" t="s">
        <v>3394</v>
      </c>
    </row>
    <row r="103" spans="14:16">
      <c r="N103" s="3446">
        <v>-3092</v>
      </c>
      <c r="O103" s="3446">
        <v>87.19</v>
      </c>
      <c r="P103" s="3447" t="s">
        <v>3394</v>
      </c>
    </row>
    <row r="104" spans="14:16">
      <c r="N104" s="3446">
        <v>-3093</v>
      </c>
      <c r="O104" s="3446">
        <v>87.19</v>
      </c>
      <c r="P104" s="3447" t="s">
        <v>3394</v>
      </c>
    </row>
    <row r="105" spans="14:16">
      <c r="N105" s="3446">
        <v>-3094</v>
      </c>
      <c r="O105" s="3446">
        <v>87.19</v>
      </c>
      <c r="P105" s="3447" t="s">
        <v>3394</v>
      </c>
    </row>
    <row r="106" spans="14:16">
      <c r="N106" s="3446">
        <v>-3095</v>
      </c>
      <c r="O106" s="3446">
        <v>87.19</v>
      </c>
      <c r="P106" s="3447" t="s">
        <v>3394</v>
      </c>
    </row>
    <row r="107" spans="14:16">
      <c r="N107" s="3446">
        <v>-3096</v>
      </c>
      <c r="O107" s="3446">
        <v>87.19</v>
      </c>
      <c r="P107" s="3447" t="s">
        <v>3394</v>
      </c>
    </row>
    <row r="108" spans="14:16">
      <c r="N108" s="3446">
        <v>-3097</v>
      </c>
      <c r="O108" s="3446">
        <v>87.19</v>
      </c>
      <c r="P108" s="3447" t="s">
        <v>3394</v>
      </c>
    </row>
    <row r="109" spans="14:16">
      <c r="N109" s="3446">
        <v>-3098</v>
      </c>
      <c r="O109" s="3446">
        <v>87.19</v>
      </c>
      <c r="P109" s="3447" t="s">
        <v>3394</v>
      </c>
    </row>
    <row r="110" spans="14:16">
      <c r="N110" s="3446">
        <v>-3099</v>
      </c>
      <c r="O110" s="3446">
        <v>87.19</v>
      </c>
      <c r="P110" s="3447" t="s">
        <v>3394</v>
      </c>
    </row>
    <row r="111" spans="14:16">
      <c r="N111" s="3446">
        <v>-310</v>
      </c>
      <c r="O111" s="3446">
        <v>147.47</v>
      </c>
      <c r="P111" s="3447" t="s">
        <v>3397</v>
      </c>
    </row>
    <row r="112" spans="14:16">
      <c r="N112" s="3446">
        <v>-3100</v>
      </c>
      <c r="O112" s="3446">
        <v>134.41999999999999</v>
      </c>
      <c r="P112" s="3447" t="s">
        <v>3394</v>
      </c>
    </row>
    <row r="113" spans="14:16">
      <c r="N113" s="3446">
        <v>-3101</v>
      </c>
      <c r="O113" s="3446">
        <v>87.19</v>
      </c>
      <c r="P113" s="3447" t="s">
        <v>3394</v>
      </c>
    </row>
    <row r="114" spans="14:16">
      <c r="N114" s="3446">
        <v>-3102</v>
      </c>
      <c r="O114" s="3446">
        <v>87.19</v>
      </c>
      <c r="P114" s="3447" t="s">
        <v>3394</v>
      </c>
    </row>
    <row r="115" spans="14:16">
      <c r="N115" s="3446">
        <v>-3103</v>
      </c>
      <c r="O115" s="3446">
        <v>87.19</v>
      </c>
      <c r="P115" s="3447" t="s">
        <v>3394</v>
      </c>
    </row>
    <row r="116" spans="14:16">
      <c r="N116" s="3446">
        <v>-3104</v>
      </c>
      <c r="O116" s="3446">
        <v>87.19</v>
      </c>
      <c r="P116" s="3447" t="s">
        <v>3394</v>
      </c>
    </row>
    <row r="117" spans="14:16">
      <c r="N117" s="3446">
        <v>-311</v>
      </c>
      <c r="O117" s="3446">
        <v>242.8</v>
      </c>
      <c r="P117" s="3447" t="s">
        <v>21</v>
      </c>
    </row>
    <row r="118" spans="14:16">
      <c r="N118" s="3446">
        <v>-312</v>
      </c>
      <c r="O118" s="3446">
        <v>180.49</v>
      </c>
      <c r="P118" s="3447" t="s">
        <v>21</v>
      </c>
    </row>
    <row r="119" spans="14:16">
      <c r="N119" s="3446">
        <v>-313</v>
      </c>
      <c r="O119" s="3446">
        <v>127.93</v>
      </c>
      <c r="P119" s="3447" t="s">
        <v>21</v>
      </c>
    </row>
    <row r="120" spans="14:16">
      <c r="N120" s="3446">
        <v>-314</v>
      </c>
      <c r="O120" s="3446">
        <v>169.28</v>
      </c>
      <c r="P120" s="3447" t="s">
        <v>3395</v>
      </c>
    </row>
    <row r="121" spans="14:16">
      <c r="N121" s="3446">
        <v>-315</v>
      </c>
      <c r="O121" s="3446">
        <v>37.29</v>
      </c>
      <c r="P121" s="3447" t="s">
        <v>3399</v>
      </c>
    </row>
    <row r="122" spans="14:16">
      <c r="N122" s="3446">
        <v>-316</v>
      </c>
      <c r="O122" s="3446">
        <v>1221.48</v>
      </c>
      <c r="P122" s="3447" t="s">
        <v>21</v>
      </c>
    </row>
    <row r="123" spans="14:16">
      <c r="N123" s="3446">
        <v>-317</v>
      </c>
      <c r="O123" s="3446">
        <v>81.86</v>
      </c>
      <c r="P123" s="3447" t="s">
        <v>21</v>
      </c>
    </row>
    <row r="124" spans="14:16">
      <c r="O124" s="3448">
        <f>SUM(O3:O123)</f>
        <v>13545.580000000002</v>
      </c>
    </row>
  </sheetData>
  <mergeCells count="1">
    <mergeCell ref="C1:E1"/>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10"/>
  <sheetViews>
    <sheetView topLeftCell="A178" zoomScale="115" zoomScaleNormal="115" workbookViewId="0">
      <selection activeCell="H23" sqref="H23"/>
    </sheetView>
  </sheetViews>
  <sheetFormatPr defaultColWidth="9" defaultRowHeight="14.4"/>
  <cols>
    <col min="1" max="6" width="9" style="3461"/>
    <col min="7" max="7" width="16.109375" style="3461" bestFit="1" customWidth="1"/>
    <col min="8" max="16384" width="9" style="3461"/>
  </cols>
  <sheetData>
    <row r="1" spans="1:7">
      <c r="A1" s="3460" t="s">
        <v>3416</v>
      </c>
      <c r="B1" s="3460" t="s">
        <v>3387</v>
      </c>
      <c r="C1" s="3460" t="s">
        <v>3388</v>
      </c>
      <c r="D1" s="3460" t="s">
        <v>3390</v>
      </c>
    </row>
    <row r="2" spans="1:7">
      <c r="A2" s="3459" t="s">
        <v>3400</v>
      </c>
      <c r="B2" s="3472">
        <v>-203</v>
      </c>
      <c r="C2" s="3472">
        <v>10160.94</v>
      </c>
      <c r="D2" s="3473" t="s">
        <v>672</v>
      </c>
    </row>
    <row r="3" spans="1:7">
      <c r="A3" s="3459"/>
      <c r="B3" s="3465">
        <v>-205</v>
      </c>
      <c r="C3" s="3465">
        <v>203</v>
      </c>
      <c r="D3" s="3464" t="s">
        <v>672</v>
      </c>
    </row>
    <row r="4" spans="1:7">
      <c r="A4" s="3459"/>
      <c r="B4" s="3465">
        <v>-207</v>
      </c>
      <c r="C4" s="3465">
        <v>465.36</v>
      </c>
      <c r="D4" s="3464" t="s">
        <v>672</v>
      </c>
    </row>
    <row r="5" spans="1:7">
      <c r="A5" s="3459"/>
      <c r="B5" s="3465">
        <v>-208</v>
      </c>
      <c r="C5" s="3465">
        <v>893.63</v>
      </c>
      <c r="D5" s="3464" t="s">
        <v>672</v>
      </c>
    </row>
    <row r="6" spans="1:7">
      <c r="A6" s="3459" t="s">
        <v>3410</v>
      </c>
      <c r="B6" s="3465">
        <v>-103</v>
      </c>
      <c r="C6" s="3465">
        <v>8022</v>
      </c>
      <c r="D6" s="3464" t="s">
        <v>672</v>
      </c>
    </row>
    <row r="7" spans="1:7">
      <c r="A7" s="3459"/>
      <c r="B7" s="3465">
        <v>-104</v>
      </c>
      <c r="C7" s="3465">
        <v>1467.6</v>
      </c>
      <c r="D7" s="3464" t="s">
        <v>672</v>
      </c>
    </row>
    <row r="8" spans="1:7">
      <c r="A8" s="3459"/>
      <c r="B8" s="3465">
        <v>-105</v>
      </c>
      <c r="C8" s="3465">
        <v>4083.52</v>
      </c>
      <c r="D8" s="3464" t="s">
        <v>672</v>
      </c>
    </row>
    <row r="9" spans="1:7">
      <c r="A9" s="3459" t="s">
        <v>3411</v>
      </c>
      <c r="B9" s="3465">
        <v>101</v>
      </c>
      <c r="C9" s="3465">
        <v>1025.52</v>
      </c>
      <c r="D9" s="3464" t="s">
        <v>672</v>
      </c>
    </row>
    <row r="10" spans="1:7">
      <c r="A10" s="3462"/>
      <c r="B10" s="3465">
        <v>102</v>
      </c>
      <c r="C10" s="3465">
        <v>681.01</v>
      </c>
      <c r="D10" s="3464" t="s">
        <v>672</v>
      </c>
    </row>
    <row r="11" spans="1:7">
      <c r="A11" s="3459" t="s">
        <v>3405</v>
      </c>
      <c r="B11" s="3465">
        <v>201</v>
      </c>
      <c r="C11" s="3465">
        <v>1577.59</v>
      </c>
      <c r="D11" s="3464" t="s">
        <v>672</v>
      </c>
    </row>
    <row r="12" spans="1:7">
      <c r="A12" s="3462"/>
      <c r="B12" s="3465">
        <v>202</v>
      </c>
      <c r="C12" s="3465">
        <v>1647.66</v>
      </c>
      <c r="D12" s="3464" t="s">
        <v>672</v>
      </c>
    </row>
    <row r="13" spans="1:7">
      <c r="A13" s="3459" t="s">
        <v>3406</v>
      </c>
      <c r="B13" s="3465">
        <v>301</v>
      </c>
      <c r="C13" s="3465">
        <v>1967.72</v>
      </c>
      <c r="D13" s="3464" t="s">
        <v>672</v>
      </c>
    </row>
    <row r="14" spans="1:7">
      <c r="A14" s="3462"/>
      <c r="B14" s="3470">
        <v>302</v>
      </c>
      <c r="C14" s="3470">
        <v>1928.09</v>
      </c>
      <c r="D14" s="3471" t="s">
        <v>672</v>
      </c>
    </row>
    <row r="15" spans="1:7">
      <c r="A15" s="3635" t="s">
        <v>3412</v>
      </c>
      <c r="B15" s="3635"/>
      <c r="C15" s="3474">
        <f>SUM(C2:C14)</f>
        <v>34123.64</v>
      </c>
      <c r="D15" s="3464" t="s">
        <v>3415</v>
      </c>
    </row>
    <row r="16" spans="1:7">
      <c r="A16" s="3459" t="s">
        <v>3391</v>
      </c>
      <c r="B16" s="3475">
        <v>401</v>
      </c>
      <c r="C16" s="3475">
        <v>943.9</v>
      </c>
      <c r="D16" s="3473" t="s">
        <v>21</v>
      </c>
      <c r="F16" s="3466"/>
      <c r="G16" s="3467"/>
    </row>
    <row r="17" spans="1:4">
      <c r="A17" s="3462"/>
      <c r="B17" s="3463">
        <v>402</v>
      </c>
      <c r="C17" s="3463">
        <v>776.32</v>
      </c>
      <c r="D17" s="3464" t="s">
        <v>21</v>
      </c>
    </row>
    <row r="18" spans="1:4">
      <c r="A18" s="3459"/>
      <c r="B18" s="3463">
        <v>403</v>
      </c>
      <c r="C18" s="3463">
        <v>908.78</v>
      </c>
      <c r="D18" s="3464" t="s">
        <v>21</v>
      </c>
    </row>
    <row r="19" spans="1:4">
      <c r="A19" s="3459"/>
      <c r="B19" s="3463">
        <v>404</v>
      </c>
      <c r="C19" s="3463">
        <v>1060.48</v>
      </c>
      <c r="D19" s="3464" t="s">
        <v>21</v>
      </c>
    </row>
    <row r="20" spans="1:4">
      <c r="A20" s="3462"/>
      <c r="B20" s="3463">
        <v>501</v>
      </c>
      <c r="C20" s="3463">
        <v>939</v>
      </c>
      <c r="D20" s="3464" t="s">
        <v>21</v>
      </c>
    </row>
    <row r="21" spans="1:4">
      <c r="A21" s="3462"/>
      <c r="B21" s="3463">
        <v>502</v>
      </c>
      <c r="C21" s="3463">
        <v>782.02</v>
      </c>
      <c r="D21" s="3464" t="s">
        <v>21</v>
      </c>
    </row>
    <row r="22" spans="1:4">
      <c r="A22" s="3462"/>
      <c r="B22" s="3463">
        <v>503</v>
      </c>
      <c r="C22" s="3463">
        <v>3906.24</v>
      </c>
      <c r="D22" s="3464" t="s">
        <v>21</v>
      </c>
    </row>
    <row r="23" spans="1:4">
      <c r="A23" s="3462"/>
      <c r="B23" s="3463">
        <v>601</v>
      </c>
      <c r="C23" s="3463">
        <v>959.04</v>
      </c>
      <c r="D23" s="3464" t="s">
        <v>21</v>
      </c>
    </row>
    <row r="24" spans="1:4">
      <c r="A24" s="3462"/>
      <c r="B24" s="3463">
        <v>602</v>
      </c>
      <c r="C24" s="3463">
        <v>829.73</v>
      </c>
      <c r="D24" s="3464" t="s">
        <v>21</v>
      </c>
    </row>
    <row r="25" spans="1:4">
      <c r="A25" s="3462"/>
      <c r="B25" s="3463">
        <v>701</v>
      </c>
      <c r="C25" s="3463">
        <v>958.87</v>
      </c>
      <c r="D25" s="3464" t="s">
        <v>21</v>
      </c>
    </row>
    <row r="26" spans="1:4">
      <c r="A26" s="3462"/>
      <c r="B26" s="3463">
        <v>702</v>
      </c>
      <c r="C26" s="3463">
        <v>1010.33</v>
      </c>
      <c r="D26" s="3464" t="s">
        <v>21</v>
      </c>
    </row>
    <row r="27" spans="1:4">
      <c r="A27" s="3462"/>
      <c r="B27" s="3463">
        <v>703</v>
      </c>
      <c r="C27" s="3463">
        <v>1183.54</v>
      </c>
      <c r="D27" s="3464" t="s">
        <v>21</v>
      </c>
    </row>
    <row r="28" spans="1:4">
      <c r="A28" s="3462"/>
      <c r="B28" s="3463">
        <v>704</v>
      </c>
      <c r="C28" s="3463">
        <v>1019.64</v>
      </c>
      <c r="D28" s="3464" t="s">
        <v>21</v>
      </c>
    </row>
    <row r="29" spans="1:4">
      <c r="A29" s="3462"/>
      <c r="B29" s="3463">
        <v>801</v>
      </c>
      <c r="C29" s="3463">
        <v>958.87</v>
      </c>
      <c r="D29" s="3464" t="s">
        <v>21</v>
      </c>
    </row>
    <row r="30" spans="1:4">
      <c r="A30" s="3462"/>
      <c r="B30" s="3463">
        <v>802</v>
      </c>
      <c r="C30" s="3463">
        <v>1010.33</v>
      </c>
      <c r="D30" s="3464" t="s">
        <v>21</v>
      </c>
    </row>
    <row r="31" spans="1:4">
      <c r="A31" s="3462"/>
      <c r="B31" s="3463">
        <v>803</v>
      </c>
      <c r="C31" s="3463">
        <v>1183.54</v>
      </c>
      <c r="D31" s="3464" t="s">
        <v>21</v>
      </c>
    </row>
    <row r="32" spans="1:4">
      <c r="A32" s="3462"/>
      <c r="B32" s="3463">
        <v>804</v>
      </c>
      <c r="C32" s="3463">
        <v>1018.77</v>
      </c>
      <c r="D32" s="3464" t="s">
        <v>21</v>
      </c>
    </row>
    <row r="33" spans="1:4">
      <c r="A33" s="3462"/>
      <c r="B33" s="3463">
        <v>901</v>
      </c>
      <c r="C33" s="3463">
        <v>958.87</v>
      </c>
      <c r="D33" s="3464" t="s">
        <v>21</v>
      </c>
    </row>
    <row r="34" spans="1:4">
      <c r="A34" s="3462"/>
      <c r="B34" s="3463">
        <v>902</v>
      </c>
      <c r="C34" s="3463">
        <v>1010.33</v>
      </c>
      <c r="D34" s="3464" t="s">
        <v>21</v>
      </c>
    </row>
    <row r="35" spans="1:4">
      <c r="A35" s="3462"/>
      <c r="B35" s="3463">
        <v>903</v>
      </c>
      <c r="C35" s="3463">
        <v>1183.54</v>
      </c>
      <c r="D35" s="3464" t="s">
        <v>21</v>
      </c>
    </row>
    <row r="36" spans="1:4">
      <c r="A36" s="3462"/>
      <c r="B36" s="3463">
        <v>904</v>
      </c>
      <c r="C36" s="3463">
        <v>1018.77</v>
      </c>
      <c r="D36" s="3464" t="s">
        <v>21</v>
      </c>
    </row>
    <row r="37" spans="1:4">
      <c r="A37" s="3462"/>
      <c r="B37" s="3463">
        <v>1001</v>
      </c>
      <c r="C37" s="3463">
        <v>958.87</v>
      </c>
      <c r="D37" s="3464" t="s">
        <v>21</v>
      </c>
    </row>
    <row r="38" spans="1:4">
      <c r="A38" s="3462"/>
      <c r="B38" s="3463">
        <v>1002</v>
      </c>
      <c r="C38" s="3463">
        <v>1010.33</v>
      </c>
      <c r="D38" s="3464" t="s">
        <v>21</v>
      </c>
    </row>
    <row r="39" spans="1:4">
      <c r="A39" s="3462"/>
      <c r="B39" s="3463">
        <v>1003</v>
      </c>
      <c r="C39" s="3463">
        <v>1183.54</v>
      </c>
      <c r="D39" s="3464" t="s">
        <v>21</v>
      </c>
    </row>
    <row r="40" spans="1:4">
      <c r="A40" s="3462"/>
      <c r="B40" s="3463">
        <v>1004</v>
      </c>
      <c r="C40" s="3463">
        <v>1018.77</v>
      </c>
      <c r="D40" s="3464" t="s">
        <v>21</v>
      </c>
    </row>
    <row r="41" spans="1:4">
      <c r="A41" s="3462"/>
      <c r="B41" s="3463">
        <v>1101</v>
      </c>
      <c r="C41" s="3463">
        <v>1056.6099999999999</v>
      </c>
      <c r="D41" s="3464" t="s">
        <v>21</v>
      </c>
    </row>
    <row r="42" spans="1:4">
      <c r="A42" s="3462"/>
      <c r="B42" s="3463">
        <v>1102</v>
      </c>
      <c r="C42" s="3463">
        <v>983.25</v>
      </c>
      <c r="D42" s="3464" t="s">
        <v>21</v>
      </c>
    </row>
    <row r="43" spans="1:4">
      <c r="A43" s="3462"/>
      <c r="B43" s="3463">
        <v>1103</v>
      </c>
      <c r="C43" s="3463">
        <v>1179.27</v>
      </c>
      <c r="D43" s="3464" t="s">
        <v>21</v>
      </c>
    </row>
    <row r="44" spans="1:4">
      <c r="A44" s="3462"/>
      <c r="B44" s="3463">
        <v>1104</v>
      </c>
      <c r="C44" s="3463">
        <v>1017.74</v>
      </c>
      <c r="D44" s="3464" t="s">
        <v>21</v>
      </c>
    </row>
    <row r="45" spans="1:4">
      <c r="A45" s="3462"/>
      <c r="B45" s="3465">
        <v>1201</v>
      </c>
      <c r="C45" s="3465">
        <v>1056.6099999999999</v>
      </c>
      <c r="D45" s="3464" t="s">
        <v>21</v>
      </c>
    </row>
    <row r="46" spans="1:4">
      <c r="A46" s="3462"/>
      <c r="B46" s="3465">
        <v>1202</v>
      </c>
      <c r="C46" s="3465">
        <v>983.25</v>
      </c>
      <c r="D46" s="3464" t="s">
        <v>21</v>
      </c>
    </row>
    <row r="47" spans="1:4">
      <c r="A47" s="3462"/>
      <c r="B47" s="3465">
        <v>1203</v>
      </c>
      <c r="C47" s="3465">
        <v>1179.27</v>
      </c>
      <c r="D47" s="3464" t="s">
        <v>21</v>
      </c>
    </row>
    <row r="48" spans="1:4">
      <c r="A48" s="3462"/>
      <c r="B48" s="3465">
        <v>1204</v>
      </c>
      <c r="C48" s="3465">
        <v>1017.46</v>
      </c>
      <c r="D48" s="3464" t="s">
        <v>21</v>
      </c>
    </row>
    <row r="49" spans="1:4">
      <c r="A49" s="3462"/>
      <c r="B49" s="3465">
        <v>1301</v>
      </c>
      <c r="C49" s="3465">
        <v>985.45</v>
      </c>
      <c r="D49" s="3464" t="s">
        <v>21</v>
      </c>
    </row>
    <row r="50" spans="1:4">
      <c r="A50" s="3462"/>
      <c r="B50" s="3465">
        <v>1302</v>
      </c>
      <c r="C50" s="3465">
        <v>1051.25</v>
      </c>
      <c r="D50" s="3464" t="s">
        <v>21</v>
      </c>
    </row>
    <row r="51" spans="1:4">
      <c r="A51" s="3462"/>
      <c r="B51" s="3465">
        <v>1303</v>
      </c>
      <c r="C51" s="3465">
        <v>1178.6099999999999</v>
      </c>
      <c r="D51" s="3464" t="s">
        <v>21</v>
      </c>
    </row>
    <row r="52" spans="1:4">
      <c r="A52" s="3462"/>
      <c r="B52" s="3465">
        <v>1304</v>
      </c>
      <c r="C52" s="3465">
        <v>1016.79</v>
      </c>
      <c r="D52" s="3464" t="s">
        <v>21</v>
      </c>
    </row>
    <row r="53" spans="1:4">
      <c r="A53" s="3462"/>
      <c r="B53" s="3465">
        <v>1401</v>
      </c>
      <c r="C53" s="3465">
        <v>985.45</v>
      </c>
      <c r="D53" s="3464" t="s">
        <v>21</v>
      </c>
    </row>
    <row r="54" spans="1:4">
      <c r="A54" s="3462"/>
      <c r="B54" s="3465">
        <v>1402</v>
      </c>
      <c r="C54" s="3465">
        <v>1051.25</v>
      </c>
      <c r="D54" s="3464" t="s">
        <v>21</v>
      </c>
    </row>
    <row r="55" spans="1:4">
      <c r="A55" s="3462"/>
      <c r="B55" s="3465">
        <v>1403</v>
      </c>
      <c r="C55" s="3465">
        <v>1178.6099999999999</v>
      </c>
      <c r="D55" s="3464" t="s">
        <v>21</v>
      </c>
    </row>
    <row r="56" spans="1:4">
      <c r="A56" s="3462"/>
      <c r="B56" s="3465">
        <v>1404</v>
      </c>
      <c r="C56" s="3465">
        <v>1016.79</v>
      </c>
      <c r="D56" s="3464" t="s">
        <v>21</v>
      </c>
    </row>
    <row r="57" spans="1:4">
      <c r="A57" s="3462"/>
      <c r="B57" s="3465">
        <v>1501</v>
      </c>
      <c r="C57" s="3465">
        <v>985.45</v>
      </c>
      <c r="D57" s="3464" t="s">
        <v>21</v>
      </c>
    </row>
    <row r="58" spans="1:4">
      <c r="A58" s="3462"/>
      <c r="B58" s="3465">
        <v>1502</v>
      </c>
      <c r="C58" s="3465">
        <v>1051.25</v>
      </c>
      <c r="D58" s="3464" t="s">
        <v>21</v>
      </c>
    </row>
    <row r="59" spans="1:4">
      <c r="A59" s="3462"/>
      <c r="B59" s="3465">
        <v>1503</v>
      </c>
      <c r="C59" s="3465">
        <v>1178.6099999999999</v>
      </c>
      <c r="D59" s="3464" t="s">
        <v>21</v>
      </c>
    </row>
    <row r="60" spans="1:4">
      <c r="A60" s="3462"/>
      <c r="B60" s="3465">
        <v>1504</v>
      </c>
      <c r="C60" s="3465">
        <v>1016.79</v>
      </c>
      <c r="D60" s="3464" t="s">
        <v>21</v>
      </c>
    </row>
    <row r="61" spans="1:4">
      <c r="A61" s="3462"/>
      <c r="B61" s="3465">
        <v>1601</v>
      </c>
      <c r="C61" s="3465">
        <v>985.45</v>
      </c>
      <c r="D61" s="3464" t="s">
        <v>21</v>
      </c>
    </row>
    <row r="62" spans="1:4">
      <c r="A62" s="3462"/>
      <c r="B62" s="3465">
        <v>1602</v>
      </c>
      <c r="C62" s="3465">
        <v>1051.25</v>
      </c>
      <c r="D62" s="3464" t="s">
        <v>21</v>
      </c>
    </row>
    <row r="63" spans="1:4">
      <c r="A63" s="3462"/>
      <c r="B63" s="3465">
        <v>1603</v>
      </c>
      <c r="C63" s="3465">
        <v>1178.6099999999999</v>
      </c>
      <c r="D63" s="3464" t="s">
        <v>21</v>
      </c>
    </row>
    <row r="64" spans="1:4">
      <c r="A64" s="3462"/>
      <c r="B64" s="3465">
        <v>1604</v>
      </c>
      <c r="C64" s="3465">
        <v>1016.79</v>
      </c>
      <c r="D64" s="3464" t="s">
        <v>21</v>
      </c>
    </row>
    <row r="65" spans="1:4">
      <c r="A65" s="3462"/>
      <c r="B65" s="3465">
        <v>1701</v>
      </c>
      <c r="C65" s="3465">
        <v>985.45</v>
      </c>
      <c r="D65" s="3464" t="s">
        <v>21</v>
      </c>
    </row>
    <row r="66" spans="1:4">
      <c r="A66" s="3462"/>
      <c r="B66" s="3465">
        <v>1702</v>
      </c>
      <c r="C66" s="3465">
        <v>1051.25</v>
      </c>
      <c r="D66" s="3464" t="s">
        <v>21</v>
      </c>
    </row>
    <row r="67" spans="1:4">
      <c r="A67" s="3462"/>
      <c r="B67" s="3465">
        <v>1703</v>
      </c>
      <c r="C67" s="3465">
        <v>1178.6099999999999</v>
      </c>
      <c r="D67" s="3464" t="s">
        <v>21</v>
      </c>
    </row>
    <row r="68" spans="1:4">
      <c r="A68" s="3462"/>
      <c r="B68" s="3465">
        <v>1704</v>
      </c>
      <c r="C68" s="3465">
        <v>1016.79</v>
      </c>
      <c r="D68" s="3464" t="s">
        <v>21</v>
      </c>
    </row>
    <row r="69" spans="1:4">
      <c r="A69" s="3462"/>
      <c r="B69" s="3465">
        <v>106</v>
      </c>
      <c r="C69" s="3465">
        <v>75.930000000000007</v>
      </c>
      <c r="D69" s="3464" t="s">
        <v>21</v>
      </c>
    </row>
    <row r="70" spans="1:4">
      <c r="A70" s="3462"/>
      <c r="B70" s="3465">
        <v>107</v>
      </c>
      <c r="C70" s="3465">
        <v>75.849999999999994</v>
      </c>
      <c r="D70" s="3464" t="s">
        <v>21</v>
      </c>
    </row>
    <row r="71" spans="1:4">
      <c r="A71" s="3459" t="s">
        <v>3402</v>
      </c>
      <c r="B71" s="3465">
        <v>-101</v>
      </c>
      <c r="C71" s="3465">
        <v>2369.2199999999998</v>
      </c>
      <c r="D71" s="3464" t="s">
        <v>3403</v>
      </c>
    </row>
    <row r="72" spans="1:4">
      <c r="A72" s="3462"/>
      <c r="B72" s="3465">
        <v>-102</v>
      </c>
      <c r="C72" s="3465">
        <v>418.31</v>
      </c>
      <c r="D72" s="3464" t="s">
        <v>21</v>
      </c>
    </row>
    <row r="73" spans="1:4">
      <c r="A73" s="3462"/>
      <c r="B73" s="3465">
        <v>-311</v>
      </c>
      <c r="C73" s="3465">
        <v>242.8</v>
      </c>
      <c r="D73" s="3464" t="s">
        <v>21</v>
      </c>
    </row>
    <row r="74" spans="1:4">
      <c r="A74" s="3462"/>
      <c r="B74" s="3465">
        <v>-312</v>
      </c>
      <c r="C74" s="3465">
        <v>180.49</v>
      </c>
      <c r="D74" s="3464" t="s">
        <v>21</v>
      </c>
    </row>
    <row r="75" spans="1:4">
      <c r="A75" s="3462"/>
      <c r="B75" s="3465">
        <v>-313</v>
      </c>
      <c r="C75" s="3465">
        <v>127.93</v>
      </c>
      <c r="D75" s="3464" t="s">
        <v>21</v>
      </c>
    </row>
    <row r="76" spans="1:4">
      <c r="A76" s="3462"/>
      <c r="B76" s="3465">
        <v>-316</v>
      </c>
      <c r="C76" s="3465">
        <v>1221.48</v>
      </c>
      <c r="D76" s="3464" t="s">
        <v>21</v>
      </c>
    </row>
    <row r="77" spans="1:4">
      <c r="A77" s="3462"/>
      <c r="B77" s="3465">
        <v>-317</v>
      </c>
      <c r="C77" s="3465">
        <v>81.86</v>
      </c>
      <c r="D77" s="3464" t="s">
        <v>21</v>
      </c>
    </row>
    <row r="78" spans="1:4">
      <c r="A78" s="3462"/>
      <c r="B78" s="3465">
        <v>-201</v>
      </c>
      <c r="C78" s="3465">
        <v>916.28</v>
      </c>
      <c r="D78" s="3464" t="s">
        <v>3401</v>
      </c>
    </row>
    <row r="79" spans="1:4">
      <c r="A79" s="3462"/>
      <c r="B79" s="3465">
        <v>-202</v>
      </c>
      <c r="C79" s="3465">
        <v>359.23</v>
      </c>
      <c r="D79" s="3464" t="s">
        <v>3401</v>
      </c>
    </row>
    <row r="80" spans="1:4">
      <c r="A80" s="3462"/>
      <c r="B80" s="3470">
        <v>-204</v>
      </c>
      <c r="C80" s="3465">
        <v>1502.28</v>
      </c>
      <c r="D80" s="3464" t="s">
        <v>3401</v>
      </c>
    </row>
    <row r="81" spans="1:4">
      <c r="A81" s="3635" t="s">
        <v>3413</v>
      </c>
      <c r="B81" s="3635"/>
      <c r="C81" s="3474">
        <f>SUM(C16:C80)</f>
        <v>64998.04</v>
      </c>
      <c r="D81" s="3464"/>
    </row>
    <row r="82" spans="1:4">
      <c r="A82" s="3459" t="s">
        <v>3393</v>
      </c>
      <c r="B82" s="3465">
        <v>-4012</v>
      </c>
      <c r="C82" s="3465">
        <v>87.19</v>
      </c>
      <c r="D82" s="3464" t="s">
        <v>3394</v>
      </c>
    </row>
    <row r="83" spans="1:4">
      <c r="A83" s="3462"/>
      <c r="B83" s="3465">
        <v>-4013</v>
      </c>
      <c r="C83" s="3465">
        <v>87.19</v>
      </c>
      <c r="D83" s="3464" t="s">
        <v>3394</v>
      </c>
    </row>
    <row r="84" spans="1:4">
      <c r="A84" s="3462"/>
      <c r="B84" s="3465">
        <v>-4014</v>
      </c>
      <c r="C84" s="3465">
        <v>87.19</v>
      </c>
      <c r="D84" s="3464" t="s">
        <v>3394</v>
      </c>
    </row>
    <row r="85" spans="1:4">
      <c r="A85" s="3462"/>
      <c r="B85" s="3465">
        <v>-4015</v>
      </c>
      <c r="C85" s="3465">
        <v>87.19</v>
      </c>
      <c r="D85" s="3464" t="s">
        <v>3394</v>
      </c>
    </row>
    <row r="86" spans="1:4">
      <c r="A86" s="3462"/>
      <c r="B86" s="3465">
        <v>-4016</v>
      </c>
      <c r="C86" s="3465">
        <v>87.19</v>
      </c>
      <c r="D86" s="3464" t="s">
        <v>3394</v>
      </c>
    </row>
    <row r="87" spans="1:4">
      <c r="A87" s="3459" t="s">
        <v>3396</v>
      </c>
      <c r="B87" s="3465">
        <v>-3001</v>
      </c>
      <c r="C87" s="3465">
        <v>163.62</v>
      </c>
      <c r="D87" s="3464" t="s">
        <v>3394</v>
      </c>
    </row>
    <row r="88" spans="1:4">
      <c r="A88" s="3462"/>
      <c r="B88" s="3465">
        <v>-3002</v>
      </c>
      <c r="C88" s="3465">
        <v>163.62</v>
      </c>
      <c r="D88" s="3464" t="s">
        <v>3394</v>
      </c>
    </row>
    <row r="89" spans="1:4">
      <c r="A89" s="3462"/>
      <c r="B89" s="3465">
        <v>-3003</v>
      </c>
      <c r="C89" s="3465">
        <v>87.19</v>
      </c>
      <c r="D89" s="3464" t="s">
        <v>3394</v>
      </c>
    </row>
    <row r="90" spans="1:4">
      <c r="A90" s="3462"/>
      <c r="B90" s="3465">
        <v>-3004</v>
      </c>
      <c r="C90" s="3465">
        <v>87.19</v>
      </c>
      <c r="D90" s="3464" t="s">
        <v>3394</v>
      </c>
    </row>
    <row r="91" spans="1:4">
      <c r="A91" s="3462"/>
      <c r="B91" s="3465">
        <v>-3005</v>
      </c>
      <c r="C91" s="3465">
        <v>87.19</v>
      </c>
      <c r="D91" s="3464" t="s">
        <v>3394</v>
      </c>
    </row>
    <row r="92" spans="1:4">
      <c r="A92" s="3462"/>
      <c r="B92" s="3465">
        <v>-3006</v>
      </c>
      <c r="C92" s="3465">
        <v>87.19</v>
      </c>
      <c r="D92" s="3464" t="s">
        <v>3394</v>
      </c>
    </row>
    <row r="93" spans="1:4">
      <c r="A93" s="3462"/>
      <c r="B93" s="3465">
        <v>-3007</v>
      </c>
      <c r="C93" s="3465">
        <v>87.19</v>
      </c>
      <c r="D93" s="3464" t="s">
        <v>3394</v>
      </c>
    </row>
    <row r="94" spans="1:4">
      <c r="A94" s="3462"/>
      <c r="B94" s="3465">
        <v>-3008</v>
      </c>
      <c r="C94" s="3465">
        <v>87.19</v>
      </c>
      <c r="D94" s="3464" t="s">
        <v>3394</v>
      </c>
    </row>
    <row r="95" spans="1:4">
      <c r="A95" s="3462"/>
      <c r="B95" s="3465">
        <v>-3009</v>
      </c>
      <c r="C95" s="3465">
        <v>87.19</v>
      </c>
      <c r="D95" s="3464" t="s">
        <v>3394</v>
      </c>
    </row>
    <row r="96" spans="1:4">
      <c r="B96" s="3465">
        <v>-3010</v>
      </c>
      <c r="C96" s="3465">
        <v>87.19</v>
      </c>
      <c r="D96" s="3464" t="s">
        <v>3394</v>
      </c>
    </row>
    <row r="97" spans="1:4">
      <c r="B97" s="3465">
        <v>-3011</v>
      </c>
      <c r="C97" s="3465">
        <v>87.19</v>
      </c>
      <c r="D97" s="3464" t="s">
        <v>3394</v>
      </c>
    </row>
    <row r="98" spans="1:4">
      <c r="A98" s="3462"/>
      <c r="B98" s="3465">
        <v>-3012</v>
      </c>
      <c r="C98" s="3465">
        <v>87.19</v>
      </c>
      <c r="D98" s="3464" t="s">
        <v>3394</v>
      </c>
    </row>
    <row r="99" spans="1:4">
      <c r="A99" s="3462"/>
      <c r="B99" s="3465">
        <v>-3013</v>
      </c>
      <c r="C99" s="3465">
        <v>87.19</v>
      </c>
      <c r="D99" s="3464" t="s">
        <v>3394</v>
      </c>
    </row>
    <row r="100" spans="1:4">
      <c r="A100" s="3462"/>
      <c r="B100" s="3465">
        <v>-3014</v>
      </c>
      <c r="C100" s="3465">
        <v>87.19</v>
      </c>
      <c r="D100" s="3464" t="s">
        <v>3394</v>
      </c>
    </row>
    <row r="101" spans="1:4">
      <c r="A101" s="3462"/>
      <c r="B101" s="3465">
        <v>-3015</v>
      </c>
      <c r="C101" s="3465">
        <v>87.19</v>
      </c>
      <c r="D101" s="3464" t="s">
        <v>3394</v>
      </c>
    </row>
    <row r="102" spans="1:4">
      <c r="A102" s="3462"/>
      <c r="B102" s="3465">
        <v>-3016</v>
      </c>
      <c r="C102" s="3465">
        <v>87.19</v>
      </c>
      <c r="D102" s="3464" t="s">
        <v>3394</v>
      </c>
    </row>
    <row r="103" spans="1:4">
      <c r="A103" s="3462"/>
      <c r="B103" s="3465">
        <v>-3017</v>
      </c>
      <c r="C103" s="3465">
        <v>163.62</v>
      </c>
      <c r="D103" s="3464" t="s">
        <v>3394</v>
      </c>
    </row>
    <row r="104" spans="1:4">
      <c r="A104" s="3462"/>
      <c r="B104" s="3465">
        <v>-3018</v>
      </c>
      <c r="C104" s="3465">
        <v>163.62</v>
      </c>
      <c r="D104" s="3464" t="s">
        <v>3394</v>
      </c>
    </row>
    <row r="105" spans="1:4">
      <c r="A105" s="3462"/>
      <c r="B105" s="3465">
        <v>-3019</v>
      </c>
      <c r="C105" s="3465">
        <v>163.62</v>
      </c>
      <c r="D105" s="3464" t="s">
        <v>3394</v>
      </c>
    </row>
    <row r="106" spans="1:4">
      <c r="A106" s="3462"/>
      <c r="B106" s="3465">
        <v>-3020</v>
      </c>
      <c r="C106" s="3465">
        <v>163.62</v>
      </c>
      <c r="D106" s="3464" t="s">
        <v>3394</v>
      </c>
    </row>
    <row r="107" spans="1:4">
      <c r="A107" s="3462"/>
      <c r="B107" s="3465">
        <v>-3021</v>
      </c>
      <c r="C107" s="3465">
        <v>87.19</v>
      </c>
      <c r="D107" s="3464" t="s">
        <v>3394</v>
      </c>
    </row>
    <row r="108" spans="1:4">
      <c r="A108" s="3462"/>
      <c r="B108" s="3465">
        <v>-3022</v>
      </c>
      <c r="C108" s="3465">
        <v>87.19</v>
      </c>
      <c r="D108" s="3464" t="s">
        <v>3394</v>
      </c>
    </row>
    <row r="109" spans="1:4">
      <c r="A109" s="3462"/>
      <c r="B109" s="3465">
        <v>-3023</v>
      </c>
      <c r="C109" s="3465">
        <v>87.19</v>
      </c>
      <c r="D109" s="3464" t="s">
        <v>3394</v>
      </c>
    </row>
    <row r="110" spans="1:4">
      <c r="A110" s="3462"/>
      <c r="B110" s="3465">
        <v>-3024</v>
      </c>
      <c r="C110" s="3465">
        <v>87.19</v>
      </c>
      <c r="D110" s="3464" t="s">
        <v>3394</v>
      </c>
    </row>
    <row r="111" spans="1:4">
      <c r="A111" s="3462"/>
      <c r="B111" s="3465">
        <v>-3025</v>
      </c>
      <c r="C111" s="3465">
        <v>87.19</v>
      </c>
      <c r="D111" s="3464" t="s">
        <v>3394</v>
      </c>
    </row>
    <row r="112" spans="1:4">
      <c r="A112" s="3462"/>
      <c r="B112" s="3465">
        <v>-3026</v>
      </c>
      <c r="C112" s="3465">
        <v>87.19</v>
      </c>
      <c r="D112" s="3464" t="s">
        <v>3394</v>
      </c>
    </row>
    <row r="113" spans="1:4">
      <c r="A113" s="3462"/>
      <c r="B113" s="3465">
        <v>-3027</v>
      </c>
      <c r="C113" s="3465">
        <v>87.19</v>
      </c>
      <c r="D113" s="3464" t="s">
        <v>3394</v>
      </c>
    </row>
    <row r="114" spans="1:4">
      <c r="A114" s="3462"/>
      <c r="B114" s="3465">
        <v>-3028</v>
      </c>
      <c r="C114" s="3465">
        <v>87.19</v>
      </c>
      <c r="D114" s="3464" t="s">
        <v>3394</v>
      </c>
    </row>
    <row r="115" spans="1:4">
      <c r="A115" s="3462"/>
      <c r="B115" s="3465">
        <v>-3029</v>
      </c>
      <c r="C115" s="3465">
        <v>134.41999999999999</v>
      </c>
      <c r="D115" s="3464" t="s">
        <v>3394</v>
      </c>
    </row>
    <row r="116" spans="1:4">
      <c r="A116" s="3462"/>
      <c r="B116" s="3465">
        <v>-3030</v>
      </c>
      <c r="C116" s="3465">
        <v>87.19</v>
      </c>
      <c r="D116" s="3464" t="s">
        <v>3394</v>
      </c>
    </row>
    <row r="117" spans="1:4">
      <c r="A117" s="3462"/>
      <c r="B117" s="3465">
        <v>-3031</v>
      </c>
      <c r="C117" s="3465">
        <v>87.19</v>
      </c>
      <c r="D117" s="3464" t="s">
        <v>3394</v>
      </c>
    </row>
    <row r="118" spans="1:4">
      <c r="A118" s="3462"/>
      <c r="B118" s="3465">
        <v>-3032</v>
      </c>
      <c r="C118" s="3465">
        <v>87.19</v>
      </c>
      <c r="D118" s="3464" t="s">
        <v>3394</v>
      </c>
    </row>
    <row r="119" spans="1:4">
      <c r="A119" s="3462"/>
      <c r="B119" s="3465">
        <v>-3033</v>
      </c>
      <c r="C119" s="3465">
        <v>87.19</v>
      </c>
      <c r="D119" s="3464" t="s">
        <v>3394</v>
      </c>
    </row>
    <row r="120" spans="1:4">
      <c r="A120" s="3462"/>
      <c r="B120" s="3465">
        <v>-3034</v>
      </c>
      <c r="C120" s="3465">
        <v>87.19</v>
      </c>
      <c r="D120" s="3464" t="s">
        <v>3394</v>
      </c>
    </row>
    <row r="121" spans="1:4">
      <c r="A121" s="3462"/>
      <c r="B121" s="3465">
        <v>-3035</v>
      </c>
      <c r="C121" s="3465">
        <v>134.41999999999999</v>
      </c>
      <c r="D121" s="3464" t="s">
        <v>3394</v>
      </c>
    </row>
    <row r="122" spans="1:4">
      <c r="A122" s="3462"/>
      <c r="B122" s="3465">
        <v>-3036</v>
      </c>
      <c r="C122" s="3465">
        <v>87.19</v>
      </c>
      <c r="D122" s="3464" t="s">
        <v>3394</v>
      </c>
    </row>
    <row r="123" spans="1:4">
      <c r="A123" s="3462"/>
      <c r="B123" s="3465">
        <v>-3037</v>
      </c>
      <c r="C123" s="3465">
        <v>87.19</v>
      </c>
      <c r="D123" s="3464" t="s">
        <v>3394</v>
      </c>
    </row>
    <row r="124" spans="1:4">
      <c r="A124" s="3462"/>
      <c r="B124" s="3465">
        <v>-3038</v>
      </c>
      <c r="C124" s="3465">
        <v>87.19</v>
      </c>
      <c r="D124" s="3464" t="s">
        <v>3394</v>
      </c>
    </row>
    <row r="125" spans="1:4">
      <c r="A125" s="3462"/>
      <c r="B125" s="3465">
        <v>-3039</v>
      </c>
      <c r="C125" s="3465">
        <v>87.19</v>
      </c>
      <c r="D125" s="3464" t="s">
        <v>3394</v>
      </c>
    </row>
    <row r="126" spans="1:4">
      <c r="A126" s="3462"/>
      <c r="B126" s="3465">
        <v>-3040</v>
      </c>
      <c r="C126" s="3465">
        <v>87.19</v>
      </c>
      <c r="D126" s="3464" t="s">
        <v>3394</v>
      </c>
    </row>
    <row r="127" spans="1:4">
      <c r="A127" s="3462"/>
      <c r="B127" s="3465">
        <v>-3041</v>
      </c>
      <c r="C127" s="3465">
        <v>87.19</v>
      </c>
      <c r="D127" s="3464" t="s">
        <v>3394</v>
      </c>
    </row>
    <row r="128" spans="1:4">
      <c r="A128" s="3462"/>
      <c r="B128" s="3465">
        <v>-3042</v>
      </c>
      <c r="C128" s="3465">
        <v>87.19</v>
      </c>
      <c r="D128" s="3464" t="s">
        <v>3394</v>
      </c>
    </row>
    <row r="129" spans="1:4">
      <c r="A129" s="3462"/>
      <c r="B129" s="3465">
        <v>-3043</v>
      </c>
      <c r="C129" s="3465">
        <v>87.19</v>
      </c>
      <c r="D129" s="3464" t="s">
        <v>3394</v>
      </c>
    </row>
    <row r="130" spans="1:4">
      <c r="A130" s="3462"/>
      <c r="B130" s="3465">
        <v>-3044</v>
      </c>
      <c r="C130" s="3465">
        <v>87.19</v>
      </c>
      <c r="D130" s="3464" t="s">
        <v>3394</v>
      </c>
    </row>
    <row r="131" spans="1:4">
      <c r="A131" s="3462"/>
      <c r="B131" s="3465">
        <v>-3045</v>
      </c>
      <c r="C131" s="3465">
        <v>87.19</v>
      </c>
      <c r="D131" s="3464" t="s">
        <v>3394</v>
      </c>
    </row>
    <row r="132" spans="1:4">
      <c r="A132" s="3462"/>
      <c r="B132" s="3465">
        <v>-3046</v>
      </c>
      <c r="C132" s="3465">
        <v>87.19</v>
      </c>
      <c r="D132" s="3464" t="s">
        <v>3394</v>
      </c>
    </row>
    <row r="133" spans="1:4">
      <c r="A133" s="3462"/>
      <c r="B133" s="3465">
        <v>-3047</v>
      </c>
      <c r="C133" s="3465">
        <v>87.19</v>
      </c>
      <c r="D133" s="3464" t="s">
        <v>3394</v>
      </c>
    </row>
    <row r="134" spans="1:4">
      <c r="A134" s="3462"/>
      <c r="B134" s="3465">
        <v>-3048</v>
      </c>
      <c r="C134" s="3465">
        <v>87.19</v>
      </c>
      <c r="D134" s="3464" t="s">
        <v>3394</v>
      </c>
    </row>
    <row r="135" spans="1:4">
      <c r="A135" s="3462"/>
      <c r="B135" s="3465">
        <v>-3049</v>
      </c>
      <c r="C135" s="3465">
        <v>87.19</v>
      </c>
      <c r="D135" s="3464" t="s">
        <v>3394</v>
      </c>
    </row>
    <row r="136" spans="1:4">
      <c r="A136" s="3462"/>
      <c r="B136" s="3465">
        <v>-3050</v>
      </c>
      <c r="C136" s="3465">
        <v>87.19</v>
      </c>
      <c r="D136" s="3464" t="s">
        <v>3394</v>
      </c>
    </row>
    <row r="137" spans="1:4">
      <c r="A137" s="3462"/>
      <c r="B137" s="3465">
        <v>-3051</v>
      </c>
      <c r="C137" s="3465">
        <v>87.19</v>
      </c>
      <c r="D137" s="3464" t="s">
        <v>3394</v>
      </c>
    </row>
    <row r="138" spans="1:4">
      <c r="A138" s="3462"/>
      <c r="B138" s="3465">
        <v>-3052</v>
      </c>
      <c r="C138" s="3465">
        <v>87.19</v>
      </c>
      <c r="D138" s="3464" t="s">
        <v>3394</v>
      </c>
    </row>
    <row r="139" spans="1:4">
      <c r="A139" s="3462"/>
      <c r="B139" s="3465">
        <v>-3053</v>
      </c>
      <c r="C139" s="3465">
        <v>87.19</v>
      </c>
      <c r="D139" s="3464" t="s">
        <v>3394</v>
      </c>
    </row>
    <row r="140" spans="1:4">
      <c r="A140" s="3462"/>
      <c r="B140" s="3465">
        <v>-3054</v>
      </c>
      <c r="C140" s="3465">
        <v>87.19</v>
      </c>
      <c r="D140" s="3464" t="s">
        <v>3394</v>
      </c>
    </row>
    <row r="141" spans="1:4">
      <c r="A141" s="3462"/>
      <c r="B141" s="3465">
        <v>-3055</v>
      </c>
      <c r="C141" s="3465">
        <v>87.19</v>
      </c>
      <c r="D141" s="3464" t="s">
        <v>3394</v>
      </c>
    </row>
    <row r="142" spans="1:4">
      <c r="A142" s="3462"/>
      <c r="B142" s="3465">
        <v>-3056</v>
      </c>
      <c r="C142" s="3465">
        <v>87.19</v>
      </c>
      <c r="D142" s="3464" t="s">
        <v>3394</v>
      </c>
    </row>
    <row r="143" spans="1:4">
      <c r="A143" s="3462"/>
      <c r="B143" s="3465">
        <v>-3057</v>
      </c>
      <c r="C143" s="3465">
        <v>87.19</v>
      </c>
      <c r="D143" s="3464" t="s">
        <v>3394</v>
      </c>
    </row>
    <row r="144" spans="1:4">
      <c r="A144" s="3462"/>
      <c r="B144" s="3465">
        <v>-3058</v>
      </c>
      <c r="C144" s="3465">
        <v>87.19</v>
      </c>
      <c r="D144" s="3464" t="s">
        <v>3394</v>
      </c>
    </row>
    <row r="145" spans="1:4">
      <c r="A145" s="3462"/>
      <c r="B145" s="3465">
        <v>-3059</v>
      </c>
      <c r="C145" s="3465">
        <v>87.19</v>
      </c>
      <c r="D145" s="3464" t="s">
        <v>3394</v>
      </c>
    </row>
    <row r="146" spans="1:4">
      <c r="A146" s="3462"/>
      <c r="B146" s="3465">
        <v>-3060</v>
      </c>
      <c r="C146" s="3465">
        <v>87.19</v>
      </c>
      <c r="D146" s="3464" t="s">
        <v>3394</v>
      </c>
    </row>
    <row r="147" spans="1:4">
      <c r="A147" s="3462"/>
      <c r="B147" s="3465">
        <v>-3061</v>
      </c>
      <c r="C147" s="3465">
        <v>87.19</v>
      </c>
      <c r="D147" s="3464" t="s">
        <v>3394</v>
      </c>
    </row>
    <row r="148" spans="1:4">
      <c r="A148" s="3462"/>
      <c r="B148" s="3465">
        <v>-3062</v>
      </c>
      <c r="C148" s="3465">
        <v>87.19</v>
      </c>
      <c r="D148" s="3464" t="s">
        <v>3394</v>
      </c>
    </row>
    <row r="149" spans="1:4">
      <c r="A149" s="3462"/>
      <c r="B149" s="3465">
        <v>-3063</v>
      </c>
      <c r="C149" s="3465">
        <v>87.19</v>
      </c>
      <c r="D149" s="3464" t="s">
        <v>3394</v>
      </c>
    </row>
    <row r="150" spans="1:4">
      <c r="A150" s="3462"/>
      <c r="B150" s="3465">
        <v>-3064</v>
      </c>
      <c r="C150" s="3465">
        <v>87.19</v>
      </c>
      <c r="D150" s="3464" t="s">
        <v>3394</v>
      </c>
    </row>
    <row r="151" spans="1:4">
      <c r="A151" s="3462"/>
      <c r="B151" s="3465">
        <v>-3065</v>
      </c>
      <c r="C151" s="3465">
        <v>87.19</v>
      </c>
      <c r="D151" s="3464" t="s">
        <v>3394</v>
      </c>
    </row>
    <row r="152" spans="1:4">
      <c r="A152" s="3462"/>
      <c r="B152" s="3465">
        <v>-3066</v>
      </c>
      <c r="C152" s="3465">
        <v>87.19</v>
      </c>
      <c r="D152" s="3464" t="s">
        <v>3394</v>
      </c>
    </row>
    <row r="153" spans="1:4">
      <c r="A153" s="3462"/>
      <c r="B153" s="3465">
        <v>-3067</v>
      </c>
      <c r="C153" s="3465">
        <v>87.19</v>
      </c>
      <c r="D153" s="3464" t="s">
        <v>3394</v>
      </c>
    </row>
    <row r="154" spans="1:4">
      <c r="A154" s="3462"/>
      <c r="B154" s="3465">
        <v>-3068</v>
      </c>
      <c r="C154" s="3465">
        <v>87.19</v>
      </c>
      <c r="D154" s="3464" t="s">
        <v>3394</v>
      </c>
    </row>
    <row r="155" spans="1:4">
      <c r="A155" s="3462"/>
      <c r="B155" s="3465">
        <v>-3069</v>
      </c>
      <c r="C155" s="3465">
        <v>87.19</v>
      </c>
      <c r="D155" s="3464" t="s">
        <v>3394</v>
      </c>
    </row>
    <row r="156" spans="1:4">
      <c r="A156" s="3462"/>
      <c r="B156" s="3465">
        <v>-3070</v>
      </c>
      <c r="C156" s="3465">
        <v>87.19</v>
      </c>
      <c r="D156" s="3464" t="s">
        <v>3394</v>
      </c>
    </row>
    <row r="157" spans="1:4">
      <c r="A157" s="3462"/>
      <c r="B157" s="3465">
        <v>-3071</v>
      </c>
      <c r="C157" s="3465">
        <v>87.19</v>
      </c>
      <c r="D157" s="3464" t="s">
        <v>3394</v>
      </c>
    </row>
    <row r="158" spans="1:4">
      <c r="A158" s="3462"/>
      <c r="B158" s="3465">
        <v>-3072</v>
      </c>
      <c r="C158" s="3465">
        <v>87.19</v>
      </c>
      <c r="D158" s="3464" t="s">
        <v>3394</v>
      </c>
    </row>
    <row r="159" spans="1:4">
      <c r="A159" s="3462"/>
      <c r="B159" s="3465">
        <v>-3073</v>
      </c>
      <c r="C159" s="3465">
        <v>87.19</v>
      </c>
      <c r="D159" s="3464" t="s">
        <v>3394</v>
      </c>
    </row>
    <row r="160" spans="1:4">
      <c r="A160" s="3462"/>
      <c r="B160" s="3465">
        <v>-3074</v>
      </c>
      <c r="C160" s="3465">
        <v>87.19</v>
      </c>
      <c r="D160" s="3464" t="s">
        <v>3394</v>
      </c>
    </row>
    <row r="161" spans="1:4">
      <c r="A161" s="3462"/>
      <c r="B161" s="3465">
        <v>-3075</v>
      </c>
      <c r="C161" s="3465">
        <v>87.19</v>
      </c>
      <c r="D161" s="3464" t="s">
        <v>3394</v>
      </c>
    </row>
    <row r="162" spans="1:4">
      <c r="A162" s="3462"/>
      <c r="B162" s="3465">
        <v>-3076</v>
      </c>
      <c r="C162" s="3465">
        <v>87.19</v>
      </c>
      <c r="D162" s="3464" t="s">
        <v>3394</v>
      </c>
    </row>
    <row r="163" spans="1:4">
      <c r="A163" s="3462"/>
      <c r="B163" s="3465">
        <v>-3077</v>
      </c>
      <c r="C163" s="3465">
        <v>87.19</v>
      </c>
      <c r="D163" s="3464" t="s">
        <v>3394</v>
      </c>
    </row>
    <row r="164" spans="1:4">
      <c r="A164" s="3462"/>
      <c r="B164" s="3465">
        <v>-3078</v>
      </c>
      <c r="C164" s="3465">
        <v>87.19</v>
      </c>
      <c r="D164" s="3464" t="s">
        <v>3394</v>
      </c>
    </row>
    <row r="165" spans="1:4">
      <c r="A165" s="3462"/>
      <c r="B165" s="3465">
        <v>-3079</v>
      </c>
      <c r="C165" s="3465">
        <v>87.19</v>
      </c>
      <c r="D165" s="3464" t="s">
        <v>3394</v>
      </c>
    </row>
    <row r="166" spans="1:4">
      <c r="A166" s="3462"/>
      <c r="B166" s="3465">
        <v>-3080</v>
      </c>
      <c r="C166" s="3465">
        <v>87.19</v>
      </c>
      <c r="D166" s="3464" t="s">
        <v>3394</v>
      </c>
    </row>
    <row r="167" spans="1:4">
      <c r="A167" s="3462"/>
      <c r="B167" s="3465">
        <v>-3081</v>
      </c>
      <c r="C167" s="3465">
        <v>87.19</v>
      </c>
      <c r="D167" s="3464" t="s">
        <v>3394</v>
      </c>
    </row>
    <row r="168" spans="1:4">
      <c r="A168" s="3462"/>
      <c r="B168" s="3465">
        <v>-3082</v>
      </c>
      <c r="C168" s="3465">
        <v>87.19</v>
      </c>
      <c r="D168" s="3464" t="s">
        <v>3394</v>
      </c>
    </row>
    <row r="169" spans="1:4">
      <c r="A169" s="3462"/>
      <c r="B169" s="3465">
        <v>-3083</v>
      </c>
      <c r="C169" s="3465">
        <v>87.19</v>
      </c>
      <c r="D169" s="3464" t="s">
        <v>3394</v>
      </c>
    </row>
    <row r="170" spans="1:4">
      <c r="A170" s="3462"/>
      <c r="B170" s="3465">
        <v>-3084</v>
      </c>
      <c r="C170" s="3465">
        <v>87.19</v>
      </c>
      <c r="D170" s="3464" t="s">
        <v>3394</v>
      </c>
    </row>
    <row r="171" spans="1:4">
      <c r="A171" s="3462"/>
      <c r="B171" s="3465">
        <v>-3085</v>
      </c>
      <c r="C171" s="3465">
        <v>87.19</v>
      </c>
      <c r="D171" s="3464" t="s">
        <v>3394</v>
      </c>
    </row>
    <row r="172" spans="1:4">
      <c r="A172" s="3462"/>
      <c r="B172" s="3465">
        <v>-3086</v>
      </c>
      <c r="C172" s="3465">
        <v>87.19</v>
      </c>
      <c r="D172" s="3464" t="s">
        <v>3394</v>
      </c>
    </row>
    <row r="173" spans="1:4">
      <c r="A173" s="3462"/>
      <c r="B173" s="3465">
        <v>-3087</v>
      </c>
      <c r="C173" s="3465">
        <v>87.19</v>
      </c>
      <c r="D173" s="3464" t="s">
        <v>3394</v>
      </c>
    </row>
    <row r="174" spans="1:4">
      <c r="A174" s="3462"/>
      <c r="B174" s="3465">
        <v>-3088</v>
      </c>
      <c r="C174" s="3465">
        <v>87.19</v>
      </c>
      <c r="D174" s="3464" t="s">
        <v>3394</v>
      </c>
    </row>
    <row r="175" spans="1:4">
      <c r="A175" s="3462"/>
      <c r="B175" s="3465">
        <v>-3089</v>
      </c>
      <c r="C175" s="3465">
        <v>87.19</v>
      </c>
      <c r="D175" s="3464" t="s">
        <v>3394</v>
      </c>
    </row>
    <row r="176" spans="1:4">
      <c r="A176" s="3462"/>
      <c r="B176" s="3465">
        <v>-3090</v>
      </c>
      <c r="C176" s="3465">
        <v>87.19</v>
      </c>
      <c r="D176" s="3464" t="s">
        <v>3394</v>
      </c>
    </row>
    <row r="177" spans="1:4">
      <c r="A177" s="3462"/>
      <c r="B177" s="3465">
        <v>-3091</v>
      </c>
      <c r="C177" s="3465">
        <v>87.19</v>
      </c>
      <c r="D177" s="3464" t="s">
        <v>3394</v>
      </c>
    </row>
    <row r="178" spans="1:4">
      <c r="A178" s="3462"/>
      <c r="B178" s="3465">
        <v>-3092</v>
      </c>
      <c r="C178" s="3465">
        <v>87.19</v>
      </c>
      <c r="D178" s="3464" t="s">
        <v>3394</v>
      </c>
    </row>
    <row r="179" spans="1:4">
      <c r="A179" s="3462"/>
      <c r="B179" s="3465">
        <v>-3093</v>
      </c>
      <c r="C179" s="3465">
        <v>87.19</v>
      </c>
      <c r="D179" s="3464" t="s">
        <v>3394</v>
      </c>
    </row>
    <row r="180" spans="1:4">
      <c r="A180" s="3462"/>
      <c r="B180" s="3465">
        <v>-3094</v>
      </c>
      <c r="C180" s="3465">
        <v>87.19</v>
      </c>
      <c r="D180" s="3464" t="s">
        <v>3394</v>
      </c>
    </row>
    <row r="181" spans="1:4">
      <c r="A181" s="3462"/>
      <c r="B181" s="3465">
        <v>-3095</v>
      </c>
      <c r="C181" s="3465">
        <v>87.19</v>
      </c>
      <c r="D181" s="3464" t="s">
        <v>3394</v>
      </c>
    </row>
    <row r="182" spans="1:4">
      <c r="A182" s="3462"/>
      <c r="B182" s="3465">
        <v>-3096</v>
      </c>
      <c r="C182" s="3465">
        <v>87.19</v>
      </c>
      <c r="D182" s="3464" t="s">
        <v>3394</v>
      </c>
    </row>
    <row r="183" spans="1:4">
      <c r="A183" s="3462"/>
      <c r="B183" s="3465">
        <v>-3097</v>
      </c>
      <c r="C183" s="3465">
        <v>87.19</v>
      </c>
      <c r="D183" s="3464" t="s">
        <v>3394</v>
      </c>
    </row>
    <row r="184" spans="1:4">
      <c r="A184" s="3462"/>
      <c r="B184" s="3465">
        <v>-3098</v>
      </c>
      <c r="C184" s="3465">
        <v>87.19</v>
      </c>
      <c r="D184" s="3464" t="s">
        <v>3394</v>
      </c>
    </row>
    <row r="185" spans="1:4">
      <c r="A185" s="3462"/>
      <c r="B185" s="3465">
        <v>-3099</v>
      </c>
      <c r="C185" s="3465">
        <v>87.19</v>
      </c>
      <c r="D185" s="3464" t="s">
        <v>3394</v>
      </c>
    </row>
    <row r="186" spans="1:4">
      <c r="A186" s="3462"/>
      <c r="B186" s="3465">
        <v>-3100</v>
      </c>
      <c r="C186" s="3465">
        <v>134.41999999999999</v>
      </c>
      <c r="D186" s="3464" t="s">
        <v>3394</v>
      </c>
    </row>
    <row r="187" spans="1:4">
      <c r="A187" s="3462"/>
      <c r="B187" s="3465">
        <v>-3101</v>
      </c>
      <c r="C187" s="3465">
        <v>87.19</v>
      </c>
      <c r="D187" s="3464" t="s">
        <v>3394</v>
      </c>
    </row>
    <row r="188" spans="1:4">
      <c r="A188" s="3462"/>
      <c r="B188" s="3465">
        <v>-3102</v>
      </c>
      <c r="C188" s="3465">
        <v>87.19</v>
      </c>
      <c r="D188" s="3464" t="s">
        <v>3394</v>
      </c>
    </row>
    <row r="189" spans="1:4">
      <c r="A189" s="3462"/>
      <c r="B189" s="3465">
        <v>-3103</v>
      </c>
      <c r="C189" s="3465">
        <v>87.19</v>
      </c>
      <c r="D189" s="3464" t="s">
        <v>3394</v>
      </c>
    </row>
    <row r="190" spans="1:4">
      <c r="A190" s="3462"/>
      <c r="B190" s="3465">
        <v>-3104</v>
      </c>
      <c r="C190" s="3465">
        <v>87.19</v>
      </c>
      <c r="D190" s="3464" t="s">
        <v>3394</v>
      </c>
    </row>
    <row r="191" spans="1:4">
      <c r="B191" s="3470">
        <v>-2001</v>
      </c>
      <c r="C191" s="3470">
        <v>27.48</v>
      </c>
      <c r="D191" s="3471" t="s">
        <v>3394</v>
      </c>
    </row>
    <row r="192" spans="1:4">
      <c r="A192" s="3635" t="s">
        <v>3414</v>
      </c>
      <c r="B192" s="3635"/>
      <c r="C192" s="3474">
        <f>SUM(C82:C191)</f>
        <v>10131.459999999992</v>
      </c>
      <c r="D192" s="3464" t="s">
        <v>3415</v>
      </c>
    </row>
    <row r="193" spans="1:7">
      <c r="A193" s="3462"/>
      <c r="B193" s="3472">
        <v>-401</v>
      </c>
      <c r="C193" s="3472">
        <v>620.24</v>
      </c>
      <c r="D193" s="3473" t="s">
        <v>3395</v>
      </c>
      <c r="E193" s="3468"/>
      <c r="F193" s="3468"/>
      <c r="G193" s="3469"/>
    </row>
    <row r="194" spans="1:7">
      <c r="A194" s="3462"/>
      <c r="B194" s="3465">
        <v>-402</v>
      </c>
      <c r="C194" s="3465">
        <v>21.02</v>
      </c>
      <c r="D194" s="3464" t="s">
        <v>3395</v>
      </c>
      <c r="E194" s="3468"/>
      <c r="F194" s="3468"/>
      <c r="G194" s="3469"/>
    </row>
    <row r="195" spans="1:7">
      <c r="A195" s="3462"/>
      <c r="B195" s="3465">
        <v>-301</v>
      </c>
      <c r="C195" s="3465">
        <v>18.23</v>
      </c>
      <c r="D195" s="3464" t="s">
        <v>3395</v>
      </c>
      <c r="E195" s="3468"/>
      <c r="F195" s="3468"/>
      <c r="G195" s="3469"/>
    </row>
    <row r="196" spans="1:7">
      <c r="A196" s="3462"/>
      <c r="B196" s="3465">
        <v>-302</v>
      </c>
      <c r="C196" s="3465">
        <v>24.94</v>
      </c>
      <c r="D196" s="3464" t="s">
        <v>3395</v>
      </c>
      <c r="E196" s="3468"/>
      <c r="F196" s="3468"/>
      <c r="G196" s="3469"/>
    </row>
    <row r="197" spans="1:7">
      <c r="B197" s="3465">
        <v>-303</v>
      </c>
      <c r="C197" s="3465">
        <v>1006.98</v>
      </c>
      <c r="D197" s="3464" t="s">
        <v>3395</v>
      </c>
    </row>
    <row r="198" spans="1:7">
      <c r="B198" s="3465">
        <v>-304</v>
      </c>
      <c r="C198" s="3465">
        <v>146.87</v>
      </c>
      <c r="D198" s="3464" t="s">
        <v>3397</v>
      </c>
    </row>
    <row r="199" spans="1:7">
      <c r="B199" s="3465">
        <v>-305</v>
      </c>
      <c r="C199" s="3465">
        <v>16.36</v>
      </c>
      <c r="D199" s="3464" t="s">
        <v>3398</v>
      </c>
    </row>
    <row r="200" spans="1:7">
      <c r="B200" s="3465">
        <v>-306</v>
      </c>
      <c r="C200" s="3465">
        <v>41.81</v>
      </c>
      <c r="D200" s="3464" t="s">
        <v>3395</v>
      </c>
    </row>
    <row r="201" spans="1:7">
      <c r="B201" s="3465">
        <v>-307</v>
      </c>
      <c r="C201" s="3465">
        <v>197.78</v>
      </c>
      <c r="D201" s="3464" t="s">
        <v>3395</v>
      </c>
    </row>
    <row r="202" spans="1:7">
      <c r="B202" s="3465">
        <v>-308</v>
      </c>
      <c r="C202" s="3465">
        <v>89.5</v>
      </c>
      <c r="D202" s="3464" t="s">
        <v>3395</v>
      </c>
    </row>
    <row r="203" spans="1:7">
      <c r="B203" s="3465">
        <v>-309</v>
      </c>
      <c r="C203" s="3465">
        <v>126.48</v>
      </c>
      <c r="D203" s="3464" t="s">
        <v>3395</v>
      </c>
    </row>
    <row r="204" spans="1:7">
      <c r="B204" s="3465">
        <v>-310</v>
      </c>
      <c r="C204" s="3465">
        <v>147.47</v>
      </c>
      <c r="D204" s="3464" t="s">
        <v>3397</v>
      </c>
    </row>
    <row r="205" spans="1:7">
      <c r="B205" s="3465">
        <v>-314</v>
      </c>
      <c r="C205" s="3465">
        <v>169.28</v>
      </c>
      <c r="D205" s="3464" t="s">
        <v>3395</v>
      </c>
    </row>
    <row r="206" spans="1:7">
      <c r="B206" s="3465">
        <v>-315</v>
      </c>
      <c r="C206" s="3465">
        <v>37.29</v>
      </c>
      <c r="D206" s="3464" t="s">
        <v>3399</v>
      </c>
    </row>
    <row r="207" spans="1:7">
      <c r="B207" s="3465">
        <v>-206</v>
      </c>
      <c r="C207" s="3465">
        <v>15.59</v>
      </c>
      <c r="D207" s="3464" t="s">
        <v>3395</v>
      </c>
    </row>
    <row r="208" spans="1:7">
      <c r="B208" s="3465">
        <v>203</v>
      </c>
      <c r="C208" s="3465">
        <v>211.5</v>
      </c>
      <c r="D208" s="3464" t="s">
        <v>3395</v>
      </c>
    </row>
    <row r="209" spans="1:4">
      <c r="A209" s="3635" t="s">
        <v>3417</v>
      </c>
      <c r="B209" s="3635"/>
      <c r="C209" s="3474">
        <f>SUM(C193:C208)</f>
        <v>2891.34</v>
      </c>
      <c r="D209" s="3464" t="s">
        <v>3415</v>
      </c>
    </row>
    <row r="210" spans="1:4">
      <c r="A210" s="3635" t="s">
        <v>3409</v>
      </c>
      <c r="B210" s="3635"/>
      <c r="C210" s="3635">
        <f>C209+C81+C15+C192</f>
        <v>112144.48</v>
      </c>
      <c r="D210" s="3635"/>
    </row>
  </sheetData>
  <mergeCells count="6">
    <mergeCell ref="C210:D210"/>
    <mergeCell ref="A15:B15"/>
    <mergeCell ref="A192:B192"/>
    <mergeCell ref="A81:B81"/>
    <mergeCell ref="A209:B209"/>
    <mergeCell ref="A210:B210"/>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25" sqref="O25"/>
    </sheetView>
  </sheetViews>
  <sheetFormatPr defaultColWidth="8.88671875" defaultRowHeight="13.8"/>
  <cols>
    <col min="1" max="1" width="10.6640625" style="1570" customWidth="1"/>
    <col min="2" max="2" width="11" style="1570" customWidth="1"/>
    <col min="3" max="3" width="10.33203125" style="1570" customWidth="1"/>
    <col min="4" max="4" width="9.109375" style="1570" customWidth="1"/>
    <col min="5" max="6" width="10" style="1631" customWidth="1"/>
    <col min="7" max="8" width="10" style="1570" customWidth="1"/>
    <col min="9" max="9" width="10.6640625" style="1570" customWidth="1"/>
    <col min="10" max="10" width="9.44140625" style="1570" hidden="1" customWidth="1"/>
    <col min="11" max="11" width="11" style="1570" customWidth="1"/>
    <col min="12" max="12" width="9.44140625" style="1570" hidden="1" customWidth="1"/>
    <col min="13" max="13" width="9.44140625" style="1570" customWidth="1"/>
    <col min="14" max="14" width="9.44140625" style="1570" hidden="1" customWidth="1"/>
    <col min="15" max="15" width="9.88671875" style="1570" customWidth="1"/>
    <col min="16" max="16" width="9.77734375" style="1570" hidden="1" customWidth="1"/>
    <col min="17" max="17" width="9.33203125" style="1570" customWidth="1"/>
    <col min="18" max="18" width="9.21875" style="1570" hidden="1" customWidth="1"/>
    <col min="19" max="19" width="10.88671875" style="1570" customWidth="1"/>
    <col min="20" max="20" width="10.77734375" style="1570" hidden="1" customWidth="1"/>
    <col min="21" max="21" width="10.77734375" style="1570" customWidth="1"/>
    <col min="22" max="22" width="10.88671875" style="1570" hidden="1" customWidth="1"/>
    <col min="23" max="27" width="10.77734375" style="1570" hidden="1" customWidth="1"/>
    <col min="28" max="28" width="10.88671875" style="1570" hidden="1" customWidth="1"/>
    <col min="29" max="29" width="11" style="1570" bestFit="1" customWidth="1"/>
    <col min="30" max="30" width="10" style="1570" bestFit="1" customWidth="1"/>
    <col min="31" max="31" width="9.77734375" style="1570" customWidth="1"/>
    <col min="32" max="46" width="9.44140625" style="1570" customWidth="1"/>
    <col min="47" max="47" width="18.109375" style="1570" customWidth="1"/>
    <col min="48" max="50" width="9.77734375" style="1570" customWidth="1"/>
    <col min="51" max="55" width="10.44140625" style="1570" bestFit="1" customWidth="1"/>
    <col min="56" max="56" width="9.44140625" style="1570" bestFit="1" customWidth="1"/>
    <col min="57" max="63" width="9.109375" style="1570" bestFit="1" customWidth="1"/>
    <col min="64" max="64" width="9.44140625" style="1570" bestFit="1" customWidth="1"/>
    <col min="65" max="65" width="9.109375" style="1570" bestFit="1" customWidth="1"/>
    <col min="66" max="66" width="9.44140625" style="1570" bestFit="1" customWidth="1"/>
    <col min="67" max="69" width="9.109375" style="1570" bestFit="1" customWidth="1"/>
    <col min="70" max="70" width="9.44140625" style="1570" bestFit="1" customWidth="1"/>
    <col min="71" max="71" width="9" style="1570" customWidth="1"/>
    <col min="72" max="72" width="9.109375" style="1570" bestFit="1" customWidth="1"/>
    <col min="73" max="16384" width="8.88671875" style="1570"/>
  </cols>
  <sheetData>
    <row r="1" spans="1:72" ht="21">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1065</v>
      </c>
      <c r="AZ2" s="1046"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3.2">
      <c r="A3" s="10">
        <v>16822</v>
      </c>
      <c r="B3" s="11">
        <f>IF(C3="否",G5-AT5,G5)</f>
        <v>180927.81999999998</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3.2">
      <c r="A5" s="12" t="s">
        <v>1069</v>
      </c>
      <c r="B5" s="1344"/>
      <c r="C5" s="1344"/>
      <c r="D5" s="1346"/>
      <c r="E5" s="13" t="s">
        <v>0</v>
      </c>
      <c r="F5" s="13">
        <f>SUM(F13:F587)</f>
        <v>0</v>
      </c>
      <c r="G5" s="13">
        <f>SUM(G13:G587)</f>
        <v>180927.81999999998</v>
      </c>
      <c r="H5" s="13">
        <f t="shared" ref="H5:AT5" si="0">SUM(H13:H656)</f>
        <v>180927.81999999998</v>
      </c>
      <c r="I5" s="13">
        <f t="shared" si="0"/>
        <v>18910.419999999998</v>
      </c>
      <c r="J5" s="13">
        <f t="shared" si="0"/>
        <v>0</v>
      </c>
      <c r="K5" s="13">
        <f t="shared" si="0"/>
        <v>25296.05</v>
      </c>
      <c r="L5" s="13">
        <f t="shared" si="0"/>
        <v>0</v>
      </c>
      <c r="M5" s="13">
        <f t="shared" si="0"/>
        <v>112889.37</v>
      </c>
      <c r="N5" s="13">
        <f t="shared" si="0"/>
        <v>0</v>
      </c>
      <c r="O5" s="13">
        <f t="shared" si="0"/>
        <v>7419.8799999999983</v>
      </c>
      <c r="P5" s="13">
        <f t="shared" si="0"/>
        <v>0</v>
      </c>
      <c r="Q5" s="13">
        <f t="shared" si="0"/>
        <v>414.73</v>
      </c>
      <c r="R5" s="13">
        <f t="shared" si="0"/>
        <v>0</v>
      </c>
      <c r="S5" s="13">
        <f t="shared" si="0"/>
        <v>2679.84</v>
      </c>
      <c r="T5" s="13">
        <f t="shared" si="0"/>
        <v>0</v>
      </c>
      <c r="U5" s="13">
        <f t="shared" si="0"/>
        <v>13317.529999999992</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112144.47999999998</v>
      </c>
      <c r="BA5" s="15">
        <f t="shared" si="1"/>
        <v>112144.47999999998</v>
      </c>
      <c r="BB5" s="15">
        <f t="shared" si="1"/>
        <v>8827.59</v>
      </c>
      <c r="BC5" s="15">
        <f t="shared" si="1"/>
        <v>25296.05</v>
      </c>
      <c r="BD5" s="15">
        <f t="shared" si="1"/>
        <v>57578.159999999996</v>
      </c>
      <c r="BE5" s="15">
        <f t="shared" si="1"/>
        <v>7419.8799999999983</v>
      </c>
      <c r="BF5" s="15">
        <f t="shared" si="1"/>
        <v>211.5</v>
      </c>
      <c r="BG5" s="15">
        <f t="shared" si="1"/>
        <v>2679.84</v>
      </c>
      <c r="BH5" s="15">
        <f t="shared" si="1"/>
        <v>10131.459999999992</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3.2">
      <c r="A6" s="12" t="s">
        <v>1070</v>
      </c>
      <c r="B6" s="1583"/>
      <c r="C6" s="1583"/>
      <c r="D6" s="1584"/>
      <c r="E6" s="13">
        <f>H6+AC6+AT6</f>
        <v>16821.990000000002</v>
      </c>
      <c r="F6" s="13" t="s">
        <v>0</v>
      </c>
      <c r="G6" s="13" t="s">
        <v>1</v>
      </c>
      <c r="H6" s="17">
        <f>SUMIF(I$12:AB$12,"总值",I6:AB6)</f>
        <v>16821.990000000002</v>
      </c>
      <c r="I6" s="13">
        <f t="shared" ref="I6:AB6" si="2">ROUND($A$3*I5/$B$3,2)</f>
        <v>1758.22</v>
      </c>
      <c r="J6" s="13">
        <f t="shared" si="2"/>
        <v>0</v>
      </c>
      <c r="K6" s="13">
        <f t="shared" si="2"/>
        <v>2351.9299999999998</v>
      </c>
      <c r="L6" s="13">
        <f t="shared" si="2"/>
        <v>0</v>
      </c>
      <c r="M6" s="13">
        <f t="shared" si="2"/>
        <v>10496.04</v>
      </c>
      <c r="N6" s="13">
        <f t="shared" si="2"/>
        <v>0</v>
      </c>
      <c r="O6" s="13">
        <f t="shared" si="2"/>
        <v>689.87</v>
      </c>
      <c r="P6" s="13">
        <f t="shared" si="2"/>
        <v>0</v>
      </c>
      <c r="Q6" s="13">
        <f t="shared" si="2"/>
        <v>38.56</v>
      </c>
      <c r="R6" s="13">
        <f t="shared" si="2"/>
        <v>0</v>
      </c>
      <c r="S6" s="13">
        <f t="shared" si="2"/>
        <v>249.16</v>
      </c>
      <c r="T6" s="13">
        <f t="shared" si="2"/>
        <v>0</v>
      </c>
      <c r="U6" s="13">
        <f t="shared" si="2"/>
        <v>1238.21</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10426.780000000001</v>
      </c>
      <c r="AZ6" s="13" t="s">
        <v>2</v>
      </c>
      <c r="BA6" s="13">
        <f>ROUND($AY$6*BA5/$AZ$5,2)</f>
        <v>10426.780000000001</v>
      </c>
      <c r="BB6" s="13">
        <f>ROUND($AY$6*BB5/$AZ$5,2)</f>
        <v>820.76</v>
      </c>
      <c r="BC6" s="13">
        <f t="shared" ref="BC6:BH6" si="4">ROUND($AY$6*BC5/$AZ$5,2)</f>
        <v>2351.9299999999998</v>
      </c>
      <c r="BD6" s="13">
        <f t="shared" si="4"/>
        <v>5353.4</v>
      </c>
      <c r="BE6" s="13">
        <f t="shared" si="4"/>
        <v>689.87</v>
      </c>
      <c r="BF6" s="13">
        <f t="shared" si="4"/>
        <v>19.66</v>
      </c>
      <c r="BG6" s="13">
        <f t="shared" si="4"/>
        <v>249.16</v>
      </c>
      <c r="BH6" s="13">
        <f t="shared" si="4"/>
        <v>941.99</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5.2">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6" t="s">
        <v>1084</v>
      </c>
      <c r="AD8" s="1597"/>
      <c r="AE8" s="1589"/>
      <c r="AF8" s="1357"/>
      <c r="AG8" s="1357"/>
      <c r="AH8" s="1357"/>
      <c r="AI8" s="1357"/>
      <c r="AJ8" s="1357"/>
      <c r="AK8" s="1357"/>
      <c r="AL8" s="1357"/>
      <c r="AM8" s="1357"/>
      <c r="AN8" s="1357"/>
      <c r="AO8" s="1357"/>
      <c r="AP8" s="1357"/>
      <c r="AQ8" s="1357"/>
      <c r="AR8" s="1357"/>
      <c r="AS8" s="1357"/>
      <c r="AT8" s="1067" t="s">
        <v>1085</v>
      </c>
      <c r="AU8" s="1591" t="s">
        <v>1086</v>
      </c>
      <c r="AV8" s="1067"/>
      <c r="AW8" s="1574"/>
      <c r="AX8" s="1067"/>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3.2">
      <c r="A9" s="1591"/>
      <c r="B9" s="1591"/>
      <c r="C9" s="1591"/>
      <c r="D9" s="1591"/>
      <c r="E9" s="1591"/>
      <c r="F9" s="1591"/>
      <c r="G9" s="1067"/>
      <c r="H9" s="1599" t="s">
        <v>1089</v>
      </c>
      <c r="I9" s="1600" t="s">
        <v>3421</v>
      </c>
      <c r="J9" s="806"/>
      <c r="K9" s="1600" t="s">
        <v>3423</v>
      </c>
      <c r="L9" s="806"/>
      <c r="M9" s="1600" t="s">
        <v>3421</v>
      </c>
      <c r="N9" s="806"/>
      <c r="O9" s="1600" t="s">
        <v>3423</v>
      </c>
      <c r="P9" s="806"/>
      <c r="Q9" s="1600" t="s">
        <v>3421</v>
      </c>
      <c r="R9" s="806"/>
      <c r="S9" s="1600" t="s">
        <v>3423</v>
      </c>
      <c r="T9" s="806"/>
      <c r="U9" s="1600" t="s">
        <v>3423</v>
      </c>
      <c r="V9" s="806"/>
      <c r="W9" s="1600"/>
      <c r="X9" s="1601"/>
      <c r="Y9" s="1600"/>
      <c r="Z9" s="806"/>
      <c r="AA9" s="1600"/>
      <c r="AB9" s="806"/>
      <c r="AC9" s="1592" t="s">
        <v>1089</v>
      </c>
      <c r="AD9" s="12" t="s">
        <v>1090</v>
      </c>
      <c r="AE9" s="1073"/>
      <c r="AF9" s="12" t="s">
        <v>1091</v>
      </c>
      <c r="AG9" s="1073"/>
      <c r="AH9" s="12" t="s">
        <v>1090</v>
      </c>
      <c r="AI9" s="1073"/>
      <c r="AJ9" s="12" t="s">
        <v>1091</v>
      </c>
      <c r="AK9" s="1073"/>
      <c r="AL9" s="12" t="s">
        <v>1090</v>
      </c>
      <c r="AM9" s="1073"/>
      <c r="AN9" s="12" t="s">
        <v>1091</v>
      </c>
      <c r="AO9" s="1073"/>
      <c r="AP9" s="12" t="s">
        <v>1090</v>
      </c>
      <c r="AQ9" s="1073"/>
      <c r="AR9" s="12" t="s">
        <v>1091</v>
      </c>
      <c r="AS9" s="1602"/>
      <c r="AT9" s="1591"/>
      <c r="AU9" s="1591" t="s">
        <v>1092</v>
      </c>
      <c r="AV9" s="1067"/>
      <c r="AW9" s="1574"/>
      <c r="AX9" s="1067"/>
      <c r="AY9" s="25"/>
      <c r="AZ9" s="25" t="s">
        <v>1082</v>
      </c>
      <c r="BA9" s="1603" t="s">
        <v>1093</v>
      </c>
      <c r="BB9" s="1604"/>
      <c r="BC9" s="1085"/>
      <c r="BD9" s="1085"/>
      <c r="BE9" s="1085"/>
      <c r="BF9" s="1085"/>
      <c r="BG9" s="1085"/>
      <c r="BH9" s="1085"/>
      <c r="BI9" s="1085"/>
      <c r="BJ9" s="1085"/>
      <c r="BK9" s="1605"/>
      <c r="BL9" s="12" t="s">
        <v>1094</v>
      </c>
      <c r="BM9" s="1357"/>
      <c r="BN9" s="1594"/>
      <c r="BO9" s="1357"/>
      <c r="BP9" s="1357"/>
      <c r="BQ9" s="1357"/>
      <c r="BR9" s="1357"/>
      <c r="BS9" s="1357"/>
      <c r="BT9" s="23"/>
    </row>
    <row r="10" spans="1:72" s="1598" customFormat="1" ht="13.2">
      <c r="A10" s="1591"/>
      <c r="B10" s="1591"/>
      <c r="C10" s="1591"/>
      <c r="D10" s="1591"/>
      <c r="E10" s="1591"/>
      <c r="F10" s="1591"/>
      <c r="G10" s="1067"/>
      <c r="H10" s="25"/>
      <c r="I10" s="1600" t="s">
        <v>672</v>
      </c>
      <c r="J10" s="806"/>
      <c r="K10" s="1600" t="s">
        <v>672</v>
      </c>
      <c r="L10" s="806"/>
      <c r="M10" s="1606" t="s">
        <v>21</v>
      </c>
      <c r="N10" s="806"/>
      <c r="O10" s="1606" t="s">
        <v>21</v>
      </c>
      <c r="P10" s="806"/>
      <c r="Q10" s="1606" t="s">
        <v>3335</v>
      </c>
      <c r="R10" s="806"/>
      <c r="S10" s="1606" t="s">
        <v>3335</v>
      </c>
      <c r="T10" s="806"/>
      <c r="U10" s="1606" t="s">
        <v>3334</v>
      </c>
      <c r="V10" s="806"/>
      <c r="W10" s="1606"/>
      <c r="X10" s="806"/>
      <c r="Y10" s="1606"/>
      <c r="Z10" s="806"/>
      <c r="AA10" s="1606"/>
      <c r="AB10" s="806"/>
      <c r="AC10" s="1067"/>
      <c r="AD10" s="12" t="s">
        <v>1095</v>
      </c>
      <c r="AE10" s="1607"/>
      <c r="AF10" s="12" t="s">
        <v>1095</v>
      </c>
      <c r="AG10" s="1607"/>
      <c r="AH10" s="12" t="s">
        <v>1096</v>
      </c>
      <c r="AI10" s="1607"/>
      <c r="AJ10" s="12" t="s">
        <v>1096</v>
      </c>
      <c r="AK10" s="1607"/>
      <c r="AL10" s="12" t="s">
        <v>1097</v>
      </c>
      <c r="AM10" s="1073"/>
      <c r="AN10" s="12" t="s">
        <v>1097</v>
      </c>
      <c r="AO10" s="1073"/>
      <c r="AP10" s="12" t="s">
        <v>1098</v>
      </c>
      <c r="AQ10" s="1073"/>
      <c r="AR10" s="12" t="s">
        <v>1098</v>
      </c>
      <c r="AS10" s="1073"/>
      <c r="AT10" s="1591"/>
      <c r="AU10" s="1591"/>
      <c r="AV10" s="1067"/>
      <c r="AW10" s="1574"/>
      <c r="AX10" s="1067"/>
      <c r="AY10" s="25"/>
      <c r="AZ10" s="25"/>
      <c r="BA10" s="1608" t="s">
        <v>1089</v>
      </c>
      <c r="BB10" s="1609" t="str">
        <f>I9</f>
        <v>地上</v>
      </c>
      <c r="BC10" s="26" t="str">
        <f>K9</f>
        <v>地下</v>
      </c>
      <c r="BD10" s="26" t="str">
        <f>M9</f>
        <v>地上</v>
      </c>
      <c r="BE10" s="26" t="str">
        <f>O9</f>
        <v>地下</v>
      </c>
      <c r="BF10" s="26" t="str">
        <f>Q9</f>
        <v>地上</v>
      </c>
      <c r="BG10" s="26" t="str">
        <f>S9</f>
        <v>地下</v>
      </c>
      <c r="BH10" s="26" t="str">
        <f>U9</f>
        <v>地下</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3.2">
      <c r="A11" s="1591"/>
      <c r="B11" s="1591"/>
      <c r="C11" s="1591"/>
      <c r="D11" s="1591"/>
      <c r="E11" s="1591"/>
      <c r="F11" s="1591"/>
      <c r="G11" s="1067"/>
      <c r="H11" s="1608"/>
      <c r="I11" s="1611" t="s">
        <v>3422</v>
      </c>
      <c r="J11" s="1612"/>
      <c r="K11" s="1611" t="s">
        <v>3422</v>
      </c>
      <c r="L11" s="1612"/>
      <c r="M11" s="1611" t="s">
        <v>3424</v>
      </c>
      <c r="N11" s="1612"/>
      <c r="O11" s="1611" t="s">
        <v>3424</v>
      </c>
      <c r="P11" s="1612"/>
      <c r="Q11" s="1611" t="s">
        <v>3395</v>
      </c>
      <c r="R11" s="1612"/>
      <c r="S11" s="1611" t="s">
        <v>3395</v>
      </c>
      <c r="T11" s="1612"/>
      <c r="U11" s="1611" t="s">
        <v>3334</v>
      </c>
      <c r="V11" s="1612"/>
      <c r="W11" s="1611"/>
      <c r="X11" s="1612"/>
      <c r="Y11" s="1611"/>
      <c r="Z11" s="1612"/>
      <c r="AA11" s="1611"/>
      <c r="AB11" s="1612"/>
      <c r="AC11" s="1067"/>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t="str">
        <f>M10</f>
        <v>办公</v>
      </c>
      <c r="BE11" s="1596" t="str">
        <f>O10</f>
        <v>办公</v>
      </c>
      <c r="BF11" s="1596" t="str">
        <f>Q10</f>
        <v>仓储</v>
      </c>
      <c r="BG11" s="1596" t="str">
        <f>S10</f>
        <v>仓储</v>
      </c>
      <c r="BH11" s="1596" t="str">
        <f>U10</f>
        <v>车库</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3.2">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t="str">
        <f>I11</f>
        <v>底商</v>
      </c>
      <c r="BC12" s="1621" t="str">
        <f>K11</f>
        <v>底商</v>
      </c>
      <c r="BD12" s="1621" t="str">
        <f>M11</f>
        <v>办公楼</v>
      </c>
      <c r="BE12" s="1596" t="str">
        <f>O11</f>
        <v>办公楼</v>
      </c>
      <c r="BF12" s="1596" t="str">
        <f>Q11</f>
        <v>戊类库房</v>
      </c>
      <c r="BG12" s="1596" t="str">
        <f>S11</f>
        <v>戊类库房</v>
      </c>
      <c r="BH12" s="1596" t="str">
        <f>U11</f>
        <v>车库</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3.2">
      <c r="A13" s="1048"/>
      <c r="B13" s="1048"/>
      <c r="C13" s="1048"/>
      <c r="D13" s="1622" t="s">
        <v>3418</v>
      </c>
      <c r="E13" s="13">
        <f>IF($C$3="是",ROUND($A$3*G13/$B$3,2),ROUND($A$3*(G13-AT13)/$B$3,2))</f>
        <v>10426.780000000001</v>
      </c>
      <c r="F13" s="29"/>
      <c r="G13" s="30">
        <f>H13+AC13+AT13</f>
        <v>112144.47999999998</v>
      </c>
      <c r="H13" s="17">
        <f>SUMIF(I$12:AB$12,"总值",I13:AB13)</f>
        <v>112144.47999999998</v>
      </c>
      <c r="I13" s="1623">
        <f>SUM(抵押物清单!C9:C14)</f>
        <v>8827.59</v>
      </c>
      <c r="J13" s="1623"/>
      <c r="K13" s="1623">
        <f>SUM(抵押物清单!C2:C8)</f>
        <v>25296.05</v>
      </c>
      <c r="L13" s="1623"/>
      <c r="M13" s="1623">
        <f>SUM(抵押物清单!C16:C70)</f>
        <v>57578.159999999996</v>
      </c>
      <c r="N13" s="1623"/>
      <c r="O13" s="1623">
        <f>SUM(抵押物清单!C71:C80)</f>
        <v>7419.8799999999983</v>
      </c>
      <c r="P13" s="1623"/>
      <c r="Q13" s="1623">
        <f>抵押物清单!C208</f>
        <v>211.5</v>
      </c>
      <c r="R13" s="1623"/>
      <c r="S13" s="1623">
        <f>SUM(抵押物清单!C193:C207)</f>
        <v>2679.84</v>
      </c>
      <c r="T13" s="1623"/>
      <c r="U13" s="1623">
        <f>抵押物清单!C192</f>
        <v>10131.459999999992</v>
      </c>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0</v>
      </c>
      <c r="AY13" s="1346">
        <f>ROUND($AY$6*AZ13/$AZ$5,2)</f>
        <v>10426.780000000001</v>
      </c>
      <c r="AZ13" s="13">
        <f>BA13+BL13</f>
        <v>112144.47999999998</v>
      </c>
      <c r="BA13" s="13">
        <f>SUM(BB13:BK13)</f>
        <v>112144.47999999998</v>
      </c>
      <c r="BB13" s="13">
        <f>IF($D13="是",I13-J13,0)</f>
        <v>8827.59</v>
      </c>
      <c r="BC13" s="13">
        <f>IF($D13="是",K13-L13,0)</f>
        <v>25296.05</v>
      </c>
      <c r="BD13" s="13">
        <f>IF($D13="是",M13-N13,0)</f>
        <v>57578.159999999996</v>
      </c>
      <c r="BE13" s="13">
        <f>IF($D13="是",O13-P13,0)</f>
        <v>7419.8799999999983</v>
      </c>
      <c r="BF13" s="13">
        <f>IF($D13="是",Q13-R13,0)</f>
        <v>211.5</v>
      </c>
      <c r="BG13" s="13">
        <f>IF($D13="是",S13-T13,0)</f>
        <v>2679.84</v>
      </c>
      <c r="BH13" s="13">
        <f>IF($D13="是",U13-V13,0)</f>
        <v>10131.459999999992</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3.2">
      <c r="A14" s="1048"/>
      <c r="B14" s="1048"/>
      <c r="C14" s="3497" t="s">
        <v>3420</v>
      </c>
      <c r="D14" s="1622" t="s">
        <v>3419</v>
      </c>
      <c r="E14" s="13">
        <f>IF($C$3="是",ROUND($A$3*G14/$B$3,2),ROUND($A$3*(G14-AT14)/$B$3,2))</f>
        <v>6395.22</v>
      </c>
      <c r="F14" s="29"/>
      <c r="G14" s="30">
        <f>H14+AC14+AT14</f>
        <v>68783.34</v>
      </c>
      <c r="H14" s="17">
        <f>SUMIF(I$12:AB$12,"总值",I14:AB14)</f>
        <v>68783.34</v>
      </c>
      <c r="I14" s="1623">
        <f>SUM(面积总表!S23:S25)+SUM(面积总表!S33:S35)+SUM(面积总表!S41:S43)</f>
        <v>10082.83</v>
      </c>
      <c r="J14" s="1623"/>
      <c r="K14" s="1623"/>
      <c r="L14" s="1623"/>
      <c r="M14" s="1623">
        <f>面积总表!G59</f>
        <v>55311.209999999992</v>
      </c>
      <c r="N14" s="1623"/>
      <c r="O14" s="1623"/>
      <c r="P14" s="1623"/>
      <c r="Q14" s="1623">
        <f>面积总表!S36</f>
        <v>203.23</v>
      </c>
      <c r="R14" s="1623"/>
      <c r="S14" s="1623"/>
      <c r="T14" s="1623"/>
      <c r="U14" s="1623">
        <f>SUM(面积总表!K3:K11)+SUM(面积总表!K13:K14)+SUM(面积总表!K20:K22)+SUM(面积总表!K24:K45)</f>
        <v>3186.0700000000006</v>
      </c>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已售</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3.2">
      <c r="A15" s="1048"/>
      <c r="B15" s="1048"/>
      <c r="C15" s="1567"/>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3.2">
      <c r="A16" s="1048"/>
      <c r="B16" s="1048"/>
      <c r="C16" s="1567"/>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3.2">
      <c r="A17" s="1048"/>
      <c r="B17" s="1048"/>
      <c r="C17" s="1567"/>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7"/>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7"/>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7"/>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7"/>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7"/>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7"/>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7"/>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AA41" sqref="AA41"/>
    </sheetView>
  </sheetViews>
  <sheetFormatPr defaultColWidth="9.21875" defaultRowHeight="13.8"/>
  <cols>
    <col min="1" max="1" width="12.109375" style="1635" customWidth="1"/>
    <col min="2" max="2" width="10.21875" style="1635" customWidth="1"/>
    <col min="3" max="3" width="18.44140625" style="1635" customWidth="1"/>
    <col min="4" max="4" width="11.6640625" style="1635" customWidth="1"/>
    <col min="5" max="5" width="13.33203125" style="1635" customWidth="1"/>
    <col min="6" max="8" width="11.44140625" style="1635" customWidth="1"/>
    <col min="9" max="9" width="11.109375" style="1635" customWidth="1"/>
    <col min="10" max="10" width="3.109375" style="2646" customWidth="1"/>
    <col min="11" max="16" width="10" style="1635" customWidth="1"/>
    <col min="17" max="17" width="2.6640625" style="1635" customWidth="1"/>
    <col min="18" max="18" width="9.33203125" style="1635" bestFit="1" customWidth="1"/>
    <col min="19" max="19" width="10.44140625" style="1635" bestFit="1" customWidth="1"/>
    <col min="20" max="16384" width="9.21875" style="1635"/>
  </cols>
  <sheetData>
    <row r="1" spans="1:16" ht="18" thickBot="1">
      <c r="A1" s="1634" t="s">
        <v>1128</v>
      </c>
      <c r="B1" s="1136"/>
      <c r="C1" s="1136"/>
      <c r="D1" s="1136"/>
      <c r="E1" s="1136"/>
      <c r="F1" s="1136"/>
      <c r="G1" s="1136"/>
      <c r="H1" s="1136"/>
      <c r="I1" s="1136"/>
      <c r="J1" s="1136"/>
      <c r="K1" s="1136"/>
      <c r="L1" s="1136"/>
      <c r="M1" s="1136"/>
      <c r="N1" s="1136"/>
      <c r="O1" s="1136"/>
      <c r="P1" s="1136"/>
    </row>
    <row r="2" spans="1:16" ht="14.4">
      <c r="A2" s="3645" t="s">
        <v>1129</v>
      </c>
      <c r="B2" s="3645"/>
      <c r="C2" s="3645"/>
      <c r="D2" s="793" t="s">
        <v>1105</v>
      </c>
      <c r="E2" s="1636" t="s">
        <v>1106</v>
      </c>
      <c r="F2" s="2656"/>
      <c r="G2" s="2647"/>
      <c r="H2" s="2648"/>
      <c r="I2" s="2322" t="s">
        <v>1130</v>
      </c>
      <c r="J2" s="2656"/>
      <c r="K2" s="2656"/>
      <c r="L2" s="2656"/>
      <c r="M2" s="2656"/>
      <c r="N2" s="2658"/>
      <c r="O2" s="2656"/>
      <c r="P2" s="2656"/>
    </row>
    <row r="3" spans="1:16" ht="15" thickBot="1">
      <c r="A3" s="3646" t="s">
        <v>1103</v>
      </c>
      <c r="B3" s="3646"/>
      <c r="C3" s="3646"/>
      <c r="D3" s="43">
        <f>'数据-基础表'!AY6</f>
        <v>10426.780000000001</v>
      </c>
      <c r="E3" s="43">
        <f>'数据-基础表'!AZ5</f>
        <v>112144.47999999998</v>
      </c>
      <c r="F3" s="2656"/>
      <c r="G3" s="1142"/>
      <c r="H3" s="1023" t="s">
        <v>1104</v>
      </c>
      <c r="I3" s="852">
        <f>ROUND('数据-基础表'!B3/'数据-基础表'!A3,2)</f>
        <v>10.76</v>
      </c>
      <c r="J3" s="2656"/>
      <c r="K3" s="2656"/>
      <c r="L3" s="2656"/>
      <c r="M3" s="2656"/>
      <c r="N3" s="2658"/>
      <c r="O3" s="2656"/>
      <c r="P3" s="2656"/>
    </row>
    <row r="4" spans="1:16" ht="14.4">
      <c r="A4" s="3647"/>
      <c r="B4" s="3648"/>
      <c r="C4" s="3649"/>
      <c r="D4" s="1638" t="s">
        <v>1105</v>
      </c>
      <c r="E4" s="1639" t="s">
        <v>1106</v>
      </c>
      <c r="F4" s="2656"/>
      <c r="G4" s="2649" t="s">
        <v>1131</v>
      </c>
      <c r="H4" s="1023" t="s">
        <v>1111</v>
      </c>
      <c r="I4" s="852">
        <f>ROUND(SUMIF('数据-基础表'!I9:AS9,"地上",'数据-基础表'!I5:AS5)/'数据-基础表'!A3,2)</f>
        <v>7.86</v>
      </c>
      <c r="J4" s="2656"/>
      <c r="K4" s="2656"/>
      <c r="L4" s="2656"/>
      <c r="M4" s="2656"/>
      <c r="N4" s="2658"/>
      <c r="O4" s="2656"/>
      <c r="P4" s="2656"/>
    </row>
    <row r="5" spans="1:16" ht="14.4">
      <c r="A5" s="44" t="s">
        <v>1107</v>
      </c>
      <c r="B5" s="3650" t="s">
        <v>1108</v>
      </c>
      <c r="C5" s="3650"/>
      <c r="D5" s="45">
        <f>ROUND($D$3*E5/$E$3,2)</f>
        <v>0</v>
      </c>
      <c r="E5" s="46">
        <f>SUMIF('数据-基础表'!$11:$11,"住宅",'数据-基础表'!$5:$5)</f>
        <v>0</v>
      </c>
      <c r="F5" s="2656"/>
      <c r="G5" s="1142"/>
      <c r="H5" s="1023" t="s">
        <v>1104</v>
      </c>
      <c r="I5" s="852">
        <f>ROUND(E31/D31,2)</f>
        <v>10.76</v>
      </c>
      <c r="J5" s="2656"/>
      <c r="K5" s="2656"/>
      <c r="L5" s="2656"/>
      <c r="M5" s="2656"/>
      <c r="N5" s="2656"/>
      <c r="O5" s="2656"/>
      <c r="P5" s="2656"/>
    </row>
    <row r="6" spans="1:16" ht="15" thickBot="1">
      <c r="A6" s="1641"/>
      <c r="B6" s="3650" t="s">
        <v>1109</v>
      </c>
      <c r="C6" s="3650"/>
      <c r="D6" s="45">
        <f>ROUND($D$3*E6/$E$3,2)</f>
        <v>10426.780000000001</v>
      </c>
      <c r="E6" s="46">
        <f>E3-E5</f>
        <v>112144.47999999998</v>
      </c>
      <c r="F6" s="2656"/>
      <c r="G6" s="2650" t="s">
        <v>1110</v>
      </c>
      <c r="H6" s="1143" t="s">
        <v>1111</v>
      </c>
      <c r="I6" s="2651">
        <f>ROUND(F31/D31,2)</f>
        <v>6.39</v>
      </c>
      <c r="J6" s="2656"/>
      <c r="K6" s="2656"/>
      <c r="L6" s="2656"/>
      <c r="M6" s="2656"/>
      <c r="N6" s="2656"/>
      <c r="O6" s="2656"/>
      <c r="P6" s="2656"/>
    </row>
    <row r="7" spans="1:16" ht="15" thickBot="1">
      <c r="A7" s="3642"/>
      <c r="B7" s="3643"/>
      <c r="C7" s="3644"/>
      <c r="D7" s="1638" t="s">
        <v>1105</v>
      </c>
      <c r="E7" s="1642" t="s">
        <v>1112</v>
      </c>
      <c r="F7" s="2656"/>
      <c r="G7" s="2652" t="s">
        <v>1113</v>
      </c>
      <c r="H7" s="2653"/>
      <c r="I7" s="2654"/>
      <c r="J7" s="2656"/>
      <c r="K7" s="2656"/>
      <c r="L7" s="2656"/>
      <c r="M7" s="2656"/>
      <c r="N7" s="2656"/>
      <c r="O7" s="2656"/>
      <c r="P7" s="2656"/>
    </row>
    <row r="8" spans="1:16" ht="14.4">
      <c r="A8" s="44" t="s">
        <v>1114</v>
      </c>
      <c r="B8" s="47" t="s">
        <v>1115</v>
      </c>
      <c r="C8" s="45" t="s">
        <v>1116</v>
      </c>
      <c r="D8" s="45">
        <f t="shared" ref="D8:D15" si="0">ROUND($D$3*E8/$E$3,2)</f>
        <v>6193.83</v>
      </c>
      <c r="E8" s="48">
        <f>SUMIF('数据-基础表'!BB10:BK10,"地上",'数据-基础表'!BB5:BK5)</f>
        <v>66617.25</v>
      </c>
      <c r="F8" s="2656"/>
      <c r="G8" s="2657"/>
      <c r="H8" s="2657"/>
      <c r="I8" s="2656"/>
      <c r="J8" s="2656"/>
      <c r="K8" s="2656"/>
      <c r="L8" s="2656"/>
      <c r="M8" s="2656"/>
      <c r="N8" s="2656"/>
      <c r="O8" s="2656"/>
      <c r="P8" s="2656"/>
    </row>
    <row r="9" spans="1:16" ht="14.4">
      <c r="A9" s="1643"/>
      <c r="B9" s="1644"/>
      <c r="C9" s="45" t="s">
        <v>1117</v>
      </c>
      <c r="D9" s="45">
        <f t="shared" si="0"/>
        <v>0</v>
      </c>
      <c r="E9" s="49">
        <v>0</v>
      </c>
      <c r="F9" s="2656"/>
      <c r="G9" s="2657"/>
      <c r="H9" s="2657"/>
      <c r="I9" s="2656"/>
      <c r="J9" s="2656"/>
      <c r="K9" s="2656"/>
      <c r="L9" s="2656"/>
      <c r="M9" s="2656"/>
      <c r="N9" s="2656"/>
      <c r="O9" s="2656"/>
      <c r="P9" s="2656"/>
    </row>
    <row r="10" spans="1:16" ht="14.4">
      <c r="A10" s="1643"/>
      <c r="B10" s="1644"/>
      <c r="C10" s="45" t="s">
        <v>1126</v>
      </c>
      <c r="D10" s="45">
        <f t="shared" si="0"/>
        <v>2351.9299999999998</v>
      </c>
      <c r="E10" s="48">
        <f>SUMPRODUCT(('数据-基础表'!BB10:BK10="地下")*('数据-基础表'!BB11:BK11="商业")*('数据-基础表'!BB5:BK5))</f>
        <v>25296.05</v>
      </c>
      <c r="F10" s="2656"/>
      <c r="G10" s="2657"/>
      <c r="H10" s="2657"/>
      <c r="I10" s="2656"/>
      <c r="J10" s="2656"/>
      <c r="K10" s="2656"/>
      <c r="L10" s="2656"/>
      <c r="M10" s="2656"/>
      <c r="N10" s="2656"/>
      <c r="O10" s="2656"/>
      <c r="P10" s="2656"/>
    </row>
    <row r="11" spans="1:16" ht="14.4">
      <c r="A11" s="1643"/>
      <c r="B11" s="1644"/>
      <c r="C11" s="45" t="s">
        <v>1118</v>
      </c>
      <c r="D11" s="45">
        <f t="shared" si="0"/>
        <v>689.87</v>
      </c>
      <c r="E11" s="48">
        <f>SUMPRODUCT(('数据-基础表'!BB10:BK10="地下")*('数据-基础表'!BB11:BK11="办公")*('数据-基础表'!BB5:BK5))+'数据-基础表'!BP5</f>
        <v>7419.8799999999983</v>
      </c>
      <c r="F11" s="2656"/>
      <c r="G11" s="2657"/>
      <c r="H11" s="2657"/>
      <c r="I11" s="2656"/>
      <c r="J11" s="2656"/>
      <c r="K11" s="2656"/>
      <c r="L11" s="2656"/>
      <c r="M11" s="2656"/>
      <c r="N11" s="2656"/>
      <c r="O11" s="2656"/>
      <c r="P11" s="2656"/>
    </row>
    <row r="12" spans="1:16" ht="14.4">
      <c r="A12" s="1643"/>
      <c r="B12" s="1644"/>
      <c r="C12" s="45" t="s">
        <v>1119</v>
      </c>
      <c r="D12" s="45">
        <f t="shared" si="0"/>
        <v>249.16</v>
      </c>
      <c r="E12" s="48">
        <f>SUMPRODUCT(('数据-基础表'!BB10:BK10="地下")*('数据-基础表'!BB11:BK11="仓储")*('数据-基础表'!BB5:BK5))</f>
        <v>2679.84</v>
      </c>
      <c r="F12" s="2656"/>
      <c r="G12" s="2657"/>
      <c r="H12" s="2657"/>
      <c r="I12" s="2656"/>
      <c r="J12" s="2656"/>
      <c r="K12" s="2656"/>
      <c r="L12" s="2656"/>
      <c r="M12" s="2656"/>
      <c r="N12" s="2656"/>
      <c r="O12" s="2656"/>
      <c r="P12" s="2656"/>
    </row>
    <row r="13" spans="1:16" ht="14.4">
      <c r="A13" s="1643"/>
      <c r="B13" s="1644"/>
      <c r="C13" s="45" t="s">
        <v>1120</v>
      </c>
      <c r="D13" s="45">
        <f t="shared" si="0"/>
        <v>941.99</v>
      </c>
      <c r="E13" s="48">
        <f>SUMPRODUCT(('数据-基础表'!BB10:BK10="地下")*('数据-基础表'!BB11:BK11="车库")*('数据-基础表'!BB5:BK5))</f>
        <v>10131.459999999992</v>
      </c>
      <c r="F13" s="2656"/>
      <c r="G13" s="2657"/>
      <c r="H13" s="2657"/>
      <c r="I13" s="2656"/>
      <c r="J13" s="2656"/>
      <c r="K13" s="2656"/>
      <c r="L13" s="2656"/>
      <c r="M13" s="2656"/>
      <c r="N13" s="2656"/>
      <c r="O13" s="2656"/>
      <c r="P13" s="2656"/>
    </row>
    <row r="14" spans="1:16" ht="14.4">
      <c r="A14" s="1643"/>
      <c r="B14" s="1644"/>
      <c r="C14" s="45" t="s">
        <v>1132</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1127</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1"/>
      <c r="B16" s="1644"/>
      <c r="C16" s="47" t="s">
        <v>1121</v>
      </c>
      <c r="D16" s="47">
        <f>SUM(D8:D15)</f>
        <v>10426.780000000001</v>
      </c>
      <c r="E16" s="50">
        <f>SUM(E8:E15)</f>
        <v>112144.48</v>
      </c>
      <c r="F16" s="2656"/>
      <c r="G16" s="2657"/>
      <c r="H16" s="1645" t="s">
        <v>1133</v>
      </c>
      <c r="I16" s="1646"/>
      <c r="J16" s="1136"/>
      <c r="K16" s="3639" t="s">
        <v>1133</v>
      </c>
      <c r="L16" s="3640"/>
      <c r="M16" s="3640"/>
      <c r="N16" s="3640"/>
      <c r="O16" s="3640"/>
      <c r="P16" s="3641"/>
    </row>
    <row r="17" spans="1:19" ht="14.4">
      <c r="A17" s="1647" t="s">
        <v>1134</v>
      </c>
      <c r="B17" s="1648" t="s">
        <v>1135</v>
      </c>
      <c r="C17" s="1649" t="s">
        <v>1136</v>
      </c>
      <c r="D17" s="1650" t="s">
        <v>1124</v>
      </c>
      <c r="E17" s="1651" t="s">
        <v>1125</v>
      </c>
      <c r="F17" s="1652"/>
      <c r="G17" s="1653"/>
      <c r="H17" s="1654" t="s">
        <v>1137</v>
      </c>
      <c r="I17" s="1655" t="s">
        <v>1122</v>
      </c>
      <c r="J17" s="1136"/>
      <c r="K17" s="3636" t="s">
        <v>1138</v>
      </c>
      <c r="L17" s="3637"/>
      <c r="M17" s="3638"/>
      <c r="N17" s="3636" t="s">
        <v>1139</v>
      </c>
      <c r="O17" s="3637"/>
      <c r="P17" s="3638"/>
      <c r="R17" s="1637" t="s">
        <v>1140</v>
      </c>
      <c r="S17" s="56"/>
    </row>
    <row r="18" spans="1:19" ht="14.4">
      <c r="A18" s="1643"/>
      <c r="B18" s="1656"/>
      <c r="C18" s="1657"/>
      <c r="D18" s="1658"/>
      <c r="E18" s="1659" t="s">
        <v>1141</v>
      </c>
      <c r="F18" s="1660" t="s">
        <v>1142</v>
      </c>
      <c r="G18" s="1661" t="s">
        <v>1143</v>
      </c>
      <c r="H18" s="1038" t="s">
        <v>1144</v>
      </c>
      <c r="I18" s="1662" t="s">
        <v>1145</v>
      </c>
      <c r="J18" s="1136"/>
      <c r="K18" s="1038" t="s">
        <v>1146</v>
      </c>
      <c r="L18" s="1663" t="s">
        <v>1147</v>
      </c>
      <c r="M18" s="852" t="s">
        <v>1148</v>
      </c>
      <c r="N18" s="1038" t="s">
        <v>1146</v>
      </c>
      <c r="O18" s="1663" t="s">
        <v>1147</v>
      </c>
      <c r="P18" s="852" t="s">
        <v>1148</v>
      </c>
      <c r="R18" s="1023" t="s">
        <v>1149</v>
      </c>
      <c r="S18" s="1023" t="s">
        <v>1150</v>
      </c>
    </row>
    <row r="19" spans="1:19" ht="14.4">
      <c r="A19" s="1664"/>
      <c r="B19" s="47" t="s">
        <v>1123</v>
      </c>
      <c r="C19" s="3414" t="s">
        <v>3434</v>
      </c>
      <c r="D19" s="45">
        <f>ROUND($D$3*E19/$E$3,2)</f>
        <v>6043.28</v>
      </c>
      <c r="E19" s="53">
        <f t="shared" ref="E19:E26" si="1">SUM(F19:G19)</f>
        <v>64998.039999999994</v>
      </c>
      <c r="F19" s="2792">
        <f>'数据-基础表'!M13</f>
        <v>57578.159999999996</v>
      </c>
      <c r="G19" s="2793">
        <f>'数据-基础表'!O13</f>
        <v>7419.8799999999983</v>
      </c>
      <c r="H19" s="670">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6043.28</v>
      </c>
      <c r="S19" s="1024">
        <f t="shared" si="5"/>
        <v>64998.039999999994</v>
      </c>
    </row>
    <row r="20" spans="1:19" ht="14.4">
      <c r="A20" s="1667"/>
      <c r="B20" s="47" t="s">
        <v>1151</v>
      </c>
      <c r="C20" s="3414" t="s">
        <v>3435</v>
      </c>
      <c r="D20" s="45">
        <f t="shared" ref="D20:D26" si="6">ROUND($D$3*E20/$E$3,2)</f>
        <v>3172.69</v>
      </c>
      <c r="E20" s="53">
        <f t="shared" si="1"/>
        <v>34123.64</v>
      </c>
      <c r="F20" s="2792">
        <f>'数据-基础表'!I13</f>
        <v>8827.59</v>
      </c>
      <c r="G20" s="2793">
        <f>'数据-基础表'!K13</f>
        <v>25296.05</v>
      </c>
      <c r="H20" s="670">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3172.69</v>
      </c>
      <c r="S20" s="1024">
        <f t="shared" si="5"/>
        <v>34123.64</v>
      </c>
    </row>
    <row r="21" spans="1:19" ht="14.4">
      <c r="A21" s="1667"/>
      <c r="B21" s="47" t="s">
        <v>1151</v>
      </c>
      <c r="C21" s="3414" t="s">
        <v>3436</v>
      </c>
      <c r="D21" s="45">
        <f t="shared" si="6"/>
        <v>941.99</v>
      </c>
      <c r="E21" s="53">
        <f t="shared" si="1"/>
        <v>10131.459999999992</v>
      </c>
      <c r="F21" s="2792"/>
      <c r="G21" s="2793">
        <f>'数据-基础表'!U13</f>
        <v>10131.459999999992</v>
      </c>
      <c r="H21" s="670">
        <f t="shared" si="7"/>
        <v>0</v>
      </c>
      <c r="I21" s="48">
        <f t="shared" si="2"/>
        <v>0</v>
      </c>
      <c r="J21" s="1136"/>
      <c r="K21" s="1135">
        <f t="shared" si="3"/>
        <v>0</v>
      </c>
      <c r="L21" s="1023">
        <f t="shared" si="4"/>
        <v>0</v>
      </c>
      <c r="M21" s="1147">
        <f t="shared" si="8"/>
        <v>0</v>
      </c>
      <c r="N21" s="1665"/>
      <c r="O21" s="1666"/>
      <c r="P21" s="1147">
        <f t="shared" si="9"/>
        <v>0</v>
      </c>
      <c r="R21" s="1023">
        <f t="shared" si="5"/>
        <v>941.99</v>
      </c>
      <c r="S21" s="1024">
        <f t="shared" si="5"/>
        <v>10131.459999999992</v>
      </c>
    </row>
    <row r="22" spans="1:19" ht="14.4">
      <c r="A22" s="1667"/>
      <c r="B22" s="47" t="s">
        <v>1151</v>
      </c>
      <c r="C22" s="3415" t="s">
        <v>3438</v>
      </c>
      <c r="D22" s="45">
        <f t="shared" si="6"/>
        <v>268.83</v>
      </c>
      <c r="E22" s="53">
        <f t="shared" si="1"/>
        <v>2891.34</v>
      </c>
      <c r="F22" s="2794">
        <f>'数据-基础表'!Q13</f>
        <v>211.5</v>
      </c>
      <c r="G22" s="2795">
        <f>'数据-基础表'!S13</f>
        <v>2679.84</v>
      </c>
      <c r="H22" s="670">
        <f t="shared" si="7"/>
        <v>0</v>
      </c>
      <c r="I22" s="48">
        <f t="shared" si="2"/>
        <v>0</v>
      </c>
      <c r="J22" s="1136"/>
      <c r="K22" s="1135">
        <f t="shared" si="3"/>
        <v>0</v>
      </c>
      <c r="L22" s="1023">
        <f t="shared" si="4"/>
        <v>0</v>
      </c>
      <c r="M22" s="1147">
        <f t="shared" si="8"/>
        <v>0</v>
      </c>
      <c r="N22" s="1665"/>
      <c r="O22" s="1666"/>
      <c r="P22" s="1147">
        <f t="shared" si="9"/>
        <v>0</v>
      </c>
      <c r="R22" s="1023">
        <f t="shared" si="5"/>
        <v>268.83</v>
      </c>
      <c r="S22" s="1024">
        <f t="shared" si="5"/>
        <v>2891.34</v>
      </c>
    </row>
    <row r="23" spans="1:19" ht="14.4">
      <c r="A23" s="1667"/>
      <c r="B23" s="47" t="s">
        <v>1151</v>
      </c>
      <c r="C23" s="3415"/>
      <c r="D23" s="45">
        <f>ROUND($D$3*E23/$E$3,2)</f>
        <v>0</v>
      </c>
      <c r="E23" s="53">
        <f>SUM(F23:G23)</f>
        <v>0</v>
      </c>
      <c r="F23" s="2794"/>
      <c r="G23" s="2795"/>
      <c r="H23" s="670">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ht="14.4">
      <c r="A24" s="1667"/>
      <c r="B24" s="47" t="s">
        <v>1151</v>
      </c>
      <c r="C24" s="3415"/>
      <c r="D24" s="45">
        <f>ROUND($D$3*E24/$E$3,2)</f>
        <v>0</v>
      </c>
      <c r="E24" s="53">
        <f>SUM(F24:G24)</f>
        <v>0</v>
      </c>
      <c r="F24" s="2794"/>
      <c r="G24" s="2795"/>
      <c r="H24" s="670">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ht="14.4">
      <c r="A25" s="1667"/>
      <c r="B25" s="47" t="s">
        <v>1151</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ht="14.4">
      <c r="A26" s="1667"/>
      <c r="B26" s="47" t="s">
        <v>1151</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28.2" thickBot="1">
      <c r="A27" s="1667"/>
      <c r="B27" s="45"/>
      <c r="C27" s="1670" t="s">
        <v>1152</v>
      </c>
      <c r="D27" s="1137">
        <f>SUM(D19:D26)</f>
        <v>10426.789999999999</v>
      </c>
      <c r="E27" s="1138">
        <f>IF(SUM(E19:E26)='数据-基础表'!BA5,SUM(E19:E26),IF(F27="地上面积有误","面积有误","地下面积有误"))</f>
        <v>112144.47999999998</v>
      </c>
      <c r="F27" s="1137">
        <f>IF(SUM(F19:F26)=E8,SUM(F19:F26),"地上面积有误")</f>
        <v>66617.25</v>
      </c>
      <c r="G27" s="1139">
        <f>SUM(G19:G26)</f>
        <v>45527.229999999981</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t="str">
        <f>IF(SUM(R19:R26)=$D$3,SUM(R19:R26),SUM(R19:R26)&amp;"误差"&amp;ROUND(SUM(R19:R26)-$D$3,2))</f>
        <v>10426.79误差0.01</v>
      </c>
      <c r="S27" s="1023">
        <f>IF(SUM(S19:S26)=$E$3,SUM(S19:S26),SUM(S19:S26)&amp;"误差"&amp;ROUND(SUM(S19:S26)-E3,2))</f>
        <v>112144.47999999998</v>
      </c>
    </row>
    <row r="28" spans="1:19" ht="14.4">
      <c r="A28" s="1667"/>
      <c r="B28" s="47" t="s">
        <v>1153</v>
      </c>
      <c r="C28" s="1035" t="s">
        <v>1154</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7"/>
      <c r="B29" s="47" t="s">
        <v>1153</v>
      </c>
      <c r="C29" s="1671" t="s">
        <v>1155</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7"/>
      <c r="B30" s="47"/>
      <c r="C30" s="1672" t="s">
        <v>1152</v>
      </c>
      <c r="D30" s="1137">
        <f>SUM(D28:D29)</f>
        <v>0</v>
      </c>
      <c r="E30" s="1137">
        <f>SUM(E28:E29)</f>
        <v>0</v>
      </c>
      <c r="F30" s="1137">
        <f>SUM(F28:F29)</f>
        <v>0</v>
      </c>
      <c r="G30" s="1139">
        <f>SUM(G28:G29)</f>
        <v>0</v>
      </c>
      <c r="H30" s="2656"/>
      <c r="I30" s="2656"/>
      <c r="J30" s="2656"/>
      <c r="K30" s="2656"/>
      <c r="L30" s="2656"/>
      <c r="M30" s="2656"/>
      <c r="N30" s="2656"/>
      <c r="O30" s="2656"/>
      <c r="P30" s="2656"/>
    </row>
    <row r="31" spans="1:19" ht="15" thickBot="1">
      <c r="A31" s="1673"/>
      <c r="B31" s="1674"/>
      <c r="C31" s="832" t="s">
        <v>1156</v>
      </c>
      <c r="D31" s="676">
        <f>D27+D30</f>
        <v>10426.789999999999</v>
      </c>
      <c r="E31" s="676">
        <f>E27+E30</f>
        <v>112144.47999999998</v>
      </c>
      <c r="F31" s="677">
        <f>F27+F30</f>
        <v>66617.25</v>
      </c>
      <c r="G31" s="678">
        <f>G27+G30</f>
        <v>45527.229999999981</v>
      </c>
      <c r="H31" s="2656"/>
      <c r="I31" s="2656"/>
      <c r="J31" s="2656"/>
      <c r="K31" s="2656"/>
      <c r="L31" s="2656"/>
      <c r="M31" s="2656"/>
      <c r="N31" s="2656"/>
      <c r="O31" s="2656"/>
      <c r="P31" s="2656"/>
    </row>
    <row r="32" spans="1:19" ht="14.4">
      <c r="A32" s="1640"/>
      <c r="B32" s="1640" t="s">
        <v>1157</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L6" activePane="bottomRight" state="frozen"/>
      <selection activeCell="C50" sqref="C50"/>
      <selection pane="topRight" activeCell="C50" sqref="C50"/>
      <selection pane="bottomLeft" activeCell="C50" sqref="C50"/>
      <selection pane="bottomRight" activeCell="AA27" sqref="AA27"/>
    </sheetView>
  </sheetViews>
  <sheetFormatPr defaultColWidth="9" defaultRowHeight="13.2"/>
  <cols>
    <col min="1" max="1" width="20.88671875" style="1742" customWidth="1"/>
    <col min="2" max="2" width="12" style="1679" customWidth="1"/>
    <col min="3" max="3" width="12.77734375" style="1679" customWidth="1"/>
    <col min="4" max="4" width="9.109375" style="1743" customWidth="1"/>
    <col min="5" max="5" width="15" style="1679" bestFit="1" customWidth="1"/>
    <col min="6" max="9" width="8.88671875" style="1679" customWidth="1"/>
    <col min="10" max="10" width="10.88671875" style="1679" customWidth="1"/>
    <col min="11" max="12" width="12.33203125" style="1598" customWidth="1"/>
    <col min="13" max="13" width="8.6640625" style="1679" customWidth="1"/>
    <col min="14" max="14" width="11.88671875" style="1679" customWidth="1"/>
    <col min="15" max="15" width="8.44140625" style="1679" customWidth="1"/>
    <col min="16" max="17" width="10.88671875" style="1679" customWidth="1"/>
    <col min="18" max="19" width="12.44140625" style="1679" customWidth="1"/>
    <col min="20" max="20" width="12.109375" style="1679" customWidth="1"/>
    <col min="21" max="21" width="9" style="1679" customWidth="1"/>
    <col min="22" max="22" width="8.88671875" style="1679" customWidth="1"/>
    <col min="23" max="30" width="6.77734375" style="1679" customWidth="1"/>
    <col min="31" max="31" width="8" style="1679" customWidth="1"/>
    <col min="32" max="34" width="7.21875" style="1679" customWidth="1"/>
    <col min="35" max="39" width="8" style="1679" customWidth="1"/>
    <col min="40" max="40" width="13.77734375" style="1678"/>
    <col min="41" max="41" width="11.6640625" style="1678" customWidth="1"/>
    <col min="42" max="42" width="9.77734375" style="1678" customWidth="1"/>
    <col min="43" max="67" width="9" style="1678"/>
    <col min="68" max="16384" width="9" style="1679"/>
  </cols>
  <sheetData>
    <row r="1" spans="1:67" ht="18" thickBot="1">
      <c r="A1" s="1676" t="s">
        <v>1158</v>
      </c>
      <c r="B1" s="679"/>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 thickBot="1">
      <c r="A2" s="1680" t="s">
        <v>1159</v>
      </c>
      <c r="B2" s="1042">
        <f>项目基本情况!D3</f>
        <v>45295</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4.4"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55"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57.6">
      <c r="A5" s="1692" t="s">
        <v>1166</v>
      </c>
      <c r="B5" s="1693" t="s">
        <v>1167</v>
      </c>
      <c r="C5" s="1694" t="s">
        <v>1168</v>
      </c>
      <c r="D5" s="1695" t="s">
        <v>1169</v>
      </c>
      <c r="E5" s="1044" t="s">
        <v>1170</v>
      </c>
      <c r="F5" s="1696" t="s">
        <v>1171</v>
      </c>
      <c r="G5" s="1044" t="s">
        <v>1172</v>
      </c>
      <c r="H5" s="1044" t="s">
        <v>1173</v>
      </c>
      <c r="I5" s="1044" t="s">
        <v>1174</v>
      </c>
      <c r="J5" s="1697" t="s">
        <v>1175</v>
      </c>
      <c r="K5" s="1698" t="s">
        <v>1176</v>
      </c>
      <c r="L5" s="1699" t="s">
        <v>1177</v>
      </c>
      <c r="M5" s="1700" t="s">
        <v>1178</v>
      </c>
      <c r="N5" s="1701" t="s">
        <v>3439</v>
      </c>
      <c r="O5" s="1699" t="s">
        <v>1179</v>
      </c>
      <c r="P5" s="1702" t="s">
        <v>1180</v>
      </c>
      <c r="Q5" s="61" t="s">
        <v>1181</v>
      </c>
      <c r="R5" s="1703" t="s">
        <v>1182</v>
      </c>
      <c r="S5" s="1704" t="s">
        <v>1183</v>
      </c>
      <c r="T5" s="1705" t="s">
        <v>1184</v>
      </c>
      <c r="U5" s="1043" t="s">
        <v>1185</v>
      </c>
      <c r="V5" s="1044" t="s">
        <v>1186</v>
      </c>
      <c r="W5" s="1044" t="s">
        <v>1187</v>
      </c>
      <c r="X5" s="63"/>
      <c r="Y5" s="62" t="s">
        <v>1188</v>
      </c>
      <c r="Z5" s="1706" t="s">
        <v>1185</v>
      </c>
      <c r="AA5" s="1044" t="s">
        <v>1186</v>
      </c>
      <c r="AB5" s="1044" t="s">
        <v>1187</v>
      </c>
      <c r="AC5" s="63"/>
      <c r="AD5" s="63" t="s">
        <v>1188</v>
      </c>
      <c r="AE5" s="1043" t="s">
        <v>1189</v>
      </c>
      <c r="AF5" s="1044" t="s">
        <v>1190</v>
      </c>
      <c r="AG5" s="62" t="s">
        <v>1191</v>
      </c>
      <c r="AH5" s="1043" t="s">
        <v>1192</v>
      </c>
      <c r="AI5" s="1706" t="s">
        <v>1193</v>
      </c>
      <c r="AJ5" s="1706" t="s">
        <v>1194</v>
      </c>
      <c r="AK5" s="1044" t="s">
        <v>1195</v>
      </c>
      <c r="AL5" s="1044" t="s">
        <v>1196</v>
      </c>
      <c r="AM5" s="62" t="s">
        <v>1197</v>
      </c>
      <c r="AN5" s="1707" t="s">
        <v>1198</v>
      </c>
      <c r="AO5" s="1559" t="s">
        <v>1199</v>
      </c>
      <c r="AP5" s="1025"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3.8">
      <c r="A6" s="1709" t="str">
        <f>'数据-汇总表'!C19</f>
        <v>办公</v>
      </c>
      <c r="B6" s="1710" t="str">
        <f>IF(A6=0,"","经营性")</f>
        <v>经营性</v>
      </c>
      <c r="C6" s="1711" t="s">
        <v>21</v>
      </c>
      <c r="D6" s="855">
        <f>SUMIF(项目基本情况!C$12:I$12,C6,项目基本情况!C$14:I$14)</f>
        <v>50</v>
      </c>
      <c r="E6" s="854">
        <f>IF(B6="","",SUMIF(项目基本情况!C$12:I$12,C6,项目基本情况!C$13:I$13))</f>
        <v>56178</v>
      </c>
      <c r="F6" s="64">
        <f>SUMIF(项目基本情况!C$12:I$12,C6,项目基本情况!C$15:I$15)</f>
        <v>29.81</v>
      </c>
      <c r="G6" s="65">
        <f>IF(ISERROR(ROUND(POWER(1+H6,D6-F6)*(POWER(1+H6,F6)-1)/(POWER(1+H6,D6)-1),3)),0,ROUND(POWER(1+H6,D6-F6)*(POWER(1+H6,F6)-1)/(POWER(1+H6,D6)-1),3))</f>
        <v>0.84</v>
      </c>
      <c r="H6" s="732">
        <v>0.05</v>
      </c>
      <c r="I6" s="732">
        <v>5.5E-2</v>
      </c>
      <c r="J6" s="66">
        <v>7.0000000000000007E-2</v>
      </c>
      <c r="K6" s="1027">
        <f>SUMIF('数据-汇总表'!C$19:C$33,A6,'数据-汇总表'!E$19:E$33)</f>
        <v>64998.039999999994</v>
      </c>
      <c r="L6" s="733">
        <v>6500</v>
      </c>
      <c r="M6" s="67">
        <f t="shared" ref="M6:M14" si="0">ROUND(K6*L6/10000,0)</f>
        <v>42249</v>
      </c>
      <c r="N6" s="731">
        <f>ROUND(1-(2024-2023)/60,2)</f>
        <v>0.98</v>
      </c>
      <c r="O6" s="67" t="str">
        <f>IF($N$5="成新度","——",ROUND(M6*N6,0))</f>
        <v>——</v>
      </c>
      <c r="P6" s="68" t="str">
        <f>IF($N$5="成新度","——",M6-O6)</f>
        <v>——</v>
      </c>
      <c r="Q6" s="734">
        <v>0.25</v>
      </c>
      <c r="R6" s="69">
        <f ca="1">SUMIF('数据-汇总表'!C$19:C$33,A6,'数据-汇总表'!R$19:R$27)</f>
        <v>6043.28</v>
      </c>
      <c r="S6" s="51">
        <f>IF('数据-汇总表'!$I$17="按面积比例",SUMIF('数据-汇总表'!C$19:C$33,A6,'数据-汇总表'!K$19:K$33),SUMIF('数据-汇总表'!C$19:C$33,A6,'数据-汇总表'!N$19:N$33))</f>
        <v>0</v>
      </c>
      <c r="T6" s="1169">
        <f>ROUND($L$14*S6/10000,0)</f>
        <v>0</v>
      </c>
      <c r="U6" s="3425">
        <f>X29</f>
        <v>10.4</v>
      </c>
      <c r="V6" s="70">
        <v>2.5000000000000001E-2</v>
      </c>
      <c r="W6" s="70">
        <v>0.1</v>
      </c>
      <c r="X6" s="1037"/>
      <c r="Y6" s="71">
        <f>N6</f>
        <v>0.98</v>
      </c>
      <c r="Z6" s="72"/>
      <c r="AA6" s="66"/>
      <c r="AB6" s="66"/>
      <c r="AC6" s="1037"/>
      <c r="AD6" s="73"/>
      <c r="AE6" s="1038">
        <f ca="1">IF(AN6="",0,SUMIF(INDIRECT("'"&amp;AN6&amp;"'"&amp;"!E:E"),$AE$5,INDIRECT("'"&amp;AN6&amp;"'"&amp;"!F:F")))</f>
        <v>29.81</v>
      </c>
      <c r="AF6" s="1345"/>
      <c r="AG6" s="138">
        <f>IF(AF6="",0,AE6-AF6)</f>
        <v>0</v>
      </c>
      <c r="AH6" s="74"/>
      <c r="AI6" s="76">
        <v>365</v>
      </c>
      <c r="AJ6" s="77"/>
      <c r="AK6" s="78">
        <v>5.0000000000000001E-3</v>
      </c>
      <c r="AL6" s="79">
        <v>1E-3</v>
      </c>
      <c r="AM6" s="80">
        <v>5.0000000000000001E-3</v>
      </c>
      <c r="AN6" s="1712" t="s">
        <v>3453</v>
      </c>
      <c r="AO6" s="52">
        <f ca="1">SUMIF(INDIRECT("'"&amp;AN6&amp;"'"&amp;"!A:A"),"总价",INDIRECT("'"&amp;AN6&amp;"'"&amp;"!B:B"))</f>
        <v>349586</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3.8">
      <c r="A7" s="1709" t="str">
        <f>'数据-汇总表'!C20</f>
        <v>商业</v>
      </c>
      <c r="B7" s="1710" t="str">
        <f t="shared" ref="B7:B13" si="1">IF(A7=0,"","经营性")</f>
        <v>经营性</v>
      </c>
      <c r="C7" s="1711" t="s">
        <v>672</v>
      </c>
      <c r="D7" s="855">
        <f>SUMIF(项目基本情况!C$12:I$12,C7,项目基本情况!C$14:I$14)</f>
        <v>40</v>
      </c>
      <c r="E7" s="854">
        <f>IF(B7="","",SUMIF(项目基本情况!C$12:I$12,C7,项目基本情况!C$13:I$13))</f>
        <v>52525</v>
      </c>
      <c r="F7" s="64">
        <f>SUMIF(项目基本情况!C$12:I$12,C7,项目基本情况!C$15:I$15)</f>
        <v>19.8</v>
      </c>
      <c r="G7" s="65">
        <f t="shared" ref="G7:G11" si="2">IF(ISERROR(ROUND(POWER(1+H7,D7-F7)*(POWER(1+H7,F7)-1)/(POWER(1+H7,D7)-1),3)),0,ROUND(POWER(1+H7,D7-F7)*(POWER(1+H7,F7)-1)/(POWER(1+H7,D7)-1),3))</f>
        <v>0.74099999999999999</v>
      </c>
      <c r="H7" s="732">
        <v>5.5E-2</v>
      </c>
      <c r="I7" s="732">
        <v>0.06</v>
      </c>
      <c r="J7" s="66">
        <v>7.0000000000000007E-2</v>
      </c>
      <c r="K7" s="1027">
        <f>SUMIF('数据-汇总表'!C$19:C$33,A7,'数据-汇总表'!E$19:E$33)</f>
        <v>34123.64</v>
      </c>
      <c r="L7" s="733">
        <v>6000</v>
      </c>
      <c r="M7" s="67">
        <f t="shared" si="0"/>
        <v>20474</v>
      </c>
      <c r="N7" s="731">
        <f>N6</f>
        <v>0.98</v>
      </c>
      <c r="O7" s="67" t="str">
        <f t="shared" ref="O7:O14" si="3">IF($N$5="成新度","——",ROUND(M7*N7,0))</f>
        <v>——</v>
      </c>
      <c r="P7" s="68" t="str">
        <f t="shared" ref="P7:P14" si="4">IF($N$5="成新度","——",M7-O7)</f>
        <v>——</v>
      </c>
      <c r="Q7" s="734">
        <v>0.25</v>
      </c>
      <c r="R7" s="69">
        <f ca="1">SUMIF('数据-汇总表'!C$19:C$33,A7,'数据-汇总表'!R$19:R$27)</f>
        <v>3172.69</v>
      </c>
      <c r="S7" s="51">
        <f>IF('数据-汇总表'!$I$17="按面积比例",SUMIF('数据-汇总表'!C$19:C$33,A7,'数据-汇总表'!K$19:K$33),SUMIF('数据-汇总表'!C$19:C$33,A7,'数据-汇总表'!N$19:N$33))</f>
        <v>0</v>
      </c>
      <c r="T7" s="1169">
        <f t="shared" ref="T7:T13" si="5">ROUND($L$14*S7/10000,0)</f>
        <v>0</v>
      </c>
      <c r="U7" s="3425">
        <f>X24</f>
        <v>7.88</v>
      </c>
      <c r="V7" s="70">
        <v>2.5000000000000001E-2</v>
      </c>
      <c r="W7" s="70">
        <v>0.1</v>
      </c>
      <c r="X7" s="1037"/>
      <c r="Y7" s="71">
        <f>Y6</f>
        <v>0.98</v>
      </c>
      <c r="Z7" s="72"/>
      <c r="AA7" s="66"/>
      <c r="AB7" s="66"/>
      <c r="AC7" s="1037"/>
      <c r="AD7" s="73"/>
      <c r="AE7" s="1038">
        <f t="shared" ref="AE7:AE13" ca="1" si="6">IF(AN7="",0,SUMIF(INDIRECT("'"&amp;AN7&amp;"'"&amp;"!E:E"),$AE$5,INDIRECT("'"&amp;AN7&amp;"'"&amp;"!F:F")))</f>
        <v>19.8</v>
      </c>
      <c r="AF7" s="1345"/>
      <c r="AG7" s="138">
        <f t="shared" ref="AG7:AG13" si="7">IF(AF7="",0,AE7-AF7)</f>
        <v>0</v>
      </c>
      <c r="AH7" s="74"/>
      <c r="AI7" s="76">
        <v>365</v>
      </c>
      <c r="AJ7" s="77"/>
      <c r="AK7" s="78">
        <v>5.0000000000000001E-3</v>
      </c>
      <c r="AL7" s="78">
        <f t="shared" ref="AL7" si="8">AL6</f>
        <v>1E-3</v>
      </c>
      <c r="AM7" s="78">
        <v>5.0000000000000001E-3</v>
      </c>
      <c r="AN7" s="1712" t="s">
        <v>3455</v>
      </c>
      <c r="AO7" s="52">
        <f t="shared" ref="AO7:AO13" ca="1" si="9">SUMIF(INDIRECT("'"&amp;AN7&amp;"'"&amp;"!A:A"),"总价",INDIRECT("'"&amp;AN7&amp;"'"&amp;"!B:B"))</f>
        <v>103904</v>
      </c>
      <c r="AP7" s="1713">
        <f t="shared" ref="AP7:AP13" si="10">IF(C7="住宅",K7*L7,0)</f>
        <v>0</v>
      </c>
      <c r="AQ7" s="52">
        <f t="shared" ref="AQ7:AQ13" si="11">ROUND($L$14*$N$14*S7/10000,0)</f>
        <v>0</v>
      </c>
      <c r="AR7" s="52">
        <f t="shared" ref="AR7:AR13" si="12">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3.8">
      <c r="A8" s="1709" t="str">
        <f>'数据-汇总表'!C21</f>
        <v>车库</v>
      </c>
      <c r="B8" s="1710" t="str">
        <f t="shared" si="1"/>
        <v>经营性</v>
      </c>
      <c r="C8" s="1711" t="s">
        <v>3334</v>
      </c>
      <c r="D8" s="855">
        <f>SUMIF(项目基本情况!C$12:I$12,C8,项目基本情况!C$14:I$14)</f>
        <v>50</v>
      </c>
      <c r="E8" s="854">
        <f>IF(B8="","",SUMIF(项目基本情况!C$12:I$12,C8,项目基本情况!C$13:I$13))</f>
        <v>56178</v>
      </c>
      <c r="F8" s="64">
        <f>SUMIF(项目基本情况!C$12:I$12,C8,项目基本情况!C$15:I$15)</f>
        <v>29.81</v>
      </c>
      <c r="G8" s="65">
        <f t="shared" si="2"/>
        <v>0.82199999999999995</v>
      </c>
      <c r="H8" s="732">
        <v>4.4999999999999998E-2</v>
      </c>
      <c r="I8" s="732">
        <v>0.05</v>
      </c>
      <c r="J8" s="66">
        <v>7.0000000000000007E-2</v>
      </c>
      <c r="K8" s="1027">
        <f>SUMIF('数据-汇总表'!C$19:C$33,A8,'数据-汇总表'!E$19:E$33)</f>
        <v>10131.459999999992</v>
      </c>
      <c r="L8" s="733">
        <v>5000</v>
      </c>
      <c r="M8" s="67">
        <f>ROUND(K8*L8/10000,0)</f>
        <v>5066</v>
      </c>
      <c r="N8" s="731">
        <f>N6</f>
        <v>0.98</v>
      </c>
      <c r="O8" s="67" t="str">
        <f t="shared" si="3"/>
        <v>——</v>
      </c>
      <c r="P8" s="68" t="str">
        <f t="shared" si="4"/>
        <v>——</v>
      </c>
      <c r="Q8" s="734">
        <v>0.1</v>
      </c>
      <c r="R8" s="69">
        <f ca="1">SUMIF('数据-汇总表'!C$19:C$33,A8,'数据-汇总表'!R$19:R$27)</f>
        <v>941.99</v>
      </c>
      <c r="S8" s="51">
        <f>IF('数据-汇总表'!$I$17="按面积比例",SUMIF('数据-汇总表'!C$19:C$33,A8,'数据-汇总表'!K$19:K$33),SUMIF('数据-汇总表'!C$19:C$33,A8,'数据-汇总表'!N$19:N$33))</f>
        <v>0</v>
      </c>
      <c r="T8" s="1169">
        <f t="shared" si="5"/>
        <v>0</v>
      </c>
      <c r="U8" s="3426">
        <v>1200</v>
      </c>
      <c r="V8" s="735">
        <v>0.02</v>
      </c>
      <c r="W8" s="735">
        <v>0.05</v>
      </c>
      <c r="X8" s="1037"/>
      <c r="Y8" s="71">
        <f>Y6</f>
        <v>0.98</v>
      </c>
      <c r="Z8" s="72"/>
      <c r="AA8" s="66"/>
      <c r="AB8" s="66"/>
      <c r="AC8" s="1037"/>
      <c r="AD8" s="73"/>
      <c r="AE8" s="1038">
        <f t="shared" ca="1" si="6"/>
        <v>29.81</v>
      </c>
      <c r="AF8" s="1345"/>
      <c r="AG8" s="138">
        <f t="shared" si="7"/>
        <v>0</v>
      </c>
      <c r="AH8" s="3499">
        <v>110</v>
      </c>
      <c r="AI8" s="76">
        <v>12</v>
      </c>
      <c r="AJ8" s="77"/>
      <c r="AK8" s="736">
        <v>5.0000000000000001E-3</v>
      </c>
      <c r="AL8" s="736">
        <f t="shared" ref="AL8:AL9" si="13">AL6</f>
        <v>1E-3</v>
      </c>
      <c r="AM8" s="736">
        <v>5.0000000000000001E-3</v>
      </c>
      <c r="AN8" s="1712" t="s">
        <v>3457</v>
      </c>
      <c r="AO8" s="52">
        <f t="shared" ca="1" si="9"/>
        <v>1935</v>
      </c>
      <c r="AP8" s="1713">
        <f t="shared" si="10"/>
        <v>0</v>
      </c>
      <c r="AQ8" s="52">
        <f t="shared" si="11"/>
        <v>0</v>
      </c>
      <c r="AR8" s="52">
        <f t="shared" si="12"/>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3.8">
      <c r="A9" s="1709" t="str">
        <f>'数据-汇总表'!C22</f>
        <v>库房</v>
      </c>
      <c r="B9" s="1710" t="str">
        <f t="shared" si="1"/>
        <v>经营性</v>
      </c>
      <c r="C9" s="1711" t="s">
        <v>3335</v>
      </c>
      <c r="D9" s="855">
        <f>SUMIF(项目基本情况!C$12:I$12,C9,项目基本情况!C$14:I$14)</f>
        <v>50</v>
      </c>
      <c r="E9" s="854">
        <f>IF(B9="","",SUMIF(项目基本情况!C$12:I$12,C9,项目基本情况!C$13:I$13))</f>
        <v>56178</v>
      </c>
      <c r="F9" s="64">
        <f>SUMIF(项目基本情况!C$12:I$12,C9,项目基本情况!C$15:I$15)</f>
        <v>29.81</v>
      </c>
      <c r="G9" s="65">
        <f t="shared" si="2"/>
        <v>0.82199999999999995</v>
      </c>
      <c r="H9" s="732">
        <v>4.4999999999999998E-2</v>
      </c>
      <c r="I9" s="732">
        <v>0.05</v>
      </c>
      <c r="J9" s="66">
        <v>7.0000000000000007E-2</v>
      </c>
      <c r="K9" s="1027">
        <f>SUMIF('数据-汇总表'!C$19:C$33,A9,'数据-汇总表'!E$19:E$33)</f>
        <v>2891.34</v>
      </c>
      <c r="L9" s="733">
        <v>5000</v>
      </c>
      <c r="M9" s="67">
        <f t="shared" si="0"/>
        <v>1446</v>
      </c>
      <c r="N9" s="731">
        <f>N6</f>
        <v>0.98</v>
      </c>
      <c r="O9" s="67" t="str">
        <f t="shared" si="3"/>
        <v>——</v>
      </c>
      <c r="P9" s="68" t="str">
        <f t="shared" si="4"/>
        <v>——</v>
      </c>
      <c r="Q9" s="81">
        <v>0.1</v>
      </c>
      <c r="R9" s="69">
        <f ca="1">SUMIF('数据-汇总表'!C$19:C$33,A9,'数据-汇总表'!R$19:R$27)</f>
        <v>268.83</v>
      </c>
      <c r="S9" s="51">
        <f>IF('数据-汇总表'!$I$17="按面积比例",SUMIF('数据-汇总表'!C$19:C$33,A9,'数据-汇总表'!K$19:K$33),SUMIF('数据-汇总表'!C$19:C$33,A9,'数据-汇总表'!N$19:N$33))</f>
        <v>0</v>
      </c>
      <c r="T9" s="1169">
        <f t="shared" si="5"/>
        <v>0</v>
      </c>
      <c r="U9" s="3425">
        <v>3</v>
      </c>
      <c r="V9" s="70">
        <v>0.02</v>
      </c>
      <c r="W9" s="70">
        <v>0.05</v>
      </c>
      <c r="X9" s="1037"/>
      <c r="Y9" s="71">
        <f>Y6</f>
        <v>0.98</v>
      </c>
      <c r="Z9" s="72"/>
      <c r="AA9" s="66"/>
      <c r="AB9" s="66"/>
      <c r="AC9" s="1037"/>
      <c r="AD9" s="73"/>
      <c r="AE9" s="1038">
        <f t="shared" ca="1" si="6"/>
        <v>29.81</v>
      </c>
      <c r="AF9" s="1345"/>
      <c r="AG9" s="138">
        <f t="shared" si="7"/>
        <v>0</v>
      </c>
      <c r="AH9" s="74"/>
      <c r="AI9" s="76">
        <v>365</v>
      </c>
      <c r="AJ9" s="77"/>
      <c r="AK9" s="736">
        <v>5.0000000000000001E-3</v>
      </c>
      <c r="AL9" s="736">
        <f t="shared" si="13"/>
        <v>1E-3</v>
      </c>
      <c r="AM9" s="736">
        <v>5.0000000000000001E-3</v>
      </c>
      <c r="AN9" s="1712" t="s">
        <v>3459</v>
      </c>
      <c r="AO9" s="52">
        <f t="shared" ca="1" si="9"/>
        <v>4668</v>
      </c>
      <c r="AP9" s="1713">
        <f t="shared" si="10"/>
        <v>0</v>
      </c>
      <c r="AQ9" s="52">
        <f t="shared" si="11"/>
        <v>0</v>
      </c>
      <c r="AR9" s="52">
        <f t="shared" si="12"/>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3.8">
      <c r="A10" s="1709">
        <f>'数据-汇总表'!C23</f>
        <v>0</v>
      </c>
      <c r="B10" s="1710" t="str">
        <f t="shared" si="1"/>
        <v/>
      </c>
      <c r="C10" s="1711"/>
      <c r="D10" s="855">
        <f>SUMIF(项目基本情况!C$12:I$12,C10,项目基本情况!C$14:I$14)</f>
        <v>0</v>
      </c>
      <c r="E10" s="854"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9"/>
        <v>#REF!</v>
      </c>
      <c r="AP10" s="1713">
        <f t="shared" si="10"/>
        <v>0</v>
      </c>
      <c r="AQ10" s="52">
        <f t="shared" si="11"/>
        <v>0</v>
      </c>
      <c r="AR10" s="52">
        <f t="shared" si="12"/>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3.8">
      <c r="A11" s="1709">
        <f>'数据-汇总表'!C24</f>
        <v>0</v>
      </c>
      <c r="B11" s="1710" t="str">
        <f t="shared" si="1"/>
        <v/>
      </c>
      <c r="C11" s="1711"/>
      <c r="D11" s="855">
        <f>SUMIF(项目基本情况!C$12:I$12,C11,项目基本情况!C$14:I$14)</f>
        <v>0</v>
      </c>
      <c r="E11" s="854"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9"/>
        <v>#REF!</v>
      </c>
      <c r="AP11" s="1713">
        <f t="shared" si="10"/>
        <v>0</v>
      </c>
      <c r="AQ11" s="52">
        <f t="shared" si="11"/>
        <v>0</v>
      </c>
      <c r="AR11" s="52">
        <f t="shared" si="12"/>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3.8">
      <c r="A12" s="1709">
        <f>'数据-汇总表'!C25</f>
        <v>0</v>
      </c>
      <c r="B12" s="1710" t="str">
        <f t="shared" si="1"/>
        <v/>
      </c>
      <c r="C12" s="1711"/>
      <c r="D12" s="855">
        <f>SUMIF(项目基本情况!C$12:I$12,C12,项目基本情况!C$14:I$14)</f>
        <v>0</v>
      </c>
      <c r="E12" s="85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9"/>
        <v>#REF!</v>
      </c>
      <c r="AP12" s="1713">
        <f t="shared" si="10"/>
        <v>0</v>
      </c>
      <c r="AQ12" s="52">
        <f t="shared" si="11"/>
        <v>0</v>
      </c>
      <c r="AR12" s="52">
        <f t="shared" si="12"/>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3.8">
      <c r="A13" s="1709">
        <f>'数据-汇总表'!C26</f>
        <v>0</v>
      </c>
      <c r="B13" s="1710" t="str">
        <f t="shared" si="1"/>
        <v/>
      </c>
      <c r="C13" s="1711"/>
      <c r="D13" s="855">
        <f>SUMIF(项目基本情况!C$12:I$12,C13,项目基本情况!C$14:I$14)</f>
        <v>0</v>
      </c>
      <c r="E13" s="85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9"/>
        <v>#REF!</v>
      </c>
      <c r="AP13" s="1713">
        <f t="shared" si="10"/>
        <v>0</v>
      </c>
      <c r="AQ13" s="52">
        <f t="shared" si="11"/>
        <v>0</v>
      </c>
      <c r="AR13" s="52">
        <f t="shared" si="12"/>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4">
      <c r="A14" s="1714" t="s">
        <v>1203</v>
      </c>
      <c r="B14" s="1710" t="s">
        <v>1204</v>
      </c>
      <c r="C14" s="1715" t="s">
        <v>1203</v>
      </c>
      <c r="D14" s="855"/>
      <c r="E14" s="854"/>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70"/>
      <c r="V14" s="1032"/>
      <c r="W14" s="1032"/>
      <c r="X14" s="1033"/>
      <c r="Y14" s="1034"/>
      <c r="Z14" s="1035"/>
      <c r="AA14" s="1036"/>
      <c r="AB14" s="1036"/>
      <c r="AC14" s="1037"/>
      <c r="AD14" s="1033"/>
      <c r="AE14" s="1038"/>
      <c r="AF14" s="52"/>
      <c r="AG14" s="138"/>
      <c r="AH14" s="1038"/>
      <c r="AI14" s="1354"/>
      <c r="AJ14" s="704"/>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8.8">
      <c r="A15" s="1714" t="s">
        <v>1205</v>
      </c>
      <c r="B15" s="1710" t="s">
        <v>1204</v>
      </c>
      <c r="C15" s="1715" t="s">
        <v>1206</v>
      </c>
      <c r="D15" s="855"/>
      <c r="E15" s="854"/>
      <c r="F15" s="64"/>
      <c r="G15" s="65"/>
      <c r="H15" s="1026"/>
      <c r="I15" s="1026"/>
      <c r="J15" s="1026"/>
      <c r="K15" s="1027">
        <f>SUMIF('数据-汇总表'!C$19:C$33,A15,'数据-汇总表'!E$19:E$33)</f>
        <v>0</v>
      </c>
      <c r="L15" s="1028"/>
      <c r="M15" s="67"/>
      <c r="N15" s="1029"/>
      <c r="O15" s="67"/>
      <c r="P15" s="68"/>
      <c r="Q15" s="1030"/>
      <c r="R15" s="69"/>
      <c r="S15" s="51"/>
      <c r="T15" s="1169"/>
      <c r="U15" s="670"/>
      <c r="V15" s="1032"/>
      <c r="W15" s="1032"/>
      <c r="X15" s="1033"/>
      <c r="Y15" s="1034"/>
      <c r="Z15" s="1035"/>
      <c r="AA15" s="1036"/>
      <c r="AB15" s="1036"/>
      <c r="AC15" s="1037"/>
      <c r="AD15" s="1033"/>
      <c r="AE15" s="1038"/>
      <c r="AF15" s="52"/>
      <c r="AG15" s="138"/>
      <c r="AH15" s="1038"/>
      <c r="AI15" s="1354"/>
      <c r="AJ15" s="704"/>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 thickBot="1">
      <c r="A16" s="1716" t="s">
        <v>1207</v>
      </c>
      <c r="B16" s="88"/>
      <c r="C16" s="830"/>
      <c r="D16" s="1717"/>
      <c r="E16" s="88"/>
      <c r="F16" s="88"/>
      <c r="G16" s="89">
        <f>ROUND(SUMPRODUCT(G6:G13,K6:K13)/SUMPRODUCT((G6:G13&gt;0)*(K6:K13)),3)</f>
        <v>0.80800000000000005</v>
      </c>
      <c r="H16" s="90">
        <f>ROUND(SUMPRODUCT(H6:H13,K6:K13)/SUMPRODUCT((H6:H13&gt;0)*(K6:K13)),3)</f>
        <v>5.0999999999999997E-2</v>
      </c>
      <c r="I16" s="91"/>
      <c r="J16" s="91"/>
      <c r="K16" s="92">
        <f>SUM(K6:K15)</f>
        <v>112144.47999999998</v>
      </c>
      <c r="L16" s="93">
        <f>ROUND(M16*10000/SUM(K6:K14),0)</f>
        <v>6174</v>
      </c>
      <c r="M16" s="93">
        <f>SUM(M6:M14)</f>
        <v>69235</v>
      </c>
      <c r="N16" s="94">
        <f>ROUND(SUMPRODUCT(M6:M14,N6:N14)/M16,3)</f>
        <v>0.98</v>
      </c>
      <c r="O16" s="93">
        <f>SUM(O6:O14)</f>
        <v>0</v>
      </c>
      <c r="P16" s="93">
        <f>SUM(P6:P14)</f>
        <v>0</v>
      </c>
      <c r="Q16" s="95">
        <f>ROUND(SUMPRODUCT(Q6:Q13,K6:K13)/SUMPRODUCT((Q6:Q13&gt;0)*(K6:K13)),2)</f>
        <v>0.23</v>
      </c>
      <c r="R16" s="1031">
        <f ca="1">SUM(R6:R13)</f>
        <v>10426.789999999999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8"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1208</v>
      </c>
      <c r="B18" s="2682"/>
      <c r="C18" s="2670"/>
      <c r="D18" s="2673"/>
      <c r="E18" s="2670"/>
      <c r="F18" s="2670"/>
      <c r="G18" s="2670"/>
      <c r="H18" s="2670"/>
      <c r="I18" s="2670"/>
      <c r="J18" s="2670"/>
      <c r="K18" s="2669"/>
      <c r="L18" s="2669"/>
      <c r="M18" s="3500" t="s">
        <v>3440</v>
      </c>
      <c r="N18" s="2668">
        <v>2023</v>
      </c>
      <c r="O18" s="2668"/>
      <c r="P18" s="2668"/>
      <c r="Q18" s="2668"/>
      <c r="R18" s="2668"/>
      <c r="S18" s="2668"/>
      <c r="T18" s="2668"/>
      <c r="U18" s="3500" t="s">
        <v>3448</v>
      </c>
      <c r="V18" s="3500" t="s">
        <v>3447</v>
      </c>
      <c r="W18" s="3500" t="s">
        <v>3450</v>
      </c>
      <c r="X18" s="3500" t="s">
        <v>3451</v>
      </c>
      <c r="Y18" s="3500" t="s">
        <v>3452</v>
      </c>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19" t="s">
        <v>1209</v>
      </c>
      <c r="B19" s="103">
        <v>0</v>
      </c>
      <c r="C19" s="2796" t="s">
        <v>2302</v>
      </c>
      <c r="D19" s="2673"/>
      <c r="E19" s="2670"/>
      <c r="F19" s="2670"/>
      <c r="G19" s="2670"/>
      <c r="H19" s="2670"/>
      <c r="I19" s="2670"/>
      <c r="J19" s="2670"/>
      <c r="K19" s="2669"/>
      <c r="L19" s="2669"/>
      <c r="M19" s="2668"/>
      <c r="N19" s="2668"/>
      <c r="O19" s="2668"/>
      <c r="P19" s="2668"/>
      <c r="Q19" s="2668"/>
      <c r="R19" s="2668"/>
      <c r="S19" s="2668"/>
      <c r="T19" s="2668"/>
      <c r="U19" s="1678" t="s">
        <v>3449</v>
      </c>
      <c r="V19" s="1678">
        <f>抵押物清单!C13+抵押物清单!C14</f>
        <v>3895.81</v>
      </c>
      <c r="W19" s="2668">
        <v>0.65</v>
      </c>
      <c r="X19" s="2668">
        <f>ROUND($X$21*W19,1)</f>
        <v>8.5</v>
      </c>
      <c r="Y19" s="2668">
        <f>V19*X19</f>
        <v>33114.385000000002</v>
      </c>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0" t="s">
        <v>1210</v>
      </c>
      <c r="B20" s="104">
        <v>3</v>
      </c>
      <c r="C20" s="2797" t="s">
        <v>2300</v>
      </c>
      <c r="D20" s="2673"/>
      <c r="E20" s="2670"/>
      <c r="F20" s="2670"/>
      <c r="G20" s="2670"/>
      <c r="H20" s="2670"/>
      <c r="I20" s="2670"/>
      <c r="J20" s="2670"/>
      <c r="K20" s="2669"/>
      <c r="L20" s="2669"/>
      <c r="M20" s="2668"/>
      <c r="N20" s="2668"/>
      <c r="O20" s="2668"/>
      <c r="P20" s="2668"/>
      <c r="Q20" s="2668"/>
      <c r="R20" s="2668"/>
      <c r="S20" s="2668"/>
      <c r="T20" s="2668"/>
      <c r="U20" s="2668" t="s">
        <v>3441</v>
      </c>
      <c r="V20" s="2668">
        <f>抵押物清单!C11+抵押物清单!C12</f>
        <v>3225.25</v>
      </c>
      <c r="W20" s="2668">
        <v>0.75</v>
      </c>
      <c r="X20" s="2668">
        <f>ROUND($X$21*W20,1)</f>
        <v>9.8000000000000007</v>
      </c>
      <c r="Y20" s="2668">
        <f t="shared" ref="Y20:Y23" si="14">V20*X20</f>
        <v>31607.45</v>
      </c>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1" t="s">
        <v>1211</v>
      </c>
      <c r="B21" s="104">
        <v>3</v>
      </c>
      <c r="C21" s="2670"/>
      <c r="D21" s="2673"/>
      <c r="E21" s="2670"/>
      <c r="F21" s="2670"/>
      <c r="G21" s="2670"/>
      <c r="H21" s="2670"/>
      <c r="I21" s="3531"/>
      <c r="J21" s="3550" t="s">
        <v>3425</v>
      </c>
      <c r="K21" s="3551" t="s">
        <v>3426</v>
      </c>
      <c r="L21" s="3551" t="s">
        <v>3427</v>
      </c>
      <c r="M21" s="2668"/>
      <c r="N21" s="2668"/>
      <c r="O21" s="2668"/>
      <c r="P21" s="2668"/>
      <c r="Q21" s="2668"/>
      <c r="R21" s="2668"/>
      <c r="S21" s="2668"/>
      <c r="T21" s="2668"/>
      <c r="U21" s="2668" t="s">
        <v>3442</v>
      </c>
      <c r="V21" s="2668">
        <f>抵押物清单!C9+抵押物清单!C10</f>
        <v>1706.53</v>
      </c>
      <c r="W21" s="2668">
        <v>1</v>
      </c>
      <c r="X21" s="2668">
        <v>13</v>
      </c>
      <c r="Y21" s="2668">
        <f t="shared" si="14"/>
        <v>22184.89</v>
      </c>
      <c r="Z21" s="2668"/>
      <c r="AA21" s="2668">
        <f ca="1">AB21/'数据-汇总表'!F20</f>
        <v>6.2258838504935481</v>
      </c>
      <c r="AB21" s="2668">
        <f ca="1">'收益法（汇总）'!H7-'数据-取费表'!AB23-'数据-取费表'!AB22</f>
        <v>54959.55001977834</v>
      </c>
      <c r="AC21" s="2668"/>
      <c r="AD21" s="2668"/>
      <c r="AE21" s="2668"/>
      <c r="AF21" s="2668"/>
      <c r="AG21" s="2668"/>
      <c r="AH21" s="2668"/>
      <c r="AI21" s="2668"/>
      <c r="AJ21" s="2668"/>
      <c r="AK21" s="2668"/>
      <c r="AL21" s="2668"/>
      <c r="AM21" s="2668"/>
      <c r="AN21" s="2668"/>
      <c r="AO21" s="2668"/>
      <c r="AP21" s="2668"/>
      <c r="AQ21" s="2668"/>
      <c r="AR21" s="2668"/>
    </row>
    <row r="22" spans="1:67" ht="14.4">
      <c r="A22" s="1720" t="s">
        <v>1212</v>
      </c>
      <c r="B22" s="105">
        <f>B19+B20</f>
        <v>3</v>
      </c>
      <c r="C22" s="2670"/>
      <c r="D22" s="2673"/>
      <c r="E22" s="2670"/>
      <c r="F22" s="2670"/>
      <c r="G22" s="2670"/>
      <c r="H22" s="2670"/>
      <c r="I22" s="3552" t="s">
        <v>3428</v>
      </c>
      <c r="J22" s="3553"/>
      <c r="K22" s="3554">
        <f>K29</f>
        <v>6252.3908800504478</v>
      </c>
      <c r="L22" s="3553"/>
      <c r="M22" s="2668"/>
      <c r="N22" s="2668"/>
      <c r="O22" s="2668"/>
      <c r="P22" s="2668"/>
      <c r="Q22" s="2668"/>
      <c r="R22" s="2668"/>
      <c r="S22" s="2668"/>
      <c r="T22" s="2668"/>
      <c r="U22" s="2668" t="s">
        <v>3443</v>
      </c>
      <c r="V22" s="2668">
        <f>抵押物清单!C6+抵押物清单!C7+抵押物清单!C8</f>
        <v>13573.12</v>
      </c>
      <c r="W22" s="3561">
        <v>0.6</v>
      </c>
      <c r="X22" s="2668">
        <f>ROUND($X$21*W22,1)</f>
        <v>7.8</v>
      </c>
      <c r="Y22" s="2668">
        <f t="shared" si="14"/>
        <v>105870.33600000001</v>
      </c>
      <c r="Z22" s="2668"/>
      <c r="AA22" s="2668">
        <v>2.5</v>
      </c>
      <c r="AB22" s="2668">
        <f>AA22*V22</f>
        <v>33932.800000000003</v>
      </c>
      <c r="AC22" s="2668"/>
      <c r="AD22" s="2668"/>
      <c r="AE22" s="2668"/>
      <c r="AF22" s="2668"/>
      <c r="AG22" s="2668"/>
      <c r="AH22" s="2668"/>
      <c r="AI22" s="2668"/>
      <c r="AJ22" s="2668"/>
      <c r="AK22" s="2668"/>
      <c r="AL22" s="2668"/>
      <c r="AM22" s="2668"/>
      <c r="AN22" s="2668"/>
      <c r="AO22" s="2668"/>
      <c r="AP22" s="2668"/>
      <c r="AQ22" s="2668"/>
      <c r="AR22" s="2668"/>
    </row>
    <row r="23" spans="1:67" ht="14.4">
      <c r="A23" s="1721" t="s">
        <v>1213</v>
      </c>
      <c r="B23" s="105">
        <f>B19+B21</f>
        <v>3</v>
      </c>
      <c r="C23" s="2670"/>
      <c r="D23" s="2673"/>
      <c r="E23" s="2670"/>
      <c r="F23" s="2670"/>
      <c r="G23" s="2670"/>
      <c r="H23" s="2670"/>
      <c r="I23" s="3555" t="s">
        <v>3429</v>
      </c>
      <c r="J23" s="3556">
        <f>J24+J25</f>
        <v>112144.47999999998</v>
      </c>
      <c r="K23" s="3557">
        <f>L23/J23</f>
        <v>3217.9082733274072</v>
      </c>
      <c r="L23" s="3558">
        <f>L24+L25</f>
        <v>360870649.99999988</v>
      </c>
      <c r="M23" s="2668"/>
      <c r="N23" s="2668"/>
      <c r="O23" s="2668"/>
      <c r="P23" s="2668"/>
      <c r="Q23" s="2668"/>
      <c r="R23" s="2668"/>
      <c r="S23" s="2668"/>
      <c r="T23" s="2668"/>
      <c r="U23" s="2668" t="s">
        <v>3444</v>
      </c>
      <c r="V23" s="2668">
        <f>抵押物清单!C2+抵押物清单!C3+抵押物清单!C4+抵押物清单!C5</f>
        <v>11722.93</v>
      </c>
      <c r="W23" s="2668">
        <v>0.5</v>
      </c>
      <c r="X23" s="2668">
        <f t="shared" ref="X23" si="15">ROUND($X$21*W23,1)</f>
        <v>6.5</v>
      </c>
      <c r="Y23" s="2668">
        <f t="shared" si="14"/>
        <v>76199.044999999998</v>
      </c>
      <c r="Z23" s="2668"/>
      <c r="AA23" s="2668">
        <v>1.5</v>
      </c>
      <c r="AB23" s="2668">
        <f>AA23*V23</f>
        <v>17584.395</v>
      </c>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1214</v>
      </c>
      <c r="B24" s="106">
        <f>B20-B21</f>
        <v>0</v>
      </c>
      <c r="C24" s="2670"/>
      <c r="D24" s="2673"/>
      <c r="E24" s="2670"/>
      <c r="F24" s="2670"/>
      <c r="G24" s="2670"/>
      <c r="H24" s="2670"/>
      <c r="I24" s="3555" t="s">
        <v>3421</v>
      </c>
      <c r="J24" s="3498">
        <f>'数据-汇总表'!F31</f>
        <v>66617.25</v>
      </c>
      <c r="K24" s="3558">
        <v>2000</v>
      </c>
      <c r="L24" s="3558">
        <f>J24*K24</f>
        <v>133234500</v>
      </c>
      <c r="M24" s="2668"/>
      <c r="N24" s="2668"/>
      <c r="O24" s="2668"/>
      <c r="P24" s="2668"/>
      <c r="Q24" s="2668"/>
      <c r="R24" s="2668"/>
      <c r="S24" s="2668"/>
      <c r="T24" s="2668"/>
      <c r="U24" s="2668"/>
      <c r="V24" s="2668">
        <f>SUM(V19:V23)</f>
        <v>34123.64</v>
      </c>
      <c r="W24" s="2668"/>
      <c r="X24" s="2668">
        <f>ROUND(Y24/V24,2)</f>
        <v>7.88</v>
      </c>
      <c r="Y24" s="2668">
        <f>SUM(Y19:Y23)</f>
        <v>268976.10600000003</v>
      </c>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4"/>
      <c r="B25" s="1684"/>
      <c r="C25" s="2670"/>
      <c r="D25" s="2673"/>
      <c r="E25" s="2670"/>
      <c r="F25" s="2670"/>
      <c r="G25" s="2670"/>
      <c r="H25" s="2670"/>
      <c r="I25" s="3555" t="s">
        <v>3423</v>
      </c>
      <c r="J25" s="3558">
        <f>'数据-汇总表'!G31</f>
        <v>45527.229999999981</v>
      </c>
      <c r="K25" s="3558">
        <v>5000</v>
      </c>
      <c r="L25" s="3558">
        <f>J25*K25</f>
        <v>227636149.99999991</v>
      </c>
      <c r="M25" s="2668"/>
      <c r="N25" s="2668"/>
      <c r="O25" s="2668"/>
      <c r="P25" s="2668"/>
      <c r="Q25" s="2668"/>
      <c r="R25" s="2668"/>
      <c r="S25" s="2668"/>
      <c r="T25" s="2668"/>
      <c r="U25" s="2668"/>
      <c r="V25" s="1678"/>
      <c r="W25" s="1678"/>
      <c r="X25" s="1678"/>
      <c r="Y25" s="167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1215</v>
      </c>
      <c r="B26" s="1723" t="s">
        <v>1216</v>
      </c>
      <c r="C26" s="2674" t="s">
        <v>1217</v>
      </c>
      <c r="D26" s="2673"/>
      <c r="E26" s="2670"/>
      <c r="F26" s="2670"/>
      <c r="G26" s="2670"/>
      <c r="H26" s="2670"/>
      <c r="I26" s="3555" t="s">
        <v>3430</v>
      </c>
      <c r="J26" s="3556">
        <f>J23</f>
        <v>112144.47999999998</v>
      </c>
      <c r="K26" s="3558">
        <v>800</v>
      </c>
      <c r="L26" s="3558">
        <f>K26*J26</f>
        <v>89715583.999999985</v>
      </c>
      <c r="M26" s="2668"/>
      <c r="N26" s="2668"/>
      <c r="O26" s="2668"/>
      <c r="P26" s="2668"/>
      <c r="Q26" s="2668"/>
      <c r="R26" s="2668"/>
      <c r="S26" s="2668"/>
      <c r="T26" s="2668"/>
      <c r="U26" s="2668"/>
      <c r="V26" s="3500" t="s">
        <v>3447</v>
      </c>
      <c r="W26" s="3500" t="s">
        <v>3450</v>
      </c>
      <c r="X26" s="3500" t="s">
        <v>3451</v>
      </c>
      <c r="Y26" s="3500" t="s">
        <v>3452</v>
      </c>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8.8">
      <c r="A27" s="1724" t="s">
        <v>1218</v>
      </c>
      <c r="B27" s="107"/>
      <c r="C27" s="2798" t="s">
        <v>2304</v>
      </c>
      <c r="D27" s="2676"/>
      <c r="E27" s="2658"/>
      <c r="F27" s="2658"/>
      <c r="G27" s="2670"/>
      <c r="H27" s="2670"/>
      <c r="I27" s="3555" t="s">
        <v>3431</v>
      </c>
      <c r="J27" s="3556">
        <f>J23</f>
        <v>112144.47999999998</v>
      </c>
      <c r="K27" s="3558">
        <v>2000</v>
      </c>
      <c r="L27" s="3558">
        <f>K27*J27</f>
        <v>224288959.99999997</v>
      </c>
      <c r="M27" s="2668"/>
      <c r="N27" s="2668"/>
      <c r="O27" s="2668"/>
      <c r="P27" s="2668"/>
      <c r="Q27" s="2668"/>
      <c r="R27" s="2668"/>
      <c r="S27" s="2668"/>
      <c r="T27" s="2668"/>
      <c r="U27" s="3500" t="s">
        <v>3445</v>
      </c>
      <c r="V27" s="2668">
        <f>'数据-汇总表'!F19</f>
        <v>57578.159999999996</v>
      </c>
      <c r="W27" s="2668">
        <v>1</v>
      </c>
      <c r="X27" s="2668">
        <v>11</v>
      </c>
      <c r="Y27" s="2668">
        <f>X27*V27</f>
        <v>633359.76</v>
      </c>
      <c r="Z27" s="2668"/>
      <c r="AA27" s="2668">
        <f ca="1">AB27/V27</f>
        <v>5.9641062719223212</v>
      </c>
      <c r="AB27" s="2668">
        <f ca="1">'收益法（汇总）'!H6-'数据-取费表'!AB28</f>
        <v>343402.26518174692</v>
      </c>
      <c r="AC27" s="2668"/>
      <c r="AD27" s="2668"/>
      <c r="AE27" s="2668"/>
      <c r="AF27" s="2668"/>
      <c r="AG27" s="2668"/>
      <c r="AH27" s="2668"/>
      <c r="AI27" s="2668"/>
      <c r="AJ27" s="2668"/>
      <c r="AK27" s="2668"/>
      <c r="AL27" s="2668"/>
      <c r="AM27" s="2668"/>
      <c r="AN27" s="2668"/>
      <c r="AO27" s="2668"/>
      <c r="AP27" s="2668"/>
      <c r="AQ27" s="2668"/>
      <c r="AR27" s="2668"/>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25" customFormat="1" ht="28.8">
      <c r="A28" s="1726" t="s">
        <v>1219</v>
      </c>
      <c r="B28" s="110">
        <v>200</v>
      </c>
      <c r="C28" s="2677"/>
      <c r="D28" s="2676"/>
      <c r="E28" s="2658"/>
      <c r="F28" s="2658"/>
      <c r="G28" s="2670"/>
      <c r="H28" s="2670"/>
      <c r="I28" s="3552" t="s">
        <v>3432</v>
      </c>
      <c r="J28" s="3558">
        <v>8765.31</v>
      </c>
      <c r="K28" s="3557">
        <v>3000</v>
      </c>
      <c r="L28" s="3558">
        <f>K28*J28</f>
        <v>26295930</v>
      </c>
      <c r="M28" s="2668"/>
      <c r="N28" s="2668"/>
      <c r="O28" s="2668"/>
      <c r="P28" s="2668"/>
      <c r="Q28" s="2668"/>
      <c r="R28" s="2668"/>
      <c r="S28" s="2668"/>
      <c r="T28" s="2668"/>
      <c r="U28" s="3500" t="s">
        <v>3446</v>
      </c>
      <c r="V28" s="2668">
        <f>'数据-汇总表'!G19</f>
        <v>7419.8799999999983</v>
      </c>
      <c r="W28" s="2668">
        <v>0.5</v>
      </c>
      <c r="X28" s="2668">
        <f>W28*X27</f>
        <v>5.5</v>
      </c>
      <c r="Y28" s="2668">
        <f>X28*V28</f>
        <v>40809.339999999989</v>
      </c>
      <c r="Z28" s="2668"/>
      <c r="AA28" s="2668">
        <v>2</v>
      </c>
      <c r="AB28" s="2668">
        <f>AA28*V28</f>
        <v>14839.759999999997</v>
      </c>
      <c r="AC28" s="2668"/>
      <c r="AD28" s="2668"/>
      <c r="AE28" s="2668"/>
      <c r="AF28" s="2668"/>
      <c r="AG28" s="2668"/>
      <c r="AH28" s="2668"/>
      <c r="AI28" s="2668"/>
      <c r="AJ28" s="2668"/>
      <c r="AK28" s="2668"/>
      <c r="AL28" s="2668"/>
      <c r="AM28" s="2668"/>
      <c r="AN28" s="2668"/>
      <c r="AO28" s="2668"/>
      <c r="AP28" s="2668"/>
      <c r="AQ28" s="2668"/>
      <c r="AR28" s="2668"/>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25" customFormat="1" ht="29.4" thickBot="1">
      <c r="A29" s="1727" t="s">
        <v>1220</v>
      </c>
      <c r="B29" s="112">
        <f ca="1">成本法!C10</f>
        <v>2243</v>
      </c>
      <c r="C29" s="2799" t="s">
        <v>2291</v>
      </c>
      <c r="D29" s="2676"/>
      <c r="E29" s="2658"/>
      <c r="F29" s="2658"/>
      <c r="G29" s="2670"/>
      <c r="H29" s="2670"/>
      <c r="I29" s="3552" t="s">
        <v>3433</v>
      </c>
      <c r="J29" s="3559"/>
      <c r="K29" s="3554">
        <f>L29/J23</f>
        <v>6252.3908800504478</v>
      </c>
      <c r="L29" s="3554">
        <f>L28+L27+L26+L23</f>
        <v>701171123.99999976</v>
      </c>
      <c r="M29" s="2668"/>
      <c r="N29" s="2668"/>
      <c r="O29" s="2668"/>
      <c r="P29" s="2668"/>
      <c r="Q29" s="2668"/>
      <c r="R29" s="2668"/>
      <c r="S29" s="2668"/>
      <c r="T29" s="2668"/>
      <c r="U29" s="2668"/>
      <c r="V29" s="2668">
        <f>SUM(V27:V28)</f>
        <v>64998.039999999994</v>
      </c>
      <c r="W29" s="2668"/>
      <c r="X29" s="2668">
        <f>ROUND(Y29/V29,1)</f>
        <v>10.4</v>
      </c>
      <c r="Y29" s="2668">
        <f>SUM(Y27:Y28)</f>
        <v>674169.1</v>
      </c>
      <c r="Z29" s="2668"/>
      <c r="AA29" s="2668"/>
      <c r="AB29" s="2668"/>
      <c r="AC29" s="2668"/>
      <c r="AD29" s="2668"/>
      <c r="AE29" s="2668"/>
      <c r="AF29" s="2668"/>
      <c r="AG29" s="2668"/>
      <c r="AH29" s="2668"/>
      <c r="AI29" s="2668"/>
      <c r="AJ29" s="2668"/>
      <c r="AK29" s="2668"/>
      <c r="AL29" s="2668"/>
      <c r="AM29" s="2668"/>
      <c r="AN29" s="2668"/>
      <c r="AO29" s="2668"/>
      <c r="AP29" s="2668"/>
      <c r="AQ29" s="2668"/>
      <c r="AR29" s="2668"/>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25" customFormat="1" ht="28.8">
      <c r="A30" s="1728" t="s">
        <v>1221</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25" customFormat="1" ht="28.8">
      <c r="A31" s="1726" t="s">
        <v>1222</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25" customFormat="1" ht="29.4" thickBot="1">
      <c r="A32" s="1729" t="s">
        <v>1223</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25" customFormat="1" ht="14.4">
      <c r="A33" s="1724" t="s">
        <v>1224</v>
      </c>
      <c r="B33" s="673">
        <v>0.05</v>
      </c>
      <c r="C33" s="2800" t="s">
        <v>2292</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25" customFormat="1" ht="14.4">
      <c r="A34" s="1726" t="s">
        <v>1225</v>
      </c>
      <c r="B34" s="113">
        <v>0</v>
      </c>
      <c r="C34" s="2800" t="s">
        <v>2293</v>
      </c>
      <c r="D34" s="2681" t="s">
        <v>2301</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25" customFormat="1" ht="14.4">
      <c r="A35" s="1726" t="s">
        <v>1226</v>
      </c>
      <c r="B35" s="110">
        <v>200</v>
      </c>
      <c r="C35" s="2800" t="s">
        <v>2294</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27" t="s">
        <v>1227</v>
      </c>
      <c r="B36" s="114">
        <v>1.4999999999999999E-2</v>
      </c>
      <c r="C36" s="2800" t="s">
        <v>2295</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28" t="s">
        <v>1228</v>
      </c>
      <c r="B37" s="115">
        <v>0.03</v>
      </c>
      <c r="C37" s="2800" t="s">
        <v>2296</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6" t="s">
        <v>1229</v>
      </c>
      <c r="B38" s="113">
        <v>0.03</v>
      </c>
      <c r="C38" s="2800" t="s">
        <v>2296</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29" t="s">
        <v>1230</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4.4" thickBot="1">
      <c r="A40" s="2812" t="s">
        <v>2311</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4" t="s">
        <v>1231</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0" t="s">
        <v>1232</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0" t="s">
        <v>1233</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1" t="s">
        <v>1234</v>
      </c>
      <c r="B44" s="119">
        <v>7.0000000000000007E-2</v>
      </c>
      <c r="C44" s="2800" t="s">
        <v>2305</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1" t="s">
        <v>1235</v>
      </c>
      <c r="B45" s="117">
        <v>0.03</v>
      </c>
      <c r="C45" s="2799" t="s">
        <v>2297</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1" t="s">
        <v>1236</v>
      </c>
      <c r="B46" s="117">
        <v>0.02</v>
      </c>
      <c r="C46" s="2799" t="s">
        <v>2298</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1237</v>
      </c>
      <c r="B47" s="120"/>
      <c r="C47" s="2802" t="s">
        <v>2306</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3" t="s">
        <v>1238</v>
      </c>
      <c r="B48" s="121">
        <v>0.03</v>
      </c>
      <c r="C48" s="2799" t="s">
        <v>2297</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1239</v>
      </c>
      <c r="B49" s="117">
        <v>0.02</v>
      </c>
      <c r="C49" s="2799" t="s">
        <v>2299</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4" t="s">
        <v>1240</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1241</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4" t="s">
        <v>1242</v>
      </c>
      <c r="B52" s="124">
        <f>SUMIF(A54:A63,B53,B54:B63)</f>
        <v>18</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6" t="s">
        <v>1243</v>
      </c>
      <c r="B53" s="1735" t="s">
        <v>296</v>
      </c>
      <c r="C53" s="2658" t="s">
        <v>1244</v>
      </c>
      <c r="D53" s="2801" t="s">
        <v>2303</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6" t="s">
        <v>1245</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6" t="s">
        <v>1246</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6" t="s">
        <v>1247</v>
      </c>
      <c r="B56" s="75">
        <v>18</v>
      </c>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6" t="s">
        <v>1248</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6" t="s">
        <v>1249</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6" t="s">
        <v>1250</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6" t="s">
        <v>1251</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6" t="s">
        <v>1252</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6" t="s">
        <v>1253</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1254</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0"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0"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0"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0"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0"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0" customFormat="1">
      <c r="A69" s="1738"/>
      <c r="D69" s="1739"/>
      <c r="K69" s="728"/>
      <c r="L69" s="728"/>
    </row>
    <row r="70" spans="1:44" s="790" customFormat="1">
      <c r="A70" s="1738"/>
      <c r="D70" s="1739"/>
      <c r="K70" s="728"/>
      <c r="L70" s="728"/>
    </row>
    <row r="71" spans="1:44" s="790" customFormat="1">
      <c r="A71" s="1738"/>
      <c r="D71" s="1739"/>
      <c r="K71" s="728"/>
      <c r="L71" s="728"/>
    </row>
    <row r="72" spans="1:44" s="790" customFormat="1">
      <c r="A72" s="1738"/>
      <c r="D72" s="1739"/>
      <c r="K72" s="728"/>
      <c r="L72" s="728"/>
    </row>
    <row r="73" spans="1:44" s="790" customFormat="1">
      <c r="A73" s="1738"/>
      <c r="D73" s="1739"/>
      <c r="K73" s="728"/>
      <c r="L73" s="728"/>
    </row>
    <row r="74" spans="1:44" s="790" customFormat="1">
      <c r="A74" s="1738"/>
      <c r="D74" s="1739"/>
      <c r="K74" s="728"/>
      <c r="L74" s="728"/>
    </row>
    <row r="75" spans="1:44" s="790" customFormat="1">
      <c r="A75" s="1738"/>
      <c r="D75" s="1739"/>
      <c r="K75" s="728"/>
      <c r="L75" s="728"/>
    </row>
    <row r="76" spans="1:44" s="790" customFormat="1">
      <c r="A76" s="1738"/>
      <c r="D76" s="1739"/>
      <c r="K76" s="728"/>
      <c r="L76" s="728"/>
    </row>
    <row r="77" spans="1:44" s="790" customFormat="1">
      <c r="A77" s="1738"/>
      <c r="D77" s="1739"/>
      <c r="K77" s="728"/>
      <c r="L77" s="728"/>
    </row>
    <row r="78" spans="1:44" s="790" customFormat="1">
      <c r="A78" s="1738"/>
      <c r="D78" s="1739"/>
      <c r="K78" s="728"/>
      <c r="L78" s="728"/>
    </row>
    <row r="79" spans="1:44" s="790" customFormat="1">
      <c r="A79" s="1738"/>
      <c r="D79" s="1739"/>
      <c r="K79" s="728"/>
      <c r="L79" s="728"/>
    </row>
    <row r="80" spans="1:44" s="790" customFormat="1">
      <c r="A80" s="1738"/>
      <c r="D80" s="1739"/>
      <c r="K80" s="728"/>
      <c r="L80" s="728"/>
    </row>
    <row r="81" spans="1:12" s="790" customFormat="1">
      <c r="A81" s="1738"/>
      <c r="D81" s="1739"/>
      <c r="K81" s="728"/>
      <c r="L81" s="728"/>
    </row>
    <row r="82" spans="1:12" s="790" customFormat="1">
      <c r="A82" s="1738"/>
      <c r="D82" s="1739"/>
      <c r="K82" s="728"/>
      <c r="L82" s="728"/>
    </row>
    <row r="83" spans="1:12" s="790" customFormat="1">
      <c r="A83" s="1738"/>
      <c r="D83" s="1739"/>
      <c r="K83" s="728"/>
      <c r="L83" s="728"/>
    </row>
    <row r="84" spans="1:12" s="790" customFormat="1">
      <c r="A84" s="1738"/>
      <c r="D84" s="1739"/>
      <c r="K84" s="728"/>
      <c r="L84" s="728"/>
    </row>
    <row r="85" spans="1:12" s="790" customFormat="1">
      <c r="A85" s="1738"/>
      <c r="D85" s="1739"/>
      <c r="K85" s="728"/>
      <c r="L85" s="728"/>
    </row>
    <row r="86" spans="1:12" s="790" customFormat="1">
      <c r="A86" s="1738"/>
      <c r="D86" s="1739"/>
      <c r="K86" s="728"/>
      <c r="L86" s="728"/>
    </row>
    <row r="87" spans="1:12" s="790" customFormat="1">
      <c r="A87" s="1738"/>
      <c r="D87" s="1739"/>
      <c r="K87" s="728"/>
      <c r="L87" s="728"/>
    </row>
    <row r="88" spans="1:12" s="790" customFormat="1">
      <c r="A88" s="1738"/>
      <c r="D88" s="1739"/>
      <c r="K88" s="728"/>
      <c r="L88" s="728"/>
    </row>
    <row r="89" spans="1:12" s="790" customFormat="1">
      <c r="A89" s="1738"/>
      <c r="D89" s="1739"/>
      <c r="K89" s="728"/>
      <c r="L89" s="728"/>
    </row>
    <row r="90" spans="1:12" s="790" customFormat="1">
      <c r="A90" s="1738"/>
      <c r="D90" s="1739"/>
      <c r="K90" s="728"/>
      <c r="L90" s="728"/>
    </row>
    <row r="91" spans="1:12" s="790" customFormat="1">
      <c r="A91" s="1738"/>
      <c r="D91" s="1739"/>
      <c r="K91" s="728"/>
      <c r="L91" s="728"/>
    </row>
    <row r="92" spans="1:12" s="790" customFormat="1">
      <c r="A92" s="1738"/>
      <c r="D92" s="1739"/>
      <c r="K92" s="728"/>
      <c r="L92" s="728"/>
    </row>
    <row r="93" spans="1:12" s="790" customFormat="1">
      <c r="A93" s="1738"/>
      <c r="D93" s="1739"/>
      <c r="K93" s="728"/>
      <c r="L93" s="728"/>
    </row>
    <row r="94" spans="1:12" s="790" customFormat="1">
      <c r="A94" s="1738"/>
      <c r="D94" s="1739"/>
      <c r="K94" s="728"/>
      <c r="L94" s="728"/>
    </row>
    <row r="95" spans="1:12" s="790" customFormat="1">
      <c r="A95" s="1738"/>
      <c r="D95" s="1739"/>
      <c r="K95" s="728"/>
      <c r="L95" s="728"/>
    </row>
    <row r="96" spans="1:12" s="790" customFormat="1">
      <c r="A96" s="1738"/>
      <c r="D96" s="1739"/>
      <c r="K96" s="728"/>
      <c r="L96" s="728"/>
    </row>
    <row r="97" spans="1:12" s="790" customFormat="1">
      <c r="A97" s="1738"/>
      <c r="D97" s="1739"/>
      <c r="K97" s="728"/>
      <c r="L97" s="728"/>
    </row>
    <row r="98" spans="1:12" s="790" customFormat="1">
      <c r="A98" s="1738"/>
      <c r="D98" s="1739"/>
      <c r="K98" s="728"/>
      <c r="L98" s="728"/>
    </row>
    <row r="99" spans="1:12" s="790" customFormat="1">
      <c r="A99" s="1738"/>
      <c r="D99" s="1739"/>
      <c r="K99" s="728"/>
      <c r="L99" s="728"/>
    </row>
    <row r="100" spans="1:12" s="790" customFormat="1">
      <c r="A100" s="1738"/>
      <c r="D100" s="1739"/>
      <c r="K100" s="728"/>
      <c r="L100" s="728"/>
    </row>
    <row r="101" spans="1:12" s="790" customFormat="1">
      <c r="A101" s="1738"/>
      <c r="D101" s="1739"/>
      <c r="K101" s="728"/>
      <c r="L101" s="728"/>
    </row>
    <row r="102" spans="1:12" s="790" customFormat="1">
      <c r="A102" s="1738"/>
      <c r="D102" s="1739"/>
      <c r="K102" s="728"/>
      <c r="L102" s="728"/>
    </row>
    <row r="103" spans="1:12" s="790" customFormat="1">
      <c r="A103" s="1738"/>
      <c r="D103" s="1739"/>
      <c r="K103" s="728"/>
      <c r="L103" s="728"/>
    </row>
    <row r="104" spans="1:12" s="790" customFormat="1">
      <c r="A104" s="1738"/>
      <c r="D104" s="1739"/>
      <c r="K104" s="728"/>
      <c r="L104" s="728"/>
    </row>
    <row r="105" spans="1:12" s="790" customFormat="1">
      <c r="A105" s="1738"/>
      <c r="D105" s="1739"/>
      <c r="K105" s="728"/>
      <c r="L105" s="728"/>
    </row>
    <row r="106" spans="1:12" s="790" customFormat="1">
      <c r="A106" s="1738"/>
      <c r="D106" s="1739"/>
      <c r="K106" s="728"/>
      <c r="L106" s="728"/>
    </row>
    <row r="107" spans="1:12" s="790" customFormat="1">
      <c r="A107" s="1738"/>
      <c r="D107" s="1739"/>
      <c r="K107" s="728"/>
      <c r="L107" s="728"/>
    </row>
    <row r="108" spans="1:12" s="790" customFormat="1">
      <c r="A108" s="1738"/>
      <c r="D108" s="1739"/>
      <c r="K108" s="728"/>
      <c r="L108" s="728"/>
    </row>
    <row r="109" spans="1:12" s="790" customFormat="1">
      <c r="A109" s="1738"/>
      <c r="D109" s="1739"/>
      <c r="K109" s="728"/>
      <c r="L109" s="728"/>
    </row>
    <row r="110" spans="1:12" s="790" customFormat="1">
      <c r="A110" s="1738"/>
      <c r="D110" s="1739"/>
      <c r="K110" s="728"/>
      <c r="L110" s="728"/>
    </row>
    <row r="111" spans="1:12" s="790" customFormat="1">
      <c r="A111" s="1738"/>
      <c r="D111" s="1739"/>
      <c r="K111" s="728"/>
      <c r="L111" s="728"/>
    </row>
    <row r="112" spans="1:12" s="790" customFormat="1">
      <c r="A112" s="1738"/>
      <c r="D112" s="1739"/>
      <c r="K112" s="728"/>
      <c r="L112" s="728"/>
    </row>
    <row r="113" spans="1:12" s="790" customFormat="1">
      <c r="A113" s="1738"/>
      <c r="D113" s="1739"/>
      <c r="K113" s="728"/>
      <c r="L113" s="728"/>
    </row>
    <row r="114" spans="1:12" s="790" customFormat="1">
      <c r="A114" s="1738"/>
      <c r="D114" s="1739"/>
      <c r="K114" s="728"/>
      <c r="L114" s="728"/>
    </row>
    <row r="115" spans="1:12" s="790" customFormat="1">
      <c r="A115" s="1738"/>
      <c r="D115" s="1739"/>
      <c r="K115" s="728"/>
      <c r="L115" s="728"/>
    </row>
    <row r="116" spans="1:12" s="790" customFormat="1">
      <c r="A116" s="1738"/>
      <c r="D116" s="1739"/>
      <c r="K116" s="728"/>
      <c r="L116" s="728"/>
    </row>
    <row r="117" spans="1:12" s="790" customFormat="1">
      <c r="A117" s="1738"/>
      <c r="D117" s="1739"/>
      <c r="K117" s="728"/>
      <c r="L117" s="728"/>
    </row>
    <row r="118" spans="1:12" s="790" customFormat="1">
      <c r="A118" s="1738"/>
      <c r="D118" s="1739"/>
      <c r="K118" s="728"/>
      <c r="L118" s="728"/>
    </row>
    <row r="119" spans="1:12" s="790" customFormat="1">
      <c r="A119" s="1738"/>
      <c r="D119" s="1739"/>
      <c r="K119" s="728"/>
      <c r="L119" s="728"/>
    </row>
    <row r="120" spans="1:12" s="790" customFormat="1">
      <c r="A120" s="1738"/>
      <c r="D120" s="1739"/>
      <c r="K120" s="728"/>
      <c r="L120" s="728"/>
    </row>
    <row r="121" spans="1:12" s="790" customFormat="1">
      <c r="A121" s="1738"/>
      <c r="D121" s="1739"/>
      <c r="K121" s="728"/>
      <c r="L121" s="728"/>
    </row>
    <row r="122" spans="1:12" s="790" customFormat="1">
      <c r="A122" s="1738"/>
      <c r="D122" s="1739"/>
      <c r="K122" s="728"/>
      <c r="L122" s="728"/>
    </row>
    <row r="123" spans="1:12" s="790" customFormat="1">
      <c r="A123" s="1738"/>
      <c r="D123" s="1739"/>
      <c r="K123" s="728"/>
      <c r="L123" s="728"/>
    </row>
    <row r="124" spans="1:12" s="790" customFormat="1">
      <c r="A124" s="1738"/>
      <c r="D124" s="1739"/>
      <c r="K124" s="728"/>
      <c r="L124" s="728"/>
    </row>
    <row r="125" spans="1:12" s="790" customFormat="1">
      <c r="A125" s="1738"/>
      <c r="D125" s="1739"/>
      <c r="K125" s="728"/>
      <c r="L125" s="728"/>
    </row>
    <row r="126" spans="1:12" s="790" customFormat="1">
      <c r="A126" s="1738"/>
      <c r="D126" s="1739"/>
      <c r="K126" s="728"/>
      <c r="L126" s="728"/>
    </row>
    <row r="127" spans="1:12" s="790" customFormat="1">
      <c r="A127" s="1738"/>
      <c r="D127" s="1739"/>
      <c r="K127" s="728"/>
      <c r="L127" s="728"/>
    </row>
    <row r="128" spans="1:12" s="790" customFormat="1">
      <c r="A128" s="1738"/>
      <c r="D128" s="1739"/>
      <c r="K128" s="728"/>
      <c r="L128" s="728"/>
    </row>
    <row r="129" spans="1:12" s="790" customFormat="1">
      <c r="A129" s="1738"/>
      <c r="D129" s="1739"/>
      <c r="K129" s="728"/>
      <c r="L129" s="728"/>
    </row>
    <row r="130" spans="1:12" s="790" customFormat="1">
      <c r="A130" s="1738"/>
      <c r="D130" s="1739"/>
      <c r="K130" s="728"/>
      <c r="L130" s="728"/>
    </row>
    <row r="131" spans="1:12" s="790" customFormat="1">
      <c r="A131" s="1738"/>
      <c r="D131" s="1739"/>
      <c r="K131" s="728"/>
      <c r="L131" s="728"/>
    </row>
    <row r="132" spans="1:12" s="790" customFormat="1">
      <c r="A132" s="1738"/>
      <c r="D132" s="1739"/>
      <c r="K132" s="728"/>
      <c r="L132" s="728"/>
    </row>
    <row r="133" spans="1:12" s="790" customFormat="1">
      <c r="A133" s="1738"/>
      <c r="D133" s="1739"/>
      <c r="K133" s="728"/>
      <c r="L133" s="728"/>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3" customWidth="1"/>
    <col min="2" max="2" width="24.44140625" style="1569" customWidth="1"/>
    <col min="3" max="3" width="24.44140625" style="2507" customWidth="1"/>
    <col min="4" max="4" width="2.6640625" style="2507" customWidth="1"/>
    <col min="5" max="5" width="5.88671875" style="2507" customWidth="1"/>
    <col min="6" max="6" width="27" style="1569"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6"/>
    <col min="30" max="16384" width="9" style="1683"/>
  </cols>
  <sheetData>
    <row r="1" spans="1:29" s="2454" customFormat="1" ht="18" thickBot="1">
      <c r="A1" s="3651" t="s">
        <v>2283</v>
      </c>
      <c r="B1" s="3652"/>
      <c r="C1" s="3652"/>
      <c r="D1" s="3652"/>
      <c r="E1" s="3652"/>
      <c r="F1" s="3652"/>
      <c r="G1" s="3652"/>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4.4" thickBot="1">
      <c r="A2" s="2455"/>
      <c r="B2" s="2456"/>
      <c r="C2" s="2457" t="s">
        <v>2278</v>
      </c>
      <c r="D2" s="2458"/>
      <c r="E2" s="2455"/>
      <c r="F2" s="2459"/>
      <c r="G2" s="2457" t="s">
        <v>2279</v>
      </c>
      <c r="H2" s="796"/>
      <c r="I2" s="796"/>
      <c r="J2" s="796"/>
      <c r="K2" s="796"/>
      <c r="L2" s="796"/>
      <c r="M2" s="796"/>
      <c r="N2" s="796"/>
      <c r="O2" s="796"/>
      <c r="P2" s="796"/>
      <c r="Q2" s="796"/>
      <c r="R2" s="796"/>
    </row>
    <row r="3" spans="1:29" ht="48">
      <c r="A3" s="2438" t="s">
        <v>2280</v>
      </c>
      <c r="B3" s="2460" t="s">
        <v>2249</v>
      </c>
      <c r="C3" s="2461" t="s">
        <v>2281</v>
      </c>
      <c r="D3" s="2462"/>
      <c r="E3" s="2439" t="s">
        <v>2280</v>
      </c>
      <c r="F3" s="2463" t="s">
        <v>2250</v>
      </c>
      <c r="G3" s="2464" t="s">
        <v>2282</v>
      </c>
      <c r="H3" s="796"/>
      <c r="I3" s="796"/>
      <c r="J3" s="796"/>
      <c r="K3" s="796"/>
      <c r="L3" s="796"/>
      <c r="M3" s="796"/>
      <c r="N3" s="796"/>
      <c r="O3" s="796"/>
      <c r="P3" s="796"/>
      <c r="Q3" s="796"/>
      <c r="R3" s="796"/>
    </row>
    <row r="4" spans="1:29" ht="37.200000000000003">
      <c r="A4" s="2439"/>
      <c r="B4" s="323" t="s">
        <v>2251</v>
      </c>
      <c r="C4" s="2465" t="s">
        <v>2252</v>
      </c>
      <c r="D4" s="2462"/>
      <c r="E4" s="2466"/>
      <c r="F4" s="1370" t="s">
        <v>2253</v>
      </c>
      <c r="G4" s="2467" t="s">
        <v>2254</v>
      </c>
      <c r="H4" s="796"/>
      <c r="I4" s="796"/>
      <c r="J4" s="796"/>
      <c r="K4" s="796"/>
      <c r="L4" s="796"/>
      <c r="M4" s="796"/>
      <c r="N4" s="796"/>
      <c r="O4" s="796"/>
      <c r="P4" s="796"/>
      <c r="Q4" s="796"/>
      <c r="R4" s="796"/>
    </row>
    <row r="5" spans="1:29" ht="37.200000000000003">
      <c r="A5" s="2439"/>
      <c r="B5" s="323" t="s">
        <v>2255</v>
      </c>
      <c r="C5" s="2465" t="s">
        <v>2256</v>
      </c>
      <c r="D5" s="2462"/>
      <c r="E5" s="2466"/>
      <c r="F5" s="323" t="s">
        <v>2257</v>
      </c>
      <c r="G5" s="2467" t="s">
        <v>2258</v>
      </c>
      <c r="H5" s="796"/>
      <c r="I5" s="796"/>
      <c r="J5" s="796"/>
      <c r="K5" s="796"/>
      <c r="L5" s="796"/>
      <c r="M5" s="796"/>
      <c r="N5" s="796"/>
      <c r="O5" s="796"/>
      <c r="P5" s="796"/>
      <c r="Q5" s="796"/>
      <c r="R5" s="796"/>
    </row>
    <row r="6" spans="1:29" ht="48">
      <c r="A6" s="2439"/>
      <c r="B6" s="323" t="s">
        <v>2259</v>
      </c>
      <c r="C6" s="2467" t="s">
        <v>2254</v>
      </c>
      <c r="D6" s="2462"/>
      <c r="E6" s="2466"/>
      <c r="F6" s="323" t="s">
        <v>2260</v>
      </c>
      <c r="G6" s="2467" t="s">
        <v>2261</v>
      </c>
      <c r="H6" s="796"/>
      <c r="I6" s="796"/>
      <c r="J6" s="796"/>
      <c r="K6" s="796"/>
      <c r="L6" s="796"/>
      <c r="M6" s="796"/>
      <c r="N6" s="796"/>
      <c r="O6" s="796"/>
      <c r="P6" s="796"/>
      <c r="Q6" s="796"/>
      <c r="R6" s="796"/>
    </row>
    <row r="7" spans="1:29" ht="36.6" thickBot="1">
      <c r="A7" s="2439"/>
      <c r="B7" s="323" t="s">
        <v>2257</v>
      </c>
      <c r="C7" s="2467" t="s">
        <v>2258</v>
      </c>
      <c r="D7" s="2468"/>
      <c r="E7" s="2469"/>
      <c r="F7" s="2470" t="s">
        <v>2262</v>
      </c>
      <c r="G7" s="2471" t="s">
        <v>2263</v>
      </c>
      <c r="H7" s="796"/>
      <c r="I7" s="796"/>
      <c r="J7" s="796"/>
      <c r="K7" s="796"/>
      <c r="L7" s="796"/>
      <c r="M7" s="796"/>
      <c r="N7" s="796"/>
      <c r="O7" s="796"/>
      <c r="P7" s="796"/>
      <c r="Q7" s="796"/>
      <c r="R7" s="796"/>
    </row>
    <row r="8" spans="1:29" ht="24">
      <c r="A8" s="2439"/>
      <c r="B8" s="323" t="s">
        <v>2260</v>
      </c>
      <c r="C8" s="2467" t="s">
        <v>2261</v>
      </c>
      <c r="D8" s="2468"/>
      <c r="E8" s="2468"/>
      <c r="F8" s="2472"/>
      <c r="G8" s="2472"/>
      <c r="H8" s="796"/>
      <c r="I8" s="796"/>
      <c r="J8" s="796"/>
      <c r="K8" s="796"/>
      <c r="L8" s="796"/>
      <c r="M8" s="796"/>
      <c r="N8" s="796"/>
      <c r="O8" s="796"/>
      <c r="P8" s="796"/>
      <c r="Q8" s="796"/>
      <c r="R8" s="796"/>
    </row>
    <row r="9" spans="1:29" ht="24">
      <c r="A9" s="2439"/>
      <c r="B9" s="323" t="s">
        <v>2264</v>
      </c>
      <c r="C9" s="2465" t="s">
        <v>2265</v>
      </c>
      <c r="D9" s="2462"/>
      <c r="E9" s="2468"/>
      <c r="F9" s="2472"/>
      <c r="G9" s="2472"/>
      <c r="H9" s="796"/>
      <c r="I9" s="796"/>
      <c r="J9" s="796"/>
      <c r="K9" s="796"/>
      <c r="L9" s="796"/>
      <c r="M9" s="796"/>
      <c r="N9" s="796"/>
      <c r="O9" s="796"/>
      <c r="P9" s="796"/>
      <c r="Q9" s="796"/>
      <c r="R9" s="796"/>
    </row>
    <row r="10" spans="1:29" s="2478" customFormat="1" ht="14.4" thickBot="1">
      <c r="A10" s="2440"/>
      <c r="B10" s="2473" t="s">
        <v>2266</v>
      </c>
      <c r="C10" s="2474"/>
      <c r="D10" s="2462"/>
      <c r="E10" s="2462"/>
      <c r="F10" s="2472"/>
      <c r="G10" s="2472"/>
      <c r="H10" s="2475"/>
      <c r="I10" s="2476"/>
      <c r="J10" s="2477"/>
      <c r="K10" s="2475"/>
      <c r="L10" s="2476"/>
      <c r="M10" s="2477"/>
      <c r="N10" s="2475"/>
      <c r="O10" s="2476"/>
      <c r="P10" s="2477"/>
      <c r="Q10" s="2475"/>
      <c r="R10" s="2476"/>
      <c r="S10" s="796"/>
      <c r="T10" s="796"/>
      <c r="U10" s="796"/>
      <c r="V10" s="796"/>
      <c r="W10" s="796"/>
      <c r="X10" s="796"/>
      <c r="Y10" s="796"/>
      <c r="Z10" s="796"/>
      <c r="AA10" s="796"/>
      <c r="AB10" s="796"/>
      <c r="AC10" s="796"/>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6"/>
      <c r="T11" s="796"/>
      <c r="U11" s="796"/>
      <c r="V11" s="796"/>
      <c r="W11" s="796"/>
      <c r="X11" s="796"/>
      <c r="Y11" s="796"/>
      <c r="Z11" s="796"/>
      <c r="AA11" s="796"/>
      <c r="AB11" s="796"/>
      <c r="AC11" s="796"/>
    </row>
    <row r="12" spans="1:29" s="2454" customFormat="1" ht="17.399999999999999">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 thickBot="1">
      <c r="A13" s="2487" t="s">
        <v>2284</v>
      </c>
      <c r="B13" s="2481"/>
      <c r="C13" s="2481"/>
      <c r="D13" s="2479"/>
      <c r="E13" s="2481"/>
      <c r="F13" s="2481"/>
      <c r="G13" s="2481"/>
    </row>
    <row r="14" spans="1:29" ht="14.4" thickBot="1">
      <c r="A14" s="2491"/>
      <c r="B14" s="2491"/>
      <c r="C14" s="2492" t="s">
        <v>2267</v>
      </c>
      <c r="D14" s="2462"/>
      <c r="E14" s="2493"/>
      <c r="F14" s="2493"/>
      <c r="G14" s="2457" t="s">
        <v>2268</v>
      </c>
    </row>
    <row r="15" spans="1:29" ht="52.8">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9.6">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9.6">
      <c r="A17" s="2443"/>
      <c r="B17" s="2497" t="s">
        <v>2255</v>
      </c>
      <c r="C17" s="2498" t="str">
        <f>C5</f>
        <v>估价对象位于XX商圈，周边办公楼项目较多，入驻率高，办公集聚程度较好</v>
      </c>
      <c r="D17" s="2468"/>
      <c r="E17" s="2444"/>
      <c r="F17" s="2499" t="s">
        <v>2272</v>
      </c>
      <c r="G17" s="2501"/>
    </row>
    <row r="18" spans="1:18" ht="52.8">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6.4">
      <c r="A19" s="2443"/>
      <c r="B19" s="2499" t="s">
        <v>2273</v>
      </c>
      <c r="C19" s="2501"/>
      <c r="D19" s="2462"/>
      <c r="E19" s="2444"/>
      <c r="F19" s="323" t="s">
        <v>2257</v>
      </c>
      <c r="G19" s="2500" t="str">
        <f>G5</f>
        <v>估价对象所在区域公共配套设施齐备情况</v>
      </c>
    </row>
    <row r="20" spans="1:18" ht="26.4">
      <c r="A20" s="2443"/>
      <c r="B20" s="2499" t="s">
        <v>2274</v>
      </c>
      <c r="C20" s="2498" t="str">
        <f>C9</f>
        <v>区域自然环境：；人文环境；综合评价环境状况一般</v>
      </c>
      <c r="D20" s="2468"/>
      <c r="E20" s="2444"/>
      <c r="F20" s="323" t="s">
        <v>2260</v>
      </c>
      <c r="G20" s="2500" t="str">
        <f>G6</f>
        <v>估价对象所在区域基础设施水平</v>
      </c>
    </row>
    <row r="21" spans="1:18" ht="26.4">
      <c r="A21" s="2443"/>
      <c r="B21" s="323" t="s">
        <v>2257</v>
      </c>
      <c r="C21" s="2500" t="str">
        <f>C7</f>
        <v>估价对象所在区域公共配套设施齐备情况</v>
      </c>
      <c r="D21" s="2462"/>
      <c r="E21" s="2444"/>
      <c r="F21" s="2499" t="s">
        <v>2275</v>
      </c>
      <c r="G21" s="2502"/>
    </row>
    <row r="22" spans="1:18" ht="13.5" customHeight="1">
      <c r="A22" s="2443"/>
      <c r="B22" s="323" t="s">
        <v>2260</v>
      </c>
      <c r="C22" s="2500" t="str">
        <f>C8</f>
        <v>估价对象所在区域基础设施水平</v>
      </c>
      <c r="D22" s="2462"/>
      <c r="E22" s="2444"/>
      <c r="F22" s="2499" t="s">
        <v>2266</v>
      </c>
      <c r="G22" s="2501"/>
    </row>
    <row r="23" spans="1:18" s="796" customFormat="1" ht="14.4" thickBot="1">
      <c r="A23" s="2443"/>
      <c r="B23" s="2499" t="s">
        <v>2275</v>
      </c>
      <c r="C23" s="2502"/>
      <c r="D23" s="1738"/>
      <c r="E23" s="2445"/>
      <c r="F23" s="2503" t="s">
        <v>2276</v>
      </c>
      <c r="G23" s="2504"/>
      <c r="H23" s="2488"/>
      <c r="I23" s="2489"/>
      <c r="J23" s="2488"/>
      <c r="K23" s="2488"/>
      <c r="L23" s="2489"/>
      <c r="M23" s="2488"/>
      <c r="N23" s="2488"/>
      <c r="O23" s="2489"/>
      <c r="P23" s="2488"/>
      <c r="Q23" s="2488"/>
      <c r="R23" s="2490"/>
    </row>
    <row r="24" spans="1:18" s="796" customFormat="1" ht="14.4" thickBot="1">
      <c r="A24" s="2446"/>
      <c r="B24" s="2503" t="s">
        <v>2277</v>
      </c>
      <c r="C24" s="2505">
        <f>C10</f>
        <v>0</v>
      </c>
      <c r="D24" s="1738"/>
      <c r="E24" s="2436"/>
      <c r="F24" s="2436"/>
      <c r="G24" s="2506"/>
      <c r="H24" s="2488"/>
      <c r="I24" s="2489"/>
      <c r="J24" s="2488"/>
      <c r="K24" s="2488"/>
      <c r="L24" s="2489"/>
      <c r="M24" s="2488"/>
      <c r="N24" s="2488"/>
      <c r="O24" s="2489"/>
      <c r="P24" s="2488"/>
      <c r="Q24" s="2488"/>
      <c r="R24" s="2490"/>
    </row>
    <row r="25" spans="1:18" s="796" customFormat="1">
      <c r="B25" s="2488"/>
      <c r="C25" s="2488"/>
      <c r="D25" s="2488"/>
      <c r="H25" s="2488"/>
      <c r="I25" s="2489"/>
      <c r="J25" s="2488"/>
      <c r="K25" s="2488"/>
      <c r="L25" s="2489"/>
      <c r="M25" s="2488"/>
      <c r="N25" s="2488"/>
      <c r="O25" s="2489"/>
      <c r="P25" s="2488"/>
      <c r="Q25" s="2488"/>
      <c r="R25" s="2490"/>
    </row>
    <row r="26" spans="1:18" s="796" customFormat="1">
      <c r="B26" s="2488"/>
      <c r="C26" s="2488"/>
      <c r="D26" s="2488"/>
      <c r="H26" s="2488"/>
      <c r="I26" s="2489"/>
      <c r="J26" s="2488"/>
      <c r="K26" s="2488"/>
      <c r="L26" s="2489"/>
      <c r="M26" s="2488"/>
      <c r="N26" s="2488"/>
      <c r="O26" s="2489"/>
      <c r="P26" s="2488"/>
      <c r="Q26" s="2488"/>
      <c r="R26" s="2490"/>
    </row>
    <row r="27" spans="1:18" s="796" customFormat="1">
      <c r="B27" s="2488"/>
      <c r="C27" s="2488"/>
      <c r="D27" s="2488"/>
      <c r="H27" s="2488"/>
      <c r="I27" s="2489"/>
      <c r="J27" s="2488"/>
      <c r="K27" s="2488"/>
      <c r="L27" s="2489"/>
      <c r="M27" s="2488"/>
      <c r="N27" s="2488"/>
      <c r="O27" s="2489"/>
      <c r="P27" s="2488"/>
      <c r="Q27" s="2488"/>
      <c r="R27" s="2490"/>
    </row>
    <row r="28" spans="1:18" s="796" customFormat="1">
      <c r="B28" s="2488"/>
      <c r="C28" s="2488"/>
      <c r="D28" s="2488"/>
      <c r="H28" s="2488"/>
      <c r="I28" s="2489"/>
      <c r="J28" s="2488"/>
      <c r="K28" s="2488"/>
      <c r="L28" s="2489"/>
      <c r="M28" s="2488"/>
      <c r="N28" s="2488"/>
      <c r="O28" s="2489"/>
      <c r="P28" s="2488"/>
      <c r="Q28" s="2488"/>
      <c r="R28" s="2490"/>
    </row>
    <row r="29" spans="1:18" s="796" customFormat="1">
      <c r="B29" s="2488"/>
      <c r="C29" s="2488"/>
      <c r="D29" s="2488"/>
      <c r="H29" s="2488"/>
      <c r="I29" s="2489"/>
      <c r="J29" s="2488"/>
      <c r="K29" s="2488"/>
      <c r="L29" s="2489"/>
      <c r="M29" s="2488"/>
      <c r="N29" s="2488"/>
      <c r="O29" s="2489"/>
      <c r="P29" s="2488"/>
      <c r="Q29" s="2488"/>
      <c r="R29" s="2490"/>
    </row>
    <row r="30" spans="1:18" s="796" customFormat="1">
      <c r="B30" s="2488"/>
      <c r="C30" s="2488"/>
      <c r="D30" s="2488"/>
      <c r="H30" s="2488"/>
      <c r="I30" s="2489"/>
      <c r="J30" s="2488"/>
      <c r="K30" s="2488"/>
      <c r="L30" s="2489"/>
      <c r="M30" s="2488"/>
      <c r="N30" s="2488"/>
      <c r="O30" s="2489"/>
      <c r="P30" s="2488"/>
      <c r="Q30" s="2488"/>
      <c r="R30" s="2490"/>
    </row>
    <row r="31" spans="1:18" s="796" customFormat="1">
      <c r="B31" s="2488"/>
      <c r="C31" s="2488"/>
      <c r="D31" s="2488"/>
      <c r="H31" s="2488"/>
      <c r="I31" s="2489"/>
      <c r="J31" s="2488"/>
      <c r="K31" s="2488"/>
      <c r="L31" s="2489"/>
      <c r="M31" s="2488"/>
      <c r="N31" s="2488"/>
      <c r="O31" s="2489"/>
      <c r="P31" s="2488"/>
      <c r="Q31" s="2488"/>
      <c r="R31" s="2490"/>
    </row>
    <row r="32" spans="1:18" s="796" customFormat="1">
      <c r="B32" s="2488"/>
      <c r="C32" s="2488"/>
      <c r="D32" s="2488"/>
      <c r="H32" s="2488"/>
      <c r="I32" s="2489"/>
      <c r="J32" s="2488"/>
      <c r="K32" s="2488"/>
      <c r="L32" s="2489"/>
      <c r="M32" s="2488"/>
      <c r="N32" s="2488"/>
      <c r="O32" s="2489"/>
      <c r="P32" s="2488"/>
      <c r="Q32" s="2488"/>
      <c r="R32" s="2490"/>
    </row>
    <row r="33" spans="2:18" s="796" customFormat="1">
      <c r="B33" s="2488"/>
      <c r="C33" s="2488"/>
      <c r="D33" s="2488"/>
      <c r="H33" s="2488"/>
      <c r="I33" s="2489"/>
      <c r="J33" s="2488"/>
      <c r="K33" s="2488"/>
      <c r="L33" s="2489"/>
      <c r="M33" s="2488"/>
      <c r="N33" s="2488"/>
      <c r="O33" s="2489"/>
      <c r="P33" s="2488"/>
      <c r="Q33" s="2488"/>
      <c r="R33" s="2490"/>
    </row>
    <row r="34" spans="2:18" s="796" customFormat="1">
      <c r="B34" s="2488"/>
      <c r="C34" s="2488"/>
      <c r="D34" s="2488"/>
      <c r="H34" s="2488"/>
      <c r="I34" s="2489"/>
      <c r="J34" s="2488"/>
      <c r="K34" s="2488"/>
      <c r="L34" s="2489"/>
      <c r="M34" s="2488"/>
      <c r="N34" s="2488"/>
      <c r="O34" s="2489"/>
      <c r="P34" s="2488"/>
      <c r="Q34" s="2488"/>
      <c r="R34" s="2490"/>
    </row>
    <row r="35" spans="2:18" s="796" customFormat="1">
      <c r="B35" s="2488"/>
      <c r="C35" s="2488"/>
      <c r="D35" s="2488"/>
      <c r="H35" s="2488"/>
      <c r="I35" s="2489"/>
      <c r="J35" s="2488"/>
      <c r="K35" s="2488"/>
      <c r="L35" s="2489"/>
      <c r="M35" s="2488"/>
      <c r="N35" s="2488"/>
      <c r="O35" s="2489"/>
      <c r="P35" s="2488"/>
      <c r="Q35" s="2488"/>
      <c r="R35" s="2490"/>
    </row>
    <row r="36" spans="2:18" s="796" customFormat="1">
      <c r="B36" s="2488"/>
      <c r="C36" s="2488"/>
      <c r="D36" s="2488"/>
      <c r="H36" s="2488"/>
      <c r="I36" s="2489"/>
      <c r="J36" s="2488"/>
      <c r="K36" s="2488"/>
      <c r="L36" s="2489"/>
      <c r="M36" s="2488"/>
      <c r="N36" s="2488"/>
      <c r="O36" s="2489"/>
      <c r="P36" s="2488"/>
      <c r="Q36" s="2488"/>
      <c r="R36" s="2490"/>
    </row>
    <row r="37" spans="2:18" s="796" customFormat="1">
      <c r="B37" s="2488"/>
      <c r="C37" s="2488"/>
      <c r="D37" s="2488"/>
      <c r="H37" s="2488"/>
      <c r="I37" s="2489"/>
      <c r="J37" s="2488"/>
      <c r="K37" s="2488"/>
      <c r="L37" s="2489"/>
      <c r="M37" s="2488"/>
      <c r="N37" s="2488"/>
      <c r="O37" s="2489"/>
      <c r="P37" s="2488"/>
      <c r="Q37" s="2488"/>
      <c r="R37" s="2490"/>
    </row>
    <row r="38" spans="2:18" s="796" customFormat="1">
      <c r="B38" s="2488"/>
      <c r="C38" s="2488"/>
      <c r="D38" s="2488"/>
      <c r="E38" s="2488"/>
      <c r="F38" s="2488"/>
      <c r="G38" s="2489"/>
      <c r="H38" s="2488"/>
      <c r="I38" s="2489"/>
      <c r="J38" s="2488"/>
      <c r="K38" s="2488"/>
      <c r="L38" s="2489"/>
      <c r="M38" s="2488"/>
      <c r="N38" s="2488"/>
      <c r="O38" s="2489"/>
      <c r="P38" s="2488"/>
      <c r="Q38" s="2488"/>
      <c r="R38" s="2490"/>
    </row>
    <row r="39" spans="2:18" s="796" customFormat="1">
      <c r="B39" s="2488"/>
      <c r="C39" s="2488"/>
      <c r="D39" s="2488"/>
      <c r="E39" s="2488"/>
      <c r="F39" s="2488"/>
      <c r="G39" s="2489"/>
      <c r="H39" s="2488"/>
      <c r="I39" s="2489"/>
      <c r="J39" s="2488"/>
      <c r="K39" s="2488"/>
      <c r="L39" s="2489"/>
      <c r="M39" s="2488"/>
      <c r="N39" s="2488"/>
      <c r="O39" s="2489"/>
      <c r="P39" s="2488"/>
      <c r="Q39" s="2488"/>
      <c r="R39" s="2490"/>
    </row>
    <row r="40" spans="2:18" s="796" customFormat="1">
      <c r="B40" s="2488"/>
      <c r="C40" s="2488"/>
      <c r="D40" s="2488"/>
      <c r="E40" s="2488"/>
      <c r="F40" s="2488"/>
      <c r="G40" s="2489"/>
      <c r="H40" s="2488"/>
      <c r="I40" s="2489"/>
      <c r="J40" s="2488"/>
      <c r="K40" s="2488"/>
      <c r="L40" s="2489"/>
      <c r="M40" s="2488"/>
      <c r="N40" s="2488"/>
      <c r="O40" s="2489"/>
      <c r="P40" s="2488"/>
      <c r="Q40" s="2488"/>
      <c r="R40" s="2490"/>
    </row>
    <row r="41" spans="2:18" s="796" customFormat="1">
      <c r="B41" s="2488"/>
      <c r="C41" s="2488"/>
      <c r="D41" s="2488"/>
      <c r="E41" s="2488"/>
      <c r="F41" s="2488"/>
      <c r="G41" s="2489"/>
      <c r="H41" s="2488"/>
      <c r="I41" s="2489"/>
      <c r="J41" s="2488"/>
      <c r="K41" s="2488"/>
      <c r="L41" s="2489"/>
      <c r="M41" s="2488"/>
      <c r="N41" s="2488"/>
      <c r="O41" s="2489"/>
      <c r="P41" s="2488"/>
      <c r="Q41" s="2488"/>
      <c r="R41" s="2490"/>
    </row>
    <row r="42" spans="2:18" s="796" customFormat="1">
      <c r="B42" s="2488"/>
      <c r="C42" s="2488"/>
      <c r="D42" s="2488"/>
      <c r="E42" s="2488"/>
      <c r="F42" s="2488"/>
      <c r="G42" s="2489"/>
      <c r="H42" s="2488"/>
      <c r="I42" s="2489"/>
      <c r="J42" s="2488"/>
      <c r="K42" s="2488"/>
      <c r="L42" s="2489"/>
      <c r="M42" s="2488"/>
      <c r="N42" s="2488"/>
      <c r="O42" s="2489"/>
      <c r="P42" s="2488"/>
      <c r="Q42" s="2488"/>
      <c r="R42" s="2490"/>
    </row>
    <row r="43" spans="2:18" s="796" customFormat="1">
      <c r="B43" s="2488"/>
      <c r="C43" s="2488"/>
      <c r="D43" s="2488"/>
      <c r="E43" s="2488"/>
      <c r="F43" s="2488"/>
      <c r="G43" s="2489"/>
      <c r="H43" s="2488"/>
      <c r="I43" s="2489"/>
      <c r="J43" s="2488"/>
      <c r="K43" s="2488"/>
      <c r="L43" s="2489"/>
      <c r="M43" s="2488"/>
      <c r="N43" s="2488"/>
      <c r="O43" s="2489"/>
      <c r="P43" s="2488"/>
      <c r="Q43" s="2488"/>
      <c r="R43" s="2490"/>
    </row>
    <row r="44" spans="2:18" s="796" customFormat="1">
      <c r="B44" s="2488"/>
      <c r="C44" s="2488"/>
      <c r="D44" s="2488"/>
      <c r="E44" s="2488"/>
      <c r="F44" s="2488"/>
      <c r="G44" s="2489"/>
      <c r="H44" s="2488"/>
      <c r="I44" s="2489"/>
      <c r="J44" s="2488"/>
      <c r="K44" s="2488"/>
      <c r="L44" s="2489"/>
      <c r="M44" s="2488"/>
      <c r="N44" s="2488"/>
      <c r="O44" s="2489"/>
      <c r="P44" s="2488"/>
      <c r="Q44" s="2488"/>
      <c r="R44" s="2490"/>
    </row>
    <row r="45" spans="2:18" s="796" customFormat="1">
      <c r="B45" s="2488"/>
      <c r="C45" s="2488"/>
      <c r="D45" s="2488"/>
      <c r="E45" s="2488"/>
      <c r="F45" s="2488"/>
      <c r="G45" s="2489"/>
      <c r="H45" s="2488"/>
      <c r="I45" s="2489"/>
      <c r="J45" s="2488"/>
      <c r="K45" s="2488"/>
      <c r="L45" s="2489"/>
      <c r="M45" s="2488"/>
      <c r="N45" s="2488"/>
      <c r="O45" s="2489"/>
      <c r="P45" s="2488"/>
      <c r="Q45" s="2488"/>
      <c r="R45" s="2490"/>
    </row>
    <row r="46" spans="2:18" s="796" customFormat="1">
      <c r="B46" s="2488"/>
      <c r="C46" s="2488"/>
      <c r="D46" s="2488"/>
      <c r="E46" s="2488"/>
      <c r="F46" s="2488"/>
      <c r="G46" s="2489"/>
      <c r="H46" s="2488"/>
      <c r="I46" s="2489"/>
      <c r="J46" s="2488"/>
      <c r="K46" s="2488"/>
      <c r="L46" s="2489"/>
      <c r="M46" s="2488"/>
      <c r="N46" s="2488"/>
      <c r="O46" s="2489"/>
      <c r="P46" s="2488"/>
      <c r="Q46" s="2488"/>
      <c r="R46" s="2490"/>
    </row>
    <row r="47" spans="2:18" s="796" customFormat="1">
      <c r="B47" s="2488"/>
      <c r="C47" s="2488"/>
      <c r="D47" s="2488"/>
      <c r="E47" s="2488"/>
      <c r="F47" s="2488"/>
      <c r="G47" s="2489"/>
      <c r="H47" s="2488"/>
      <c r="I47" s="2489"/>
      <c r="J47" s="2488"/>
      <c r="K47" s="2488"/>
      <c r="L47" s="2489"/>
      <c r="M47" s="2488"/>
      <c r="N47" s="2488"/>
      <c r="O47" s="2489"/>
      <c r="P47" s="2488"/>
      <c r="Q47" s="2488"/>
      <c r="R47" s="2490"/>
    </row>
    <row r="48" spans="2:18" s="796" customFormat="1">
      <c r="B48" s="2488"/>
      <c r="C48" s="2488"/>
      <c r="D48" s="2488"/>
      <c r="E48" s="2488"/>
      <c r="F48" s="2488"/>
      <c r="G48" s="2489"/>
      <c r="H48" s="2488"/>
      <c r="I48" s="2489"/>
      <c r="J48" s="2488"/>
      <c r="K48" s="2488"/>
      <c r="L48" s="2489"/>
      <c r="M48" s="2488"/>
      <c r="N48" s="2488"/>
      <c r="O48" s="2489"/>
      <c r="P48" s="2488"/>
      <c r="Q48" s="2488"/>
      <c r="R48" s="2490"/>
    </row>
    <row r="49" spans="2:18" s="796" customFormat="1">
      <c r="B49" s="2488"/>
      <c r="C49" s="2488"/>
      <c r="D49" s="2488"/>
      <c r="E49" s="2488"/>
      <c r="F49" s="2488"/>
      <c r="G49" s="2489"/>
      <c r="H49" s="2488"/>
      <c r="I49" s="2489"/>
      <c r="J49" s="2488"/>
      <c r="K49" s="2488"/>
      <c r="L49" s="2489"/>
      <c r="M49" s="2488"/>
      <c r="N49" s="2488"/>
      <c r="O49" s="2489"/>
      <c r="P49" s="2488"/>
      <c r="Q49" s="2488"/>
      <c r="R49" s="2490"/>
    </row>
    <row r="50" spans="2:18" s="796" customFormat="1">
      <c r="B50" s="2488"/>
      <c r="C50" s="2488"/>
      <c r="D50" s="2488"/>
      <c r="E50" s="2488"/>
      <c r="F50" s="2488"/>
      <c r="G50" s="2489"/>
      <c r="H50" s="2488"/>
      <c r="I50" s="2489"/>
      <c r="J50" s="2488"/>
      <c r="K50" s="2488"/>
      <c r="L50" s="2489"/>
      <c r="M50" s="2488"/>
      <c r="N50" s="2488"/>
      <c r="O50" s="2489"/>
      <c r="P50" s="2488"/>
      <c r="Q50" s="2488"/>
      <c r="R50" s="2490"/>
    </row>
    <row r="51" spans="2:18" s="796" customFormat="1">
      <c r="B51" s="2488"/>
      <c r="C51" s="2488"/>
      <c r="D51" s="2488"/>
      <c r="E51" s="2488"/>
      <c r="F51" s="2488"/>
      <c r="G51" s="2489"/>
      <c r="H51" s="2488"/>
      <c r="I51" s="2489"/>
      <c r="J51" s="2488"/>
      <c r="K51" s="2488"/>
      <c r="L51" s="2489"/>
      <c r="M51" s="2488"/>
      <c r="N51" s="2488"/>
      <c r="O51" s="2489"/>
      <c r="P51" s="2488"/>
      <c r="Q51" s="2488"/>
      <c r="R51" s="2490"/>
    </row>
    <row r="52" spans="2:18" s="796" customFormat="1">
      <c r="B52" s="2488"/>
      <c r="C52" s="2488"/>
      <c r="D52" s="2488"/>
      <c r="E52" s="2488"/>
      <c r="F52" s="2488"/>
      <c r="G52" s="2489"/>
      <c r="H52" s="2488"/>
      <c r="I52" s="2489"/>
      <c r="J52" s="2488"/>
      <c r="K52" s="2488"/>
      <c r="L52" s="2489"/>
      <c r="M52" s="2488"/>
      <c r="N52" s="2488"/>
      <c r="O52" s="2489"/>
      <c r="P52" s="2488"/>
      <c r="Q52" s="2488"/>
      <c r="R52" s="2490"/>
    </row>
    <row r="53" spans="2:18" s="796" customFormat="1">
      <c r="B53" s="2488"/>
      <c r="C53" s="2488"/>
      <c r="D53" s="2488"/>
      <c r="E53" s="2488"/>
      <c r="F53" s="2488"/>
      <c r="G53" s="2489"/>
      <c r="H53" s="2488"/>
      <c r="I53" s="2489"/>
      <c r="J53" s="2488"/>
      <c r="K53" s="2488"/>
      <c r="L53" s="2489"/>
      <c r="M53" s="2488"/>
      <c r="N53" s="2488"/>
      <c r="O53" s="2489"/>
      <c r="P53" s="2488"/>
      <c r="Q53" s="2488"/>
      <c r="R53" s="2490"/>
    </row>
    <row r="54" spans="2:18" s="796" customFormat="1">
      <c r="B54" s="2488"/>
      <c r="C54" s="2488"/>
      <c r="D54" s="2488"/>
      <c r="E54" s="2488"/>
      <c r="F54" s="2488"/>
      <c r="G54" s="2489"/>
      <c r="H54" s="2488"/>
      <c r="I54" s="2489"/>
      <c r="J54" s="2488"/>
      <c r="K54" s="2488"/>
      <c r="L54" s="2489"/>
      <c r="M54" s="2488"/>
      <c r="N54" s="2488"/>
      <c r="O54" s="2489"/>
      <c r="P54" s="2488"/>
      <c r="Q54" s="2488"/>
      <c r="R54" s="2490"/>
    </row>
    <row r="55" spans="2:18" s="796" customFormat="1">
      <c r="B55" s="2488"/>
      <c r="C55" s="2488"/>
      <c r="D55" s="2488"/>
      <c r="E55" s="2488"/>
      <c r="F55" s="2488"/>
      <c r="G55" s="2489"/>
      <c r="H55" s="2488"/>
      <c r="I55" s="2489"/>
      <c r="J55" s="2488"/>
      <c r="K55" s="2488"/>
      <c r="L55" s="2489"/>
      <c r="M55" s="2488"/>
      <c r="N55" s="2488"/>
      <c r="O55" s="2489"/>
      <c r="P55" s="2488"/>
      <c r="Q55" s="2488"/>
      <c r="R55" s="2490"/>
    </row>
    <row r="56" spans="2:18" s="796" customFormat="1">
      <c r="B56" s="2488"/>
      <c r="C56" s="2488"/>
      <c r="D56" s="2488"/>
      <c r="E56" s="2488"/>
      <c r="F56" s="2488"/>
      <c r="G56" s="2489"/>
      <c r="H56" s="2488"/>
      <c r="I56" s="2489"/>
      <c r="J56" s="2488"/>
      <c r="K56" s="2488"/>
      <c r="L56" s="2489"/>
      <c r="M56" s="2488"/>
      <c r="N56" s="2488"/>
      <c r="O56" s="2489"/>
      <c r="P56" s="2488"/>
      <c r="Q56" s="2488"/>
      <c r="R56" s="2490"/>
    </row>
    <row r="57" spans="2:18" s="796" customFormat="1">
      <c r="B57" s="2488"/>
      <c r="C57" s="2488"/>
      <c r="D57" s="2488"/>
      <c r="E57" s="2488"/>
      <c r="F57" s="2488"/>
      <c r="G57" s="2489"/>
      <c r="H57" s="2488"/>
      <c r="I57" s="2489"/>
      <c r="J57" s="2488"/>
      <c r="K57" s="2488"/>
      <c r="L57" s="2489"/>
      <c r="M57" s="2488"/>
      <c r="N57" s="2488"/>
      <c r="O57" s="2489"/>
      <c r="P57" s="2488"/>
      <c r="Q57" s="2488"/>
      <c r="R57" s="2490"/>
    </row>
    <row r="58" spans="2:18" s="796" customFormat="1">
      <c r="B58" s="2488"/>
      <c r="C58" s="2488"/>
      <c r="D58" s="2488"/>
      <c r="E58" s="2488"/>
      <c r="F58" s="2488"/>
      <c r="G58" s="2489"/>
      <c r="H58" s="2488"/>
      <c r="I58" s="2489"/>
      <c r="J58" s="2488"/>
      <c r="K58" s="2488"/>
      <c r="L58" s="2489"/>
      <c r="M58" s="2488"/>
      <c r="N58" s="2488"/>
      <c r="O58" s="2489"/>
      <c r="P58" s="2488"/>
      <c r="Q58" s="2488"/>
      <c r="R58" s="2490"/>
    </row>
    <row r="59" spans="2:18" s="796" customFormat="1">
      <c r="B59" s="2488"/>
      <c r="C59" s="2488"/>
      <c r="D59" s="2488"/>
      <c r="E59" s="2488"/>
      <c r="F59" s="2488"/>
      <c r="G59" s="2489"/>
      <c r="H59" s="2488"/>
      <c r="I59" s="2489"/>
      <c r="J59" s="2488"/>
      <c r="K59" s="2488"/>
      <c r="L59" s="2489"/>
      <c r="M59" s="2488"/>
      <c r="N59" s="2488"/>
      <c r="O59" s="2489"/>
      <c r="P59" s="2488"/>
      <c r="Q59" s="2488"/>
      <c r="R59" s="2490"/>
    </row>
    <row r="60" spans="2:18" s="796" customFormat="1">
      <c r="B60" s="2488"/>
      <c r="C60" s="2488"/>
      <c r="D60" s="2488"/>
      <c r="E60" s="2488"/>
      <c r="F60" s="2488"/>
      <c r="G60" s="2489"/>
      <c r="H60" s="2488"/>
      <c r="I60" s="2489"/>
      <c r="J60" s="2488"/>
      <c r="K60" s="2488"/>
      <c r="L60" s="2489"/>
      <c r="M60" s="2488"/>
      <c r="N60" s="2488"/>
      <c r="O60" s="2489"/>
      <c r="P60" s="2488"/>
      <c r="Q60" s="2488"/>
      <c r="R60" s="2490"/>
    </row>
    <row r="61" spans="2:18" s="796" customFormat="1">
      <c r="B61" s="2488"/>
      <c r="C61" s="2488"/>
      <c r="D61" s="2488"/>
      <c r="E61" s="2488"/>
      <c r="F61" s="2488"/>
      <c r="G61" s="2489"/>
      <c r="H61" s="2488"/>
      <c r="I61" s="2489"/>
      <c r="J61" s="2488"/>
      <c r="K61" s="2488"/>
      <c r="L61" s="2489"/>
      <c r="M61" s="2488"/>
      <c r="N61" s="2488"/>
      <c r="O61" s="2489"/>
      <c r="P61" s="2488"/>
      <c r="Q61" s="2488"/>
      <c r="R61" s="2490"/>
    </row>
    <row r="62" spans="2:18" s="796" customFormat="1">
      <c r="B62" s="2488"/>
      <c r="C62" s="2488"/>
      <c r="D62" s="2488"/>
      <c r="E62" s="2488"/>
      <c r="F62" s="2488"/>
      <c r="G62" s="2489"/>
      <c r="H62" s="2488"/>
      <c r="I62" s="2489"/>
      <c r="J62" s="2488"/>
      <c r="K62" s="2488"/>
      <c r="L62" s="2489"/>
      <c r="M62" s="2488"/>
      <c r="N62" s="2488"/>
      <c r="O62" s="2489"/>
      <c r="P62" s="2488"/>
      <c r="Q62" s="2488"/>
      <c r="R62" s="2490"/>
    </row>
    <row r="63" spans="2:18" s="796" customFormat="1">
      <c r="B63" s="2488"/>
      <c r="C63" s="2488"/>
      <c r="D63" s="2488"/>
      <c r="E63" s="2488"/>
      <c r="F63" s="2488"/>
      <c r="G63" s="2489"/>
      <c r="H63" s="2488"/>
      <c r="I63" s="2489"/>
      <c r="J63" s="2488"/>
      <c r="K63" s="2488"/>
      <c r="L63" s="2489"/>
      <c r="M63" s="2488"/>
      <c r="N63" s="2488"/>
      <c r="O63" s="2489"/>
      <c r="P63" s="2488"/>
      <c r="Q63" s="2488"/>
      <c r="R63" s="2490"/>
    </row>
    <row r="64" spans="2:18" s="796" customFormat="1">
      <c r="B64" s="2488"/>
      <c r="C64" s="2488"/>
      <c r="D64" s="2488"/>
      <c r="E64" s="2488"/>
      <c r="F64" s="2488"/>
      <c r="G64" s="2489"/>
      <c r="H64" s="2488"/>
      <c r="I64" s="2489"/>
      <c r="J64" s="2488"/>
      <c r="K64" s="2488"/>
      <c r="L64" s="2489"/>
      <c r="M64" s="2488"/>
      <c r="N64" s="2488"/>
      <c r="O64" s="2489"/>
      <c r="P64" s="2488"/>
      <c r="Q64" s="2488"/>
      <c r="R64" s="2490"/>
    </row>
    <row r="65" spans="2:18" s="796" customFormat="1">
      <c r="B65" s="2488"/>
      <c r="C65" s="2488"/>
      <c r="D65" s="2488"/>
      <c r="E65" s="2488"/>
      <c r="F65" s="2488"/>
      <c r="G65" s="2489"/>
      <c r="H65" s="2488"/>
      <c r="I65" s="2489"/>
      <c r="J65" s="2488"/>
      <c r="K65" s="2488"/>
      <c r="L65" s="2489"/>
      <c r="M65" s="2488"/>
      <c r="N65" s="2488"/>
      <c r="O65" s="2489"/>
      <c r="P65" s="2488"/>
      <c r="Q65" s="2488"/>
      <c r="R65" s="2490"/>
    </row>
    <row r="66" spans="2:18" s="796" customFormat="1">
      <c r="B66" s="2488"/>
      <c r="C66" s="2488"/>
      <c r="D66" s="2488"/>
      <c r="E66" s="2488"/>
      <c r="F66" s="2488"/>
      <c r="G66" s="2489"/>
      <c r="H66" s="2488"/>
      <c r="I66" s="2489"/>
      <c r="J66" s="2488"/>
      <c r="K66" s="2488"/>
      <c r="L66" s="2489"/>
      <c r="M66" s="2488"/>
      <c r="N66" s="2488"/>
      <c r="O66" s="2489"/>
      <c r="P66" s="2488"/>
      <c r="Q66" s="2488"/>
      <c r="R66" s="2490"/>
    </row>
    <row r="67" spans="2:18" s="796" customFormat="1">
      <c r="B67" s="2488"/>
      <c r="C67" s="2488"/>
      <c r="D67" s="2488"/>
      <c r="E67" s="2488"/>
      <c r="F67" s="2488"/>
      <c r="G67" s="2489"/>
      <c r="H67" s="2488"/>
      <c r="I67" s="2489"/>
      <c r="J67" s="2488"/>
      <c r="K67" s="2488"/>
      <c r="L67" s="2489"/>
      <c r="M67" s="2488"/>
      <c r="N67" s="2488"/>
      <c r="O67" s="2489"/>
      <c r="P67" s="2488"/>
      <c r="Q67" s="2488"/>
      <c r="R67" s="2490"/>
    </row>
    <row r="68" spans="2:18" s="796" customFormat="1">
      <c r="B68" s="2488"/>
      <c r="C68" s="2488"/>
      <c r="D68" s="2488"/>
      <c r="E68" s="2488"/>
      <c r="F68" s="2488"/>
      <c r="G68" s="2489"/>
      <c r="H68" s="2488"/>
      <c r="I68" s="2489"/>
      <c r="J68" s="2488"/>
      <c r="K68" s="2488"/>
      <c r="L68" s="2489"/>
      <c r="M68" s="2488"/>
      <c r="N68" s="2488"/>
      <c r="O68" s="2489"/>
      <c r="P68" s="2488"/>
      <c r="Q68" s="2488"/>
      <c r="R68" s="2490"/>
    </row>
    <row r="69" spans="2:18" s="796" customFormat="1">
      <c r="B69" s="2488"/>
      <c r="C69" s="2488"/>
      <c r="D69" s="2488"/>
      <c r="E69" s="2488"/>
      <c r="F69" s="2488"/>
      <c r="G69" s="2489"/>
      <c r="H69" s="2488"/>
      <c r="I69" s="2489"/>
      <c r="J69" s="2488"/>
      <c r="K69" s="2488"/>
      <c r="L69" s="2489"/>
      <c r="M69" s="2488"/>
      <c r="N69" s="2488"/>
      <c r="O69" s="2489"/>
      <c r="P69" s="2488"/>
      <c r="Q69" s="2488"/>
      <c r="R69" s="2490"/>
    </row>
    <row r="70" spans="2:18" s="796" customFormat="1">
      <c r="B70" s="2488"/>
      <c r="C70" s="2488"/>
      <c r="D70" s="2488"/>
      <c r="E70" s="2488"/>
      <c r="F70" s="2488"/>
      <c r="G70" s="2489"/>
      <c r="H70" s="2488"/>
      <c r="I70" s="2489"/>
      <c r="J70" s="2488"/>
      <c r="K70" s="2488"/>
      <c r="L70" s="2489"/>
      <c r="M70" s="2488"/>
      <c r="N70" s="2488"/>
      <c r="O70" s="2489"/>
      <c r="P70" s="2488"/>
      <c r="Q70" s="2488"/>
      <c r="R70" s="2490"/>
    </row>
    <row r="71" spans="2:18" s="796" customFormat="1">
      <c r="B71" s="2488"/>
      <c r="C71" s="2488"/>
      <c r="D71" s="2488"/>
      <c r="E71" s="2488"/>
      <c r="F71" s="2488"/>
      <c r="G71" s="2489"/>
      <c r="H71" s="2488"/>
      <c r="I71" s="2489"/>
      <c r="J71" s="2488"/>
      <c r="K71" s="2488"/>
      <c r="L71" s="2489"/>
      <c r="M71" s="2488"/>
      <c r="N71" s="2488"/>
      <c r="O71" s="2489"/>
      <c r="P71" s="2488"/>
      <c r="Q71" s="2488"/>
      <c r="R71" s="2490"/>
    </row>
    <row r="72" spans="2:18" s="796" customFormat="1">
      <c r="B72" s="2488"/>
      <c r="C72" s="2488"/>
      <c r="D72" s="2488"/>
      <c r="E72" s="2488"/>
      <c r="F72" s="2488"/>
      <c r="G72" s="2489"/>
      <c r="H72" s="2488"/>
      <c r="I72" s="2489"/>
      <c r="J72" s="2488"/>
      <c r="K72" s="2488"/>
      <c r="L72" s="2489"/>
      <c r="M72" s="2488"/>
      <c r="N72" s="2488"/>
      <c r="O72" s="2489"/>
      <c r="P72" s="2488"/>
      <c r="Q72" s="2488"/>
      <c r="R72" s="2490"/>
    </row>
    <row r="73" spans="2:18" s="796" customFormat="1">
      <c r="B73" s="2488"/>
      <c r="C73" s="2488"/>
      <c r="D73" s="2488"/>
      <c r="E73" s="2488"/>
      <c r="F73" s="2488"/>
      <c r="G73" s="2489"/>
      <c r="H73" s="2488"/>
      <c r="I73" s="2489"/>
      <c r="J73" s="2488"/>
      <c r="K73" s="2488"/>
      <c r="L73" s="2489"/>
      <c r="M73" s="2488"/>
      <c r="N73" s="2488"/>
      <c r="O73" s="2489"/>
      <c r="P73" s="2488"/>
      <c r="Q73" s="2488"/>
      <c r="R73" s="2490"/>
    </row>
    <row r="74" spans="2:18" s="796" customFormat="1">
      <c r="B74" s="2488"/>
      <c r="C74" s="2488"/>
      <c r="D74" s="2488"/>
      <c r="E74" s="2488"/>
      <c r="F74" s="2488"/>
      <c r="G74" s="2489"/>
      <c r="H74" s="2488"/>
      <c r="I74" s="2489"/>
      <c r="J74" s="2488"/>
      <c r="K74" s="2488"/>
      <c r="L74" s="2489"/>
      <c r="M74" s="2488"/>
      <c r="N74" s="2488"/>
      <c r="O74" s="2489"/>
      <c r="P74" s="2488"/>
      <c r="Q74" s="2488"/>
      <c r="R74" s="2490"/>
    </row>
    <row r="75" spans="2:18" s="796" customFormat="1">
      <c r="B75" s="2488"/>
      <c r="C75" s="2488"/>
      <c r="D75" s="2488"/>
      <c r="E75" s="2488"/>
      <c r="F75" s="2488"/>
      <c r="G75" s="2489"/>
      <c r="H75" s="2488"/>
      <c r="I75" s="2489"/>
      <c r="J75" s="2488"/>
      <c r="K75" s="2488"/>
      <c r="L75" s="2489"/>
      <c r="M75" s="2488"/>
      <c r="N75" s="2488"/>
      <c r="O75" s="2489"/>
      <c r="P75" s="2488"/>
      <c r="Q75" s="2488"/>
      <c r="R75" s="2490"/>
    </row>
    <row r="76" spans="2:18" s="796" customFormat="1">
      <c r="B76" s="2488"/>
      <c r="C76" s="2488"/>
      <c r="D76" s="2488"/>
      <c r="E76" s="2488"/>
      <c r="F76" s="2488"/>
      <c r="G76" s="2489"/>
      <c r="H76" s="2488"/>
      <c r="I76" s="2489"/>
      <c r="J76" s="2488"/>
      <c r="K76" s="2488"/>
      <c r="L76" s="2489"/>
      <c r="M76" s="2488"/>
      <c r="N76" s="2488"/>
      <c r="O76" s="2489"/>
      <c r="P76" s="2488"/>
      <c r="Q76" s="2488"/>
      <c r="R76" s="2490"/>
    </row>
    <row r="77" spans="2:18" s="796" customFormat="1">
      <c r="B77" s="2488"/>
      <c r="C77" s="2488"/>
      <c r="D77" s="2488"/>
      <c r="E77" s="2488"/>
      <c r="F77" s="2488"/>
      <c r="G77" s="2489"/>
      <c r="H77" s="2488"/>
      <c r="I77" s="2489"/>
      <c r="J77" s="2488"/>
      <c r="K77" s="2488"/>
      <c r="L77" s="2489"/>
      <c r="M77" s="2488"/>
      <c r="N77" s="2488"/>
      <c r="O77" s="2489"/>
      <c r="P77" s="2488"/>
      <c r="Q77" s="2488"/>
      <c r="R77" s="2490"/>
    </row>
    <row r="78" spans="2:18" s="796" customFormat="1">
      <c r="B78" s="2488"/>
      <c r="C78" s="2488"/>
      <c r="D78" s="2488"/>
      <c r="E78" s="2488"/>
      <c r="F78" s="2488"/>
      <c r="G78" s="2489"/>
      <c r="H78" s="2488"/>
      <c r="I78" s="2489"/>
      <c r="J78" s="2488"/>
      <c r="K78" s="2488"/>
      <c r="L78" s="2489"/>
      <c r="M78" s="2488"/>
      <c r="N78" s="2488"/>
      <c r="O78" s="2489"/>
      <c r="P78" s="2488"/>
      <c r="Q78" s="2488"/>
      <c r="R78" s="2490"/>
    </row>
    <row r="79" spans="2:18" s="796" customFormat="1">
      <c r="B79" s="2488"/>
      <c r="C79" s="2488"/>
      <c r="D79" s="2488"/>
      <c r="E79" s="2488"/>
      <c r="F79" s="2488"/>
      <c r="G79" s="2489"/>
      <c r="H79" s="2488"/>
      <c r="I79" s="2489"/>
      <c r="J79" s="2488"/>
      <c r="K79" s="2488"/>
      <c r="L79" s="2489"/>
      <c r="M79" s="2488"/>
      <c r="N79" s="2488"/>
      <c r="O79" s="2489"/>
      <c r="P79" s="2488"/>
      <c r="Q79" s="2488"/>
      <c r="R79" s="2490"/>
    </row>
    <row r="80" spans="2:18" s="796" customFormat="1">
      <c r="B80" s="2488"/>
      <c r="C80" s="2488"/>
      <c r="D80" s="2488"/>
      <c r="E80" s="2488"/>
      <c r="F80" s="2488"/>
      <c r="G80" s="2489"/>
      <c r="H80" s="2488"/>
      <c r="I80" s="2489"/>
      <c r="J80" s="2488"/>
      <c r="K80" s="2488"/>
      <c r="L80" s="2489"/>
      <c r="M80" s="2488"/>
      <c r="N80" s="2488"/>
      <c r="O80" s="2489"/>
      <c r="P80" s="2488"/>
      <c r="Q80" s="2488"/>
      <c r="R80" s="2490"/>
    </row>
    <row r="81" spans="2:18" s="796" customFormat="1">
      <c r="B81" s="2488"/>
      <c r="C81" s="2488"/>
      <c r="D81" s="2488"/>
      <c r="E81" s="2488"/>
      <c r="F81" s="2488"/>
      <c r="G81" s="2489"/>
      <c r="H81" s="2488"/>
      <c r="I81" s="2489"/>
      <c r="J81" s="2488"/>
      <c r="K81" s="2488"/>
      <c r="L81" s="2489"/>
      <c r="M81" s="2488"/>
      <c r="N81" s="2488"/>
      <c r="O81" s="2489"/>
      <c r="P81" s="2488"/>
      <c r="Q81" s="2488"/>
      <c r="R81" s="2490"/>
    </row>
    <row r="82" spans="2:18" s="796" customFormat="1">
      <c r="B82" s="2488"/>
      <c r="C82" s="2488"/>
      <c r="D82" s="2488"/>
      <c r="E82" s="2488"/>
      <c r="F82" s="2488"/>
      <c r="G82" s="2489"/>
      <c r="H82" s="2488"/>
      <c r="I82" s="2489"/>
      <c r="J82" s="2488"/>
      <c r="K82" s="2488"/>
      <c r="L82" s="2489"/>
      <c r="M82" s="2488"/>
      <c r="N82" s="2488"/>
      <c r="O82" s="2489"/>
      <c r="P82" s="2488"/>
      <c r="Q82" s="2488"/>
      <c r="R82" s="2490"/>
    </row>
    <row r="83" spans="2:18" s="796" customFormat="1">
      <c r="B83" s="2488"/>
      <c r="C83" s="2488"/>
      <c r="D83" s="2488"/>
      <c r="E83" s="2488"/>
      <c r="F83" s="2488"/>
      <c r="G83" s="2489"/>
      <c r="H83" s="2488"/>
      <c r="I83" s="2489"/>
      <c r="J83" s="2488"/>
      <c r="K83" s="2488"/>
      <c r="L83" s="2489"/>
      <c r="M83" s="2488"/>
      <c r="N83" s="2488"/>
      <c r="O83" s="2489"/>
      <c r="P83" s="2488"/>
      <c r="Q83" s="2488"/>
      <c r="R83" s="2490"/>
    </row>
    <row r="84" spans="2:18" s="796" customFormat="1">
      <c r="B84" s="2488"/>
      <c r="C84" s="2488"/>
      <c r="D84" s="2488"/>
      <c r="E84" s="2488"/>
      <c r="F84" s="2488"/>
      <c r="G84" s="2489"/>
      <c r="H84" s="2488"/>
      <c r="I84" s="2489"/>
      <c r="J84" s="2488"/>
      <c r="K84" s="2488"/>
      <c r="L84" s="2489"/>
      <c r="M84" s="2488"/>
      <c r="N84" s="2488"/>
      <c r="O84" s="2489"/>
      <c r="P84" s="2488"/>
      <c r="Q84" s="2488"/>
      <c r="R84" s="2490"/>
    </row>
    <row r="85" spans="2:18" s="796" customFormat="1">
      <c r="B85" s="2488"/>
      <c r="C85" s="2488"/>
      <c r="D85" s="2488"/>
      <c r="E85" s="2488"/>
      <c r="F85" s="2488"/>
      <c r="G85" s="2489"/>
      <c r="H85" s="2488"/>
      <c r="I85" s="2489"/>
      <c r="J85" s="2488"/>
      <c r="K85" s="2488"/>
      <c r="L85" s="2489"/>
      <c r="M85" s="2488"/>
      <c r="N85" s="2488"/>
      <c r="O85" s="2489"/>
      <c r="P85" s="2488"/>
      <c r="Q85" s="2488"/>
      <c r="R85" s="2490"/>
    </row>
    <row r="86" spans="2:18" s="796" customFormat="1">
      <c r="B86" s="2488"/>
      <c r="C86" s="2488"/>
      <c r="D86" s="2488"/>
      <c r="E86" s="2488"/>
      <c r="F86" s="2488"/>
      <c r="G86" s="2489"/>
      <c r="H86" s="2488"/>
      <c r="I86" s="2489"/>
      <c r="J86" s="2488"/>
      <c r="K86" s="2488"/>
      <c r="L86" s="2489"/>
      <c r="M86" s="2488"/>
      <c r="N86" s="2488"/>
      <c r="O86" s="2489"/>
      <c r="P86" s="2488"/>
      <c r="Q86" s="2488"/>
      <c r="R86" s="2490"/>
    </row>
    <row r="87" spans="2:18" s="796" customFormat="1">
      <c r="B87" s="2488"/>
      <c r="C87" s="2488"/>
      <c r="D87" s="2488"/>
      <c r="E87" s="2488"/>
      <c r="F87" s="2488"/>
      <c r="G87" s="2489"/>
      <c r="H87" s="2488"/>
      <c r="I87" s="2489"/>
      <c r="J87" s="2488"/>
      <c r="K87" s="2488"/>
      <c r="L87" s="2489"/>
      <c r="M87" s="2488"/>
      <c r="N87" s="2488"/>
      <c r="O87" s="2489"/>
      <c r="P87" s="2488"/>
      <c r="Q87" s="2488"/>
      <c r="R87" s="2490"/>
    </row>
    <row r="88" spans="2:18" s="796" customFormat="1">
      <c r="B88" s="2488"/>
      <c r="C88" s="2488"/>
      <c r="D88" s="2488"/>
      <c r="E88" s="2488"/>
      <c r="F88" s="2488"/>
      <c r="G88" s="2489"/>
      <c r="H88" s="2488"/>
      <c r="I88" s="2489"/>
      <c r="J88" s="2488"/>
      <c r="K88" s="2488"/>
      <c r="L88" s="2489"/>
      <c r="M88" s="2488"/>
      <c r="N88" s="2488"/>
      <c r="O88" s="2489"/>
      <c r="P88" s="2488"/>
      <c r="Q88" s="2488"/>
      <c r="R88" s="2490"/>
    </row>
    <row r="89" spans="2:18" s="796" customFormat="1">
      <c r="B89" s="2488"/>
      <c r="C89" s="2488"/>
      <c r="D89" s="2488"/>
      <c r="E89" s="2488"/>
      <c r="F89" s="2488"/>
      <c r="G89" s="2489"/>
      <c r="H89" s="2488"/>
      <c r="I89" s="2489"/>
      <c r="J89" s="2488"/>
      <c r="K89" s="2488"/>
      <c r="L89" s="2489"/>
      <c r="M89" s="2488"/>
      <c r="N89" s="2488"/>
      <c r="O89" s="2489"/>
      <c r="P89" s="2488"/>
      <c r="Q89" s="2488"/>
      <c r="R89" s="2490"/>
    </row>
    <row r="90" spans="2:18" s="796" customFormat="1">
      <c r="B90" s="2488"/>
      <c r="C90" s="2488"/>
      <c r="D90" s="2488"/>
      <c r="E90" s="2488"/>
      <c r="F90" s="2488"/>
      <c r="G90" s="2489"/>
      <c r="H90" s="2488"/>
      <c r="I90" s="2489"/>
      <c r="J90" s="2488"/>
      <c r="K90" s="2488"/>
      <c r="L90" s="2489"/>
      <c r="M90" s="2488"/>
      <c r="N90" s="2488"/>
      <c r="O90" s="2489"/>
      <c r="P90" s="2488"/>
      <c r="Q90" s="2488"/>
      <c r="R90" s="2490"/>
    </row>
    <row r="91" spans="2:18" s="796" customFormat="1">
      <c r="B91" s="2488"/>
      <c r="C91" s="2488"/>
      <c r="D91" s="2488"/>
      <c r="E91" s="2488"/>
      <c r="F91" s="2488"/>
      <c r="G91" s="2489"/>
      <c r="H91" s="2488"/>
      <c r="I91" s="2489"/>
      <c r="J91" s="2488"/>
      <c r="K91" s="2488"/>
      <c r="L91" s="2489"/>
      <c r="M91" s="2488"/>
      <c r="N91" s="2488"/>
      <c r="O91" s="2489"/>
      <c r="P91" s="2488"/>
      <c r="Q91" s="2488"/>
      <c r="R91" s="2490"/>
    </row>
    <row r="92" spans="2:18" s="796" customFormat="1">
      <c r="B92" s="2488"/>
      <c r="C92" s="2488"/>
      <c r="D92" s="2488"/>
      <c r="E92" s="2488"/>
      <c r="F92" s="2488"/>
      <c r="G92" s="2489"/>
      <c r="H92" s="2488"/>
      <c r="I92" s="2489"/>
      <c r="J92" s="2488"/>
      <c r="K92" s="2488"/>
      <c r="L92" s="2489"/>
      <c r="M92" s="2488"/>
      <c r="N92" s="2488"/>
      <c r="O92" s="2489"/>
      <c r="P92" s="2488"/>
      <c r="Q92" s="2488"/>
      <c r="R92" s="2490"/>
    </row>
    <row r="93" spans="2:18" s="796" customFormat="1">
      <c r="B93" s="2488"/>
      <c r="C93" s="2488"/>
      <c r="D93" s="2488"/>
      <c r="E93" s="2488"/>
      <c r="F93" s="2488"/>
      <c r="G93" s="2489"/>
      <c r="H93" s="2488"/>
      <c r="I93" s="2489"/>
      <c r="J93" s="2488"/>
      <c r="K93" s="2488"/>
      <c r="L93" s="2489"/>
      <c r="M93" s="2488"/>
      <c r="N93" s="2488"/>
      <c r="O93" s="2489"/>
      <c r="P93" s="2488"/>
      <c r="Q93" s="2488"/>
      <c r="R93" s="2490"/>
    </row>
    <row r="94" spans="2:18" s="796" customFormat="1">
      <c r="B94" s="2488"/>
      <c r="C94" s="2488"/>
      <c r="D94" s="2488"/>
      <c r="E94" s="2488"/>
      <c r="F94" s="2488"/>
      <c r="G94" s="2489"/>
      <c r="H94" s="2488"/>
      <c r="I94" s="2489"/>
      <c r="J94" s="2488"/>
      <c r="K94" s="2488"/>
      <c r="L94" s="2489"/>
      <c r="M94" s="2488"/>
      <c r="N94" s="2488"/>
      <c r="O94" s="2489"/>
      <c r="P94" s="2488"/>
      <c r="Q94" s="2488"/>
      <c r="R94" s="2490"/>
    </row>
    <row r="95" spans="2:18" s="796" customFormat="1">
      <c r="B95" s="2488"/>
      <c r="C95" s="2488"/>
      <c r="D95" s="2488"/>
      <c r="E95" s="2488"/>
      <c r="F95" s="2488"/>
      <c r="G95" s="2489"/>
      <c r="H95" s="2488"/>
      <c r="I95" s="2489"/>
      <c r="J95" s="2488"/>
      <c r="K95" s="2488"/>
      <c r="L95" s="2489"/>
      <c r="M95" s="2488"/>
      <c r="N95" s="2488"/>
      <c r="O95" s="2489"/>
      <c r="P95" s="2488"/>
      <c r="Q95" s="2488"/>
      <c r="R95" s="2490"/>
    </row>
    <row r="96" spans="2:18" s="796" customFormat="1">
      <c r="B96" s="2488"/>
      <c r="C96" s="2488"/>
      <c r="D96" s="2488"/>
      <c r="E96" s="2488"/>
      <c r="F96" s="2488"/>
      <c r="G96" s="2489"/>
      <c r="H96" s="2488"/>
      <c r="I96" s="2489"/>
      <c r="J96" s="2488"/>
      <c r="K96" s="2488"/>
      <c r="L96" s="2489"/>
      <c r="M96" s="2488"/>
      <c r="N96" s="2488"/>
      <c r="O96" s="2489"/>
      <c r="P96" s="2488"/>
      <c r="Q96" s="2488"/>
      <c r="R96" s="2490"/>
    </row>
    <row r="97" spans="2:18" s="796" customFormat="1">
      <c r="B97" s="2488"/>
      <c r="C97" s="2488"/>
      <c r="D97" s="2488"/>
      <c r="E97" s="2488"/>
      <c r="F97" s="2488"/>
      <c r="G97" s="2489"/>
      <c r="H97" s="2488"/>
      <c r="I97" s="2489"/>
      <c r="J97" s="2488"/>
      <c r="K97" s="2488"/>
      <c r="L97" s="2489"/>
      <c r="M97" s="2488"/>
      <c r="N97" s="2488"/>
      <c r="O97" s="2489"/>
      <c r="P97" s="2488"/>
      <c r="Q97" s="2488"/>
      <c r="R97" s="2490"/>
    </row>
    <row r="98" spans="2:18" s="796" customFormat="1">
      <c r="B98" s="2488"/>
      <c r="C98" s="2488"/>
      <c r="D98" s="2488"/>
      <c r="E98" s="2488"/>
      <c r="F98" s="2488"/>
      <c r="G98" s="2489"/>
      <c r="H98" s="2488"/>
      <c r="I98" s="2489"/>
      <c r="J98" s="2488"/>
      <c r="K98" s="2488"/>
      <c r="L98" s="2489"/>
      <c r="M98" s="2488"/>
      <c r="N98" s="2488"/>
      <c r="O98" s="2489"/>
      <c r="P98" s="2488"/>
      <c r="Q98" s="2488"/>
      <c r="R98" s="2490"/>
    </row>
    <row r="99" spans="2:18" s="796" customFormat="1">
      <c r="B99" s="2488"/>
      <c r="C99" s="2488"/>
      <c r="D99" s="2488"/>
      <c r="E99" s="2488"/>
      <c r="F99" s="2488"/>
      <c r="G99" s="2489"/>
      <c r="H99" s="2488"/>
      <c r="I99" s="2489"/>
      <c r="J99" s="2488"/>
      <c r="K99" s="2488"/>
      <c r="L99" s="2489"/>
      <c r="M99" s="2488"/>
      <c r="N99" s="2488"/>
      <c r="O99" s="2489"/>
      <c r="P99" s="2488"/>
      <c r="Q99" s="2488"/>
      <c r="R99" s="2490"/>
    </row>
    <row r="100" spans="2:18" s="796" customFormat="1">
      <c r="B100" s="2488"/>
      <c r="C100" s="2488"/>
      <c r="D100" s="2488"/>
      <c r="E100" s="2488"/>
      <c r="F100" s="2488"/>
      <c r="G100" s="2489"/>
      <c r="H100" s="2488"/>
      <c r="I100" s="2489"/>
      <c r="J100" s="2488"/>
      <c r="K100" s="2488"/>
      <c r="L100" s="2489"/>
      <c r="M100" s="2488"/>
      <c r="N100" s="2488"/>
      <c r="O100" s="2489"/>
      <c r="P100" s="2488"/>
      <c r="Q100" s="2488"/>
      <c r="R100" s="2490"/>
    </row>
    <row r="101" spans="2:18" s="796" customFormat="1">
      <c r="B101" s="2488"/>
      <c r="C101" s="2488"/>
      <c r="D101" s="2488"/>
      <c r="E101" s="2488"/>
      <c r="F101" s="2488"/>
      <c r="G101" s="2489"/>
      <c r="H101" s="2488"/>
      <c r="I101" s="2489"/>
      <c r="J101" s="2488"/>
      <c r="K101" s="2488"/>
      <c r="L101" s="2489"/>
      <c r="M101" s="2488"/>
      <c r="N101" s="2488"/>
      <c r="O101" s="2489"/>
      <c r="P101" s="2488"/>
      <c r="Q101" s="2488"/>
      <c r="R101" s="2490"/>
    </row>
    <row r="102" spans="2:18" s="796" customFormat="1">
      <c r="B102" s="2488"/>
      <c r="C102" s="2488"/>
      <c r="D102" s="2488"/>
      <c r="E102" s="2488"/>
      <c r="F102" s="2488"/>
      <c r="G102" s="2489"/>
      <c r="H102" s="2488"/>
      <c r="I102" s="2489"/>
      <c r="J102" s="2488"/>
      <c r="K102" s="2488"/>
      <c r="L102" s="2489"/>
      <c r="M102" s="2488"/>
      <c r="N102" s="2488"/>
      <c r="O102" s="2489"/>
      <c r="P102" s="2488"/>
      <c r="Q102" s="2488"/>
      <c r="R102" s="2490"/>
    </row>
    <row r="103" spans="2:18" s="796" customFormat="1">
      <c r="B103" s="2488"/>
      <c r="C103" s="2488"/>
      <c r="D103" s="2488"/>
      <c r="E103" s="2488"/>
      <c r="F103" s="2488"/>
      <c r="G103" s="2489"/>
      <c r="H103" s="2488"/>
      <c r="I103" s="2489"/>
      <c r="J103" s="2488"/>
      <c r="K103" s="2488"/>
      <c r="L103" s="2489"/>
      <c r="M103" s="2488"/>
      <c r="N103" s="2488"/>
      <c r="O103" s="2489"/>
      <c r="P103" s="2488"/>
      <c r="Q103" s="2488"/>
      <c r="R103" s="2490"/>
    </row>
    <row r="104" spans="2:18" s="796" customFormat="1">
      <c r="B104" s="2488"/>
      <c r="C104" s="2488"/>
      <c r="D104" s="2488"/>
      <c r="E104" s="2488"/>
      <c r="F104" s="2488"/>
      <c r="G104" s="2489"/>
      <c r="H104" s="2488"/>
      <c r="I104" s="2489"/>
      <c r="J104" s="2488"/>
      <c r="K104" s="2488"/>
      <c r="L104" s="2489"/>
      <c r="M104" s="2488"/>
      <c r="N104" s="2488"/>
      <c r="O104" s="2489"/>
      <c r="P104" s="2488"/>
      <c r="Q104" s="2488"/>
      <c r="R104" s="2490"/>
    </row>
    <row r="105" spans="2:18" s="796" customFormat="1">
      <c r="B105" s="2488"/>
      <c r="C105" s="2488"/>
      <c r="D105" s="2488"/>
      <c r="E105" s="2488"/>
      <c r="F105" s="2488"/>
      <c r="G105" s="2489"/>
      <c r="H105" s="2488"/>
      <c r="I105" s="2489"/>
      <c r="J105" s="2488"/>
      <c r="K105" s="2488"/>
      <c r="L105" s="2489"/>
      <c r="M105" s="2488"/>
      <c r="N105" s="2488"/>
      <c r="O105" s="2489"/>
      <c r="P105" s="2488"/>
      <c r="Q105" s="2488"/>
      <c r="R105" s="2490"/>
    </row>
    <row r="106" spans="2:18" s="796" customFormat="1">
      <c r="B106" s="2488"/>
      <c r="C106" s="2488"/>
      <c r="D106" s="2488"/>
      <c r="E106" s="2488"/>
      <c r="F106" s="2488"/>
      <c r="G106" s="2489"/>
      <c r="H106" s="2488"/>
      <c r="I106" s="2489"/>
      <c r="J106" s="2488"/>
      <c r="K106" s="2488"/>
      <c r="L106" s="2489"/>
      <c r="M106" s="2488"/>
      <c r="N106" s="2488"/>
      <c r="O106" s="2489"/>
      <c r="P106" s="2488"/>
      <c r="Q106" s="2488"/>
      <c r="R106" s="2490"/>
    </row>
    <row r="107" spans="2:18" s="796" customFormat="1">
      <c r="B107" s="2488"/>
      <c r="C107" s="2488"/>
      <c r="D107" s="2488"/>
      <c r="E107" s="2488"/>
      <c r="F107" s="2488"/>
      <c r="G107" s="2489"/>
      <c r="H107" s="2488"/>
      <c r="I107" s="2489"/>
      <c r="J107" s="2488"/>
      <c r="K107" s="2488"/>
      <c r="L107" s="2489"/>
      <c r="M107" s="2488"/>
      <c r="N107" s="2488"/>
      <c r="O107" s="2489"/>
      <c r="P107" s="2488"/>
      <c r="Q107" s="2488"/>
      <c r="R107" s="2490"/>
    </row>
    <row r="108" spans="2:18" s="796" customFormat="1">
      <c r="B108" s="2488"/>
      <c r="C108" s="2488"/>
      <c r="D108" s="2488"/>
      <c r="E108" s="2488"/>
      <c r="F108" s="2488"/>
      <c r="G108" s="2489"/>
      <c r="H108" s="2488"/>
      <c r="I108" s="2489"/>
      <c r="J108" s="2488"/>
      <c r="K108" s="2488"/>
      <c r="L108" s="2489"/>
      <c r="M108" s="2488"/>
      <c r="N108" s="2488"/>
      <c r="O108" s="2489"/>
      <c r="P108" s="2488"/>
      <c r="Q108" s="2488"/>
      <c r="R108" s="2490"/>
    </row>
    <row r="109" spans="2:18" s="796" customFormat="1">
      <c r="B109" s="2488"/>
      <c r="C109" s="2488"/>
      <c r="D109" s="2488"/>
      <c r="E109" s="2488"/>
      <c r="F109" s="2488"/>
      <c r="G109" s="2489"/>
      <c r="H109" s="2488"/>
      <c r="I109" s="2489"/>
      <c r="J109" s="2488"/>
      <c r="K109" s="2488"/>
      <c r="L109" s="2489"/>
      <c r="M109" s="2488"/>
      <c r="N109" s="2488"/>
      <c r="O109" s="2489"/>
      <c r="P109" s="2488"/>
      <c r="Q109" s="2488"/>
      <c r="R109" s="2490"/>
    </row>
    <row r="110" spans="2:18" s="796" customFormat="1">
      <c r="B110" s="2488"/>
      <c r="C110" s="2488"/>
      <c r="D110" s="2488"/>
      <c r="E110" s="2488"/>
      <c r="F110" s="2488"/>
      <c r="G110" s="2489"/>
      <c r="H110" s="2488"/>
      <c r="I110" s="2489"/>
      <c r="J110" s="2488"/>
      <c r="K110" s="2488"/>
      <c r="L110" s="2489"/>
      <c r="M110" s="2488"/>
      <c r="N110" s="2488"/>
      <c r="O110" s="2489"/>
      <c r="P110" s="2488"/>
      <c r="Q110" s="2488"/>
      <c r="R110" s="2490"/>
    </row>
    <row r="111" spans="2:18" s="796" customFormat="1">
      <c r="B111" s="2488"/>
      <c r="C111" s="2488"/>
      <c r="D111" s="2488"/>
      <c r="E111" s="2488"/>
      <c r="F111" s="2488"/>
      <c r="G111" s="2489"/>
      <c r="H111" s="2488"/>
      <c r="I111" s="2489"/>
      <c r="J111" s="2488"/>
      <c r="K111" s="2488"/>
      <c r="L111" s="2489"/>
      <c r="M111" s="2488"/>
      <c r="N111" s="2488"/>
      <c r="O111" s="2489"/>
      <c r="P111" s="2488"/>
      <c r="Q111" s="2488"/>
      <c r="R111" s="2490"/>
    </row>
    <row r="112" spans="2:18" s="796" customFormat="1">
      <c r="B112" s="2488"/>
      <c r="C112" s="2488"/>
      <c r="D112" s="2488"/>
      <c r="E112" s="2488"/>
      <c r="F112" s="2488"/>
      <c r="G112" s="2489"/>
      <c r="H112" s="2488"/>
      <c r="I112" s="2489"/>
      <c r="J112" s="2488"/>
      <c r="K112" s="2488"/>
      <c r="L112" s="2489"/>
      <c r="M112" s="2488"/>
      <c r="N112" s="2488"/>
      <c r="O112" s="2489"/>
      <c r="P112" s="2488"/>
      <c r="Q112" s="2488"/>
      <c r="R112" s="2490"/>
    </row>
    <row r="113" spans="2:18" s="796" customFormat="1">
      <c r="B113" s="2488"/>
      <c r="C113" s="2488"/>
      <c r="D113" s="2488"/>
      <c r="E113" s="2488"/>
      <c r="F113" s="2488"/>
      <c r="G113" s="2489"/>
      <c r="H113" s="2488"/>
      <c r="I113" s="2489"/>
      <c r="J113" s="2488"/>
      <c r="K113" s="2488"/>
      <c r="L113" s="2489"/>
      <c r="M113" s="2488"/>
      <c r="N113" s="2488"/>
      <c r="O113" s="2489"/>
      <c r="P113" s="2488"/>
      <c r="Q113" s="2488"/>
      <c r="R113" s="2490"/>
    </row>
    <row r="114" spans="2:18" s="796" customFormat="1">
      <c r="B114" s="2488"/>
      <c r="C114" s="2488"/>
      <c r="D114" s="2488"/>
      <c r="E114" s="2488"/>
      <c r="F114" s="2488"/>
      <c r="G114" s="2489"/>
      <c r="H114" s="2488"/>
      <c r="I114" s="2489"/>
      <c r="J114" s="2488"/>
      <c r="K114" s="2488"/>
      <c r="L114" s="2489"/>
      <c r="M114" s="2488"/>
      <c r="N114" s="2488"/>
      <c r="O114" s="2489"/>
      <c r="P114" s="2488"/>
      <c r="Q114" s="2488"/>
      <c r="R114" s="2490"/>
    </row>
    <row r="115" spans="2:18" s="796" customFormat="1">
      <c r="B115" s="2488"/>
      <c r="C115" s="2488"/>
      <c r="D115" s="2488"/>
      <c r="E115" s="2488"/>
      <c r="F115" s="2488"/>
      <c r="G115" s="2489"/>
      <c r="H115" s="2488"/>
      <c r="I115" s="2489"/>
      <c r="J115" s="2488"/>
      <c r="K115" s="2488"/>
      <c r="L115" s="2489"/>
      <c r="M115" s="2488"/>
      <c r="N115" s="2488"/>
      <c r="O115" s="2489"/>
      <c r="P115" s="2488"/>
      <c r="Q115" s="2488"/>
      <c r="R115" s="2490"/>
    </row>
    <row r="116" spans="2:18" s="796" customFormat="1">
      <c r="B116" s="2488"/>
      <c r="C116" s="2488"/>
      <c r="D116" s="2488"/>
      <c r="E116" s="2488"/>
      <c r="F116" s="2488"/>
      <c r="G116" s="2489"/>
      <c r="H116" s="2488"/>
      <c r="I116" s="2489"/>
      <c r="J116" s="2488"/>
      <c r="K116" s="2488"/>
      <c r="L116" s="2489"/>
      <c r="M116" s="2488"/>
      <c r="N116" s="2488"/>
      <c r="O116" s="2489"/>
      <c r="P116" s="2488"/>
      <c r="Q116" s="2488"/>
      <c r="R116" s="2490"/>
    </row>
    <row r="117" spans="2:18" s="796" customFormat="1">
      <c r="B117" s="2488"/>
      <c r="C117" s="2488"/>
      <c r="D117" s="2488"/>
      <c r="E117" s="2488"/>
      <c r="F117" s="2488"/>
      <c r="G117" s="2489"/>
      <c r="H117" s="2488"/>
      <c r="I117" s="2489"/>
      <c r="J117" s="2488"/>
      <c r="K117" s="2488"/>
      <c r="L117" s="2489"/>
      <c r="M117" s="2488"/>
      <c r="N117" s="2488"/>
      <c r="O117" s="2489"/>
      <c r="P117" s="2488"/>
      <c r="Q117" s="2488"/>
      <c r="R117" s="2490"/>
    </row>
    <row r="118" spans="2:18" s="796" customFormat="1">
      <c r="B118" s="2488"/>
      <c r="C118" s="2488"/>
      <c r="D118" s="2488"/>
      <c r="E118" s="2488"/>
      <c r="F118" s="2488"/>
      <c r="G118" s="2489"/>
      <c r="H118" s="2488"/>
      <c r="I118" s="2489"/>
      <c r="J118" s="2488"/>
      <c r="K118" s="2488"/>
      <c r="L118" s="2489"/>
      <c r="M118" s="2488"/>
      <c r="N118" s="2488"/>
      <c r="O118" s="2489"/>
      <c r="P118" s="2488"/>
      <c r="Q118" s="2488"/>
      <c r="R118" s="2490"/>
    </row>
    <row r="119" spans="2:18" s="796" customFormat="1">
      <c r="B119" s="2488"/>
      <c r="C119" s="2488"/>
      <c r="D119" s="2488"/>
      <c r="E119" s="2488"/>
      <c r="F119" s="2488"/>
      <c r="G119" s="2489"/>
      <c r="H119" s="2488"/>
      <c r="I119" s="2489"/>
      <c r="J119" s="2488"/>
      <c r="K119" s="2488"/>
      <c r="L119" s="2489"/>
      <c r="M119" s="2488"/>
      <c r="N119" s="2488"/>
      <c r="O119" s="2489"/>
      <c r="P119" s="2488"/>
      <c r="Q119" s="2488"/>
      <c r="R119" s="2490"/>
    </row>
    <row r="120" spans="2:18" s="796" customFormat="1">
      <c r="B120" s="2488"/>
      <c r="C120" s="2488"/>
      <c r="D120" s="2488"/>
      <c r="E120" s="2488"/>
      <c r="F120" s="2488"/>
      <c r="G120" s="2489"/>
      <c r="H120" s="2488"/>
      <c r="I120" s="2489"/>
      <c r="J120" s="2488"/>
      <c r="K120" s="2488"/>
      <c r="L120" s="2489"/>
      <c r="M120" s="2488"/>
      <c r="N120" s="2488"/>
      <c r="O120" s="2489"/>
      <c r="P120" s="2488"/>
      <c r="Q120" s="2488"/>
      <c r="R120" s="2490"/>
    </row>
    <row r="121" spans="2:18" s="796" customFormat="1">
      <c r="B121" s="2488"/>
      <c r="C121" s="2488"/>
      <c r="D121" s="2488"/>
      <c r="E121" s="2488"/>
      <c r="F121" s="2488"/>
      <c r="G121" s="2489"/>
      <c r="H121" s="2488"/>
      <c r="I121" s="2489"/>
      <c r="J121" s="2488"/>
      <c r="K121" s="2488"/>
      <c r="L121" s="2489"/>
      <c r="M121" s="2488"/>
      <c r="N121" s="2488"/>
      <c r="O121" s="2489"/>
      <c r="P121" s="2488"/>
      <c r="Q121" s="2488"/>
      <c r="R121" s="2490"/>
    </row>
    <row r="122" spans="2:18" s="796" customFormat="1">
      <c r="B122" s="2488"/>
      <c r="C122" s="2488"/>
      <c r="D122" s="2488"/>
      <c r="E122" s="2488"/>
      <c r="F122" s="2488"/>
      <c r="G122" s="2489"/>
      <c r="H122" s="2488"/>
      <c r="I122" s="2489"/>
      <c r="J122" s="2488"/>
      <c r="K122" s="2488"/>
      <c r="L122" s="2489"/>
      <c r="M122" s="2488"/>
      <c r="N122" s="2488"/>
      <c r="O122" s="2489"/>
      <c r="P122" s="2488"/>
      <c r="Q122" s="2488"/>
      <c r="R122" s="2490"/>
    </row>
    <row r="123" spans="2:18" s="796" customFormat="1">
      <c r="B123" s="2488"/>
      <c r="C123" s="2488"/>
      <c r="D123" s="2488"/>
      <c r="E123" s="2488"/>
      <c r="F123" s="2488"/>
      <c r="G123" s="2489"/>
      <c r="H123" s="2488"/>
      <c r="I123" s="2489"/>
      <c r="J123" s="2488"/>
      <c r="K123" s="2488"/>
      <c r="L123" s="2489"/>
      <c r="M123" s="2488"/>
      <c r="N123" s="2488"/>
      <c r="O123" s="2489"/>
      <c r="P123" s="2488"/>
      <c r="Q123" s="2488"/>
      <c r="R123" s="2490"/>
    </row>
    <row r="124" spans="2:18" s="796" customFormat="1">
      <c r="B124" s="2488"/>
      <c r="C124" s="2488"/>
      <c r="D124" s="2488"/>
      <c r="E124" s="2488"/>
      <c r="F124" s="2488"/>
      <c r="G124" s="2489"/>
      <c r="H124" s="2488"/>
      <c r="I124" s="2489"/>
      <c r="J124" s="2488"/>
      <c r="K124" s="2488"/>
      <c r="L124" s="2489"/>
      <c r="M124" s="2488"/>
      <c r="N124" s="2488"/>
      <c r="O124" s="2489"/>
      <c r="P124" s="2488"/>
      <c r="Q124" s="2488"/>
      <c r="R124" s="2490"/>
    </row>
    <row r="125" spans="2:18" s="796" customFormat="1">
      <c r="B125" s="2488"/>
      <c r="C125" s="2488"/>
      <c r="D125" s="2488"/>
      <c r="E125" s="2488"/>
      <c r="F125" s="2488"/>
      <c r="G125" s="2489"/>
      <c r="H125" s="2488"/>
      <c r="I125" s="2489"/>
      <c r="J125" s="2488"/>
      <c r="K125" s="2488"/>
      <c r="L125" s="2489"/>
      <c r="M125" s="2488"/>
      <c r="N125" s="2488"/>
      <c r="O125" s="2489"/>
      <c r="P125" s="2488"/>
      <c r="Q125" s="2488"/>
      <c r="R125" s="2490"/>
    </row>
    <row r="126" spans="2:18" s="796" customFormat="1">
      <c r="B126" s="2488"/>
      <c r="C126" s="2488"/>
      <c r="D126" s="2488"/>
      <c r="E126" s="2488"/>
      <c r="F126" s="2488"/>
      <c r="G126" s="2489"/>
      <c r="H126" s="2488"/>
      <c r="I126" s="2489"/>
      <c r="J126" s="2488"/>
      <c r="K126" s="2488"/>
      <c r="L126" s="2489"/>
      <c r="M126" s="2488"/>
      <c r="N126" s="2488"/>
      <c r="O126" s="2489"/>
      <c r="P126" s="2488"/>
      <c r="Q126" s="2488"/>
      <c r="R126" s="2490"/>
    </row>
    <row r="127" spans="2:18" s="796" customFormat="1">
      <c r="B127" s="2488"/>
      <c r="C127" s="2488"/>
      <c r="D127" s="2488"/>
      <c r="E127" s="2488"/>
      <c r="F127" s="2488"/>
      <c r="G127" s="2489"/>
      <c r="H127" s="2488"/>
      <c r="I127" s="2489"/>
      <c r="J127" s="2488"/>
      <c r="K127" s="2488"/>
      <c r="L127" s="2489"/>
      <c r="M127" s="2488"/>
      <c r="N127" s="2488"/>
      <c r="O127" s="2489"/>
      <c r="P127" s="2488"/>
      <c r="Q127" s="2488"/>
      <c r="R127" s="2490"/>
    </row>
    <row r="128" spans="2:18" s="796" customFormat="1">
      <c r="B128" s="2488"/>
      <c r="C128" s="2488"/>
      <c r="D128" s="2488"/>
      <c r="E128" s="2488"/>
      <c r="F128" s="2488"/>
      <c r="G128" s="2489"/>
      <c r="H128" s="2488"/>
      <c r="I128" s="2489"/>
      <c r="J128" s="2488"/>
      <c r="K128" s="2488"/>
      <c r="L128" s="2489"/>
      <c r="M128" s="2488"/>
      <c r="N128" s="2488"/>
      <c r="O128" s="2489"/>
      <c r="P128" s="2488"/>
      <c r="Q128" s="2488"/>
      <c r="R128" s="2490"/>
    </row>
    <row r="129" spans="2:18" s="796" customFormat="1">
      <c r="B129" s="2488"/>
      <c r="C129" s="2488"/>
      <c r="D129" s="2488"/>
      <c r="E129" s="2488"/>
      <c r="F129" s="2488"/>
      <c r="G129" s="2489"/>
      <c r="H129" s="2488"/>
      <c r="I129" s="2489"/>
      <c r="J129" s="2488"/>
      <c r="K129" s="2488"/>
      <c r="L129" s="2489"/>
      <c r="M129" s="2488"/>
      <c r="N129" s="2488"/>
      <c r="O129" s="2489"/>
      <c r="P129" s="2488"/>
      <c r="Q129" s="2488"/>
      <c r="R129" s="2490"/>
    </row>
    <row r="130" spans="2:18" s="796" customFormat="1">
      <c r="B130" s="2488"/>
      <c r="C130" s="2488"/>
      <c r="D130" s="2488"/>
      <c r="E130" s="2488"/>
      <c r="F130" s="2488"/>
      <c r="G130" s="2489"/>
      <c r="H130" s="2488"/>
      <c r="I130" s="2489"/>
      <c r="J130" s="2488"/>
      <c r="K130" s="2488"/>
      <c r="L130" s="2489"/>
      <c r="M130" s="2488"/>
      <c r="N130" s="2488"/>
      <c r="O130" s="2489"/>
      <c r="P130" s="2488"/>
      <c r="Q130" s="2488"/>
      <c r="R130" s="2490"/>
    </row>
    <row r="131" spans="2:18" s="796" customFormat="1">
      <c r="B131" s="2488"/>
      <c r="C131" s="2488"/>
      <c r="D131" s="2488"/>
      <c r="E131" s="2488"/>
      <c r="F131" s="2488"/>
      <c r="G131" s="2489"/>
      <c r="H131" s="2488"/>
      <c r="I131" s="2489"/>
      <c r="J131" s="2488"/>
      <c r="K131" s="2488"/>
      <c r="L131" s="2489"/>
      <c r="M131" s="2488"/>
      <c r="N131" s="2488"/>
      <c r="O131" s="2489"/>
      <c r="P131" s="2488"/>
      <c r="Q131" s="2488"/>
      <c r="R131" s="2490"/>
    </row>
    <row r="132" spans="2:18" s="796" customFormat="1">
      <c r="B132" s="2488"/>
      <c r="C132" s="2488"/>
      <c r="D132" s="2488"/>
      <c r="E132" s="2488"/>
      <c r="F132" s="2488"/>
      <c r="G132" s="2489"/>
      <c r="H132" s="2488"/>
      <c r="I132" s="2489"/>
      <c r="J132" s="2488"/>
      <c r="K132" s="2488"/>
      <c r="L132" s="2489"/>
      <c r="M132" s="2488"/>
      <c r="N132" s="2488"/>
      <c r="O132" s="2489"/>
      <c r="P132" s="2488"/>
      <c r="Q132" s="2488"/>
      <c r="R132" s="2490"/>
    </row>
    <row r="133" spans="2:18" s="796" customFormat="1">
      <c r="B133" s="2488"/>
      <c r="C133" s="2488"/>
      <c r="D133" s="2488"/>
      <c r="E133" s="2488"/>
      <c r="F133" s="2488"/>
      <c r="G133" s="2489"/>
      <c r="H133" s="2488"/>
      <c r="I133" s="2489"/>
      <c r="J133" s="2488"/>
      <c r="K133" s="2488"/>
      <c r="L133" s="2489"/>
      <c r="M133" s="2488"/>
      <c r="N133" s="2488"/>
      <c r="O133" s="2489"/>
      <c r="P133" s="2488"/>
      <c r="Q133" s="2488"/>
      <c r="R133" s="2490"/>
    </row>
    <row r="134" spans="2:18" s="796" customFormat="1">
      <c r="B134" s="2488"/>
      <c r="C134" s="2488"/>
      <c r="D134" s="2488"/>
      <c r="E134" s="2488"/>
      <c r="F134" s="2488"/>
      <c r="G134" s="2489"/>
      <c r="H134" s="2488"/>
      <c r="I134" s="2489"/>
      <c r="J134" s="2488"/>
      <c r="K134" s="2488"/>
      <c r="L134" s="2489"/>
      <c r="M134" s="2488"/>
      <c r="N134" s="2488"/>
      <c r="O134" s="2489"/>
      <c r="P134" s="2488"/>
      <c r="Q134" s="2488"/>
      <c r="R134" s="2490"/>
    </row>
    <row r="135" spans="2:18" s="796" customFormat="1">
      <c r="B135" s="2488"/>
      <c r="C135" s="2488"/>
      <c r="D135" s="2488"/>
      <c r="E135" s="2488"/>
      <c r="F135" s="2488"/>
      <c r="G135" s="2489"/>
      <c r="H135" s="2488"/>
      <c r="I135" s="2489"/>
      <c r="J135" s="2488"/>
      <c r="K135" s="2488"/>
      <c r="L135" s="2489"/>
      <c r="M135" s="2488"/>
      <c r="N135" s="2488"/>
      <c r="O135" s="2489"/>
      <c r="P135" s="2488"/>
      <c r="Q135" s="2488"/>
      <c r="R135" s="2490"/>
    </row>
    <row r="136" spans="2:18" s="796" customFormat="1">
      <c r="B136" s="2488"/>
      <c r="C136" s="2488"/>
      <c r="D136" s="2488"/>
      <c r="E136" s="2488"/>
      <c r="F136" s="2488"/>
      <c r="G136" s="2489"/>
      <c r="H136" s="2488"/>
      <c r="I136" s="2489"/>
      <c r="J136" s="2488"/>
      <c r="K136" s="2488"/>
      <c r="L136" s="2489"/>
      <c r="M136" s="2488"/>
      <c r="N136" s="2488"/>
      <c r="O136" s="2489"/>
      <c r="P136" s="2488"/>
      <c r="Q136" s="2488"/>
      <c r="R136" s="2490"/>
    </row>
    <row r="137" spans="2:18" s="796" customFormat="1">
      <c r="B137" s="2488"/>
      <c r="C137" s="2488"/>
      <c r="D137" s="2488"/>
      <c r="E137" s="2488"/>
      <c r="F137" s="2488"/>
      <c r="G137" s="2489"/>
      <c r="H137" s="2488"/>
      <c r="I137" s="2489"/>
      <c r="J137" s="2488"/>
      <c r="K137" s="2488"/>
      <c r="L137" s="2489"/>
      <c r="M137" s="2488"/>
      <c r="N137" s="2488"/>
      <c r="O137" s="2489"/>
      <c r="P137" s="2488"/>
      <c r="Q137" s="2488"/>
      <c r="R137" s="2490"/>
    </row>
    <row r="138" spans="2:18" s="796" customFormat="1">
      <c r="B138" s="2488"/>
      <c r="C138" s="2488"/>
      <c r="D138" s="2488"/>
      <c r="E138" s="2488"/>
      <c r="F138" s="2488"/>
      <c r="G138" s="2489"/>
      <c r="H138" s="2488"/>
      <c r="I138" s="2489"/>
      <c r="J138" s="2488"/>
      <c r="K138" s="2488"/>
      <c r="L138" s="2489"/>
      <c r="M138" s="2488"/>
      <c r="N138" s="2488"/>
      <c r="O138" s="2489"/>
      <c r="P138" s="2488"/>
      <c r="Q138" s="2488"/>
      <c r="R138" s="2490"/>
    </row>
    <row r="139" spans="2:18" s="796" customFormat="1">
      <c r="B139" s="2488"/>
      <c r="C139" s="2488"/>
      <c r="D139" s="2488"/>
      <c r="E139" s="2488"/>
      <c r="F139" s="2488"/>
      <c r="G139" s="2489"/>
      <c r="H139" s="2488"/>
      <c r="I139" s="2489"/>
      <c r="J139" s="2488"/>
      <c r="K139" s="2488"/>
      <c r="L139" s="2489"/>
      <c r="M139" s="2488"/>
      <c r="N139" s="2488"/>
      <c r="O139" s="2489"/>
      <c r="P139" s="2488"/>
      <c r="Q139" s="2488"/>
      <c r="R139" s="2490"/>
    </row>
    <row r="140" spans="2:18" s="796" customFormat="1">
      <c r="B140" s="2488"/>
      <c r="C140" s="2488"/>
      <c r="D140" s="2488"/>
      <c r="E140" s="2488"/>
      <c r="F140" s="2488"/>
      <c r="G140" s="2489"/>
      <c r="H140" s="2488"/>
      <c r="I140" s="2489"/>
      <c r="J140" s="2488"/>
      <c r="K140" s="2488"/>
      <c r="L140" s="2489"/>
      <c r="M140" s="2488"/>
      <c r="N140" s="2488"/>
      <c r="O140" s="2489"/>
      <c r="P140" s="2488"/>
      <c r="Q140" s="2488"/>
      <c r="R140" s="2490"/>
    </row>
    <row r="141" spans="2:18" s="796" customFormat="1">
      <c r="B141" s="2488"/>
      <c r="C141" s="2488"/>
      <c r="D141" s="2488"/>
      <c r="E141" s="2488"/>
      <c r="F141" s="2488"/>
      <c r="G141" s="2489"/>
      <c r="H141" s="2488"/>
      <c r="I141" s="2489"/>
      <c r="J141" s="2488"/>
      <c r="K141" s="2488"/>
      <c r="L141" s="2489"/>
      <c r="M141" s="2488"/>
      <c r="N141" s="2488"/>
      <c r="O141" s="2489"/>
      <c r="P141" s="2488"/>
      <c r="Q141" s="2488"/>
      <c r="R141" s="2490"/>
    </row>
    <row r="142" spans="2:18" s="796" customFormat="1">
      <c r="B142" s="2488"/>
      <c r="C142" s="2488"/>
      <c r="D142" s="2488"/>
      <c r="E142" s="2488"/>
      <c r="F142" s="2488"/>
      <c r="G142" s="2489"/>
      <c r="H142" s="2488"/>
      <c r="I142" s="2489"/>
      <c r="J142" s="2488"/>
      <c r="K142" s="2488"/>
      <c r="L142" s="2489"/>
      <c r="M142" s="2488"/>
      <c r="N142" s="2488"/>
      <c r="O142" s="2489"/>
      <c r="P142" s="2488"/>
      <c r="Q142" s="2488"/>
      <c r="R142" s="2490"/>
    </row>
    <row r="143" spans="2:18" s="796" customFormat="1">
      <c r="B143" s="2488"/>
      <c r="C143" s="2488"/>
      <c r="D143" s="2488"/>
      <c r="E143" s="2488"/>
      <c r="F143" s="2488"/>
      <c r="G143" s="2489"/>
      <c r="H143" s="2488"/>
      <c r="I143" s="2489"/>
      <c r="J143" s="2488"/>
      <c r="K143" s="2488"/>
      <c r="L143" s="2489"/>
      <c r="M143" s="2488"/>
      <c r="N143" s="2488"/>
      <c r="O143" s="2489"/>
      <c r="P143" s="2488"/>
      <c r="Q143" s="2488"/>
      <c r="R143" s="2490"/>
    </row>
    <row r="144" spans="2:18" s="796" customFormat="1">
      <c r="B144" s="2488"/>
      <c r="C144" s="2488"/>
      <c r="D144" s="2488"/>
      <c r="E144" s="2488"/>
      <c r="F144" s="2488"/>
      <c r="G144" s="2489"/>
      <c r="H144" s="2488"/>
      <c r="I144" s="2489"/>
      <c r="J144" s="2488"/>
      <c r="K144" s="2488"/>
      <c r="L144" s="2489"/>
      <c r="M144" s="2488"/>
      <c r="N144" s="2488"/>
      <c r="O144" s="2489"/>
      <c r="P144" s="2488"/>
      <c r="Q144" s="2488"/>
      <c r="R144" s="2490"/>
    </row>
    <row r="145" spans="2:18" s="796" customFormat="1">
      <c r="B145" s="2488"/>
      <c r="C145" s="2488"/>
      <c r="D145" s="2488"/>
      <c r="E145" s="2488"/>
      <c r="F145" s="2488"/>
      <c r="G145" s="2489"/>
      <c r="H145" s="2488"/>
      <c r="I145" s="2489"/>
      <c r="J145" s="2488"/>
      <c r="K145" s="2488"/>
      <c r="L145" s="2489"/>
      <c r="M145" s="2488"/>
      <c r="N145" s="2488"/>
      <c r="O145" s="2489"/>
      <c r="P145" s="2488"/>
      <c r="Q145" s="2488"/>
      <c r="R145" s="2490"/>
    </row>
    <row r="146" spans="2:18" s="796" customFormat="1">
      <c r="B146" s="2488"/>
      <c r="C146" s="2488"/>
      <c r="D146" s="2488"/>
      <c r="E146" s="2488"/>
      <c r="F146" s="2488"/>
      <c r="G146" s="2489"/>
      <c r="H146" s="2488"/>
      <c r="I146" s="2489"/>
      <c r="J146" s="2488"/>
      <c r="K146" s="2488"/>
      <c r="L146" s="2489"/>
      <c r="M146" s="2488"/>
      <c r="N146" s="2488"/>
      <c r="O146" s="2489"/>
      <c r="P146" s="2488"/>
      <c r="Q146" s="2488"/>
      <c r="R146" s="2490"/>
    </row>
    <row r="147" spans="2:18" s="796" customFormat="1">
      <c r="B147" s="2488"/>
      <c r="C147" s="2488"/>
      <c r="D147" s="2488"/>
      <c r="E147" s="2488"/>
      <c r="F147" s="2488"/>
      <c r="G147" s="2489"/>
      <c r="H147" s="2488"/>
      <c r="I147" s="2489"/>
      <c r="J147" s="2488"/>
      <c r="K147" s="2488"/>
      <c r="L147" s="2489"/>
      <c r="M147" s="2488"/>
      <c r="N147" s="2488"/>
      <c r="O147" s="2489"/>
      <c r="P147" s="2488"/>
      <c r="Q147" s="2488"/>
      <c r="R147" s="2490"/>
    </row>
    <row r="148" spans="2:18" s="796" customFormat="1">
      <c r="B148" s="2488"/>
      <c r="C148" s="2488"/>
      <c r="D148" s="2488"/>
      <c r="E148" s="2488"/>
      <c r="F148" s="2488"/>
      <c r="G148" s="2489"/>
      <c r="H148" s="2488"/>
      <c r="I148" s="2489"/>
      <c r="J148" s="2488"/>
      <c r="K148" s="2488"/>
      <c r="L148" s="2489"/>
      <c r="M148" s="2488"/>
      <c r="N148" s="2488"/>
      <c r="O148" s="2489"/>
      <c r="P148" s="2488"/>
      <c r="Q148" s="2488"/>
      <c r="R148" s="2490"/>
    </row>
    <row r="149" spans="2:18" s="796" customFormat="1">
      <c r="B149" s="2488"/>
      <c r="C149" s="2488"/>
      <c r="D149" s="2488"/>
      <c r="E149" s="2488"/>
      <c r="F149" s="2488"/>
      <c r="G149" s="2489"/>
      <c r="H149" s="2488"/>
      <c r="I149" s="2489"/>
      <c r="J149" s="2488"/>
      <c r="K149" s="2488"/>
      <c r="L149" s="2489"/>
      <c r="M149" s="2488"/>
      <c r="N149" s="2488"/>
      <c r="O149" s="2489"/>
      <c r="P149" s="2488"/>
      <c r="Q149" s="2488"/>
      <c r="R149" s="2490"/>
    </row>
    <row r="150" spans="2:18" s="796" customFormat="1">
      <c r="B150" s="2488"/>
      <c r="C150" s="2488"/>
      <c r="D150" s="2488"/>
      <c r="E150" s="2488"/>
      <c r="F150" s="2488"/>
      <c r="G150" s="2489"/>
      <c r="H150" s="2488"/>
      <c r="I150" s="2489"/>
      <c r="J150" s="2488"/>
      <c r="K150" s="2488"/>
      <c r="L150" s="2489"/>
      <c r="M150" s="2488"/>
      <c r="N150" s="2488"/>
      <c r="O150" s="2489"/>
      <c r="P150" s="2488"/>
      <c r="Q150" s="2488"/>
      <c r="R150" s="2490"/>
    </row>
    <row r="151" spans="2:18" s="796" customFormat="1">
      <c r="B151" s="2488"/>
      <c r="C151" s="2488"/>
      <c r="D151" s="2488"/>
      <c r="E151" s="2488"/>
      <c r="F151" s="2488"/>
      <c r="G151" s="2489"/>
      <c r="H151" s="2488"/>
      <c r="I151" s="2489"/>
      <c r="J151" s="2488"/>
      <c r="K151" s="2488"/>
      <c r="L151" s="2489"/>
      <c r="M151" s="2488"/>
      <c r="N151" s="2488"/>
      <c r="O151" s="2489"/>
      <c r="P151" s="2488"/>
      <c r="Q151" s="2488"/>
      <c r="R151" s="2490"/>
    </row>
    <row r="152" spans="2:18" s="796" customFormat="1">
      <c r="B152" s="2488"/>
      <c r="C152" s="2488"/>
      <c r="D152" s="2488"/>
      <c r="E152" s="2488"/>
      <c r="F152" s="2488"/>
      <c r="G152" s="2489"/>
      <c r="H152" s="2488"/>
      <c r="I152" s="2489"/>
      <c r="J152" s="2488"/>
      <c r="K152" s="2488"/>
      <c r="L152" s="2489"/>
      <c r="M152" s="2488"/>
      <c r="N152" s="2488"/>
      <c r="O152" s="2489"/>
      <c r="P152" s="2488"/>
      <c r="Q152" s="2488"/>
      <c r="R152" s="2490"/>
    </row>
    <row r="153" spans="2:18" s="796" customFormat="1">
      <c r="B153" s="2488"/>
      <c r="C153" s="2488"/>
      <c r="D153" s="2488"/>
      <c r="E153" s="2488"/>
      <c r="F153" s="2488"/>
      <c r="G153" s="2489"/>
      <c r="H153" s="2488"/>
      <c r="I153" s="2489"/>
      <c r="J153" s="2488"/>
      <c r="K153" s="2488"/>
      <c r="L153" s="2489"/>
      <c r="M153" s="2488"/>
      <c r="N153" s="2488"/>
      <c r="O153" s="2489"/>
      <c r="P153" s="2488"/>
      <c r="Q153" s="2488"/>
      <c r="R153" s="2490"/>
    </row>
    <row r="154" spans="2:18" s="796" customFormat="1">
      <c r="B154" s="2488"/>
      <c r="C154" s="2488"/>
      <c r="D154" s="2488"/>
      <c r="E154" s="2488"/>
      <c r="F154" s="2488"/>
      <c r="G154" s="2489"/>
      <c r="H154" s="2488"/>
      <c r="I154" s="2489"/>
      <c r="J154" s="2488"/>
      <c r="K154" s="2488"/>
      <c r="L154" s="2489"/>
      <c r="M154" s="2488"/>
      <c r="N154" s="2488"/>
      <c r="O154" s="2489"/>
      <c r="P154" s="2488"/>
      <c r="Q154" s="2488"/>
      <c r="R154" s="2490"/>
    </row>
    <row r="155" spans="2:18" s="796" customFormat="1">
      <c r="B155" s="2488"/>
      <c r="C155" s="2488"/>
      <c r="D155" s="2488"/>
      <c r="E155" s="2488"/>
      <c r="F155" s="2488"/>
      <c r="G155" s="2489"/>
      <c r="H155" s="2488"/>
      <c r="I155" s="2489"/>
      <c r="J155" s="2488"/>
      <c r="K155" s="2488"/>
      <c r="L155" s="2489"/>
      <c r="M155" s="2488"/>
      <c r="N155" s="2488"/>
      <c r="O155" s="2489"/>
      <c r="P155" s="2488"/>
      <c r="Q155" s="2488"/>
      <c r="R155" s="2490"/>
    </row>
    <row r="156" spans="2:18" s="796" customFormat="1">
      <c r="B156" s="2488"/>
      <c r="C156" s="2488"/>
      <c r="D156" s="2488"/>
      <c r="E156" s="2488"/>
      <c r="F156" s="2488"/>
      <c r="G156" s="2489"/>
      <c r="H156" s="2488"/>
      <c r="I156" s="2489"/>
      <c r="J156" s="2488"/>
      <c r="K156" s="2488"/>
      <c r="L156" s="2489"/>
      <c r="M156" s="2488"/>
      <c r="N156" s="2488"/>
      <c r="O156" s="2489"/>
      <c r="P156" s="2488"/>
      <c r="Q156" s="2488"/>
      <c r="R156" s="2490"/>
    </row>
    <row r="157" spans="2:18" s="796" customFormat="1">
      <c r="B157" s="2488"/>
      <c r="C157" s="2488"/>
      <c r="D157" s="2488"/>
      <c r="E157" s="2488"/>
      <c r="F157" s="2488"/>
      <c r="G157" s="2489"/>
      <c r="H157" s="2488"/>
      <c r="I157" s="2489"/>
      <c r="J157" s="2488"/>
      <c r="K157" s="2488"/>
      <c r="L157" s="2489"/>
      <c r="M157" s="2488"/>
      <c r="N157" s="2488"/>
      <c r="O157" s="2489"/>
      <c r="P157" s="2488"/>
      <c r="Q157" s="2488"/>
      <c r="R157" s="2490"/>
    </row>
    <row r="158" spans="2:18" s="796" customFormat="1">
      <c r="B158" s="2488"/>
      <c r="C158" s="2488"/>
      <c r="D158" s="2488"/>
      <c r="E158" s="2488"/>
      <c r="F158" s="2488"/>
      <c r="G158" s="2489"/>
      <c r="H158" s="2488"/>
      <c r="I158" s="2489"/>
      <c r="J158" s="2488"/>
      <c r="K158" s="2488"/>
      <c r="L158" s="2489"/>
      <c r="M158" s="2488"/>
      <c r="N158" s="2488"/>
      <c r="O158" s="2489"/>
      <c r="P158" s="2488"/>
      <c r="Q158" s="2488"/>
      <c r="R158" s="2490"/>
    </row>
    <row r="159" spans="2:18" s="796" customFormat="1">
      <c r="B159" s="2488"/>
      <c r="C159" s="2488"/>
      <c r="D159" s="2488"/>
      <c r="E159" s="2488"/>
      <c r="F159" s="2488"/>
      <c r="G159" s="2489"/>
      <c r="H159" s="2488"/>
      <c r="I159" s="2489"/>
      <c r="J159" s="2488"/>
      <c r="K159" s="2488"/>
      <c r="L159" s="2489"/>
      <c r="M159" s="2488"/>
      <c r="N159" s="2488"/>
      <c r="O159" s="2489"/>
      <c r="P159" s="2488"/>
      <c r="Q159" s="2488"/>
      <c r="R159" s="2490"/>
    </row>
    <row r="160" spans="2:18" s="796" customFormat="1">
      <c r="B160" s="2488"/>
      <c r="C160" s="2488"/>
      <c r="D160" s="2488"/>
      <c r="E160" s="2488"/>
      <c r="F160" s="2488"/>
      <c r="G160" s="2489"/>
      <c r="H160" s="2488"/>
      <c r="I160" s="2489"/>
      <c r="J160" s="2488"/>
      <c r="K160" s="2488"/>
      <c r="L160" s="2489"/>
      <c r="M160" s="2488"/>
      <c r="N160" s="2488"/>
      <c r="O160" s="2489"/>
      <c r="P160" s="2488"/>
      <c r="Q160" s="2488"/>
      <c r="R160" s="2490"/>
    </row>
    <row r="161" spans="2:18" s="796" customFormat="1">
      <c r="B161" s="2488"/>
      <c r="C161" s="2488"/>
      <c r="D161" s="2488"/>
      <c r="E161" s="2488"/>
      <c r="F161" s="2488"/>
      <c r="G161" s="2489"/>
      <c r="H161" s="2488"/>
      <c r="I161" s="2489"/>
      <c r="J161" s="2488"/>
      <c r="K161" s="2488"/>
      <c r="L161" s="2489"/>
      <c r="M161" s="2488"/>
      <c r="N161" s="2488"/>
      <c r="O161" s="2489"/>
      <c r="P161" s="2488"/>
      <c r="Q161" s="2488"/>
      <c r="R161" s="2490"/>
    </row>
    <row r="162" spans="2:18" s="796" customFormat="1">
      <c r="B162" s="2488"/>
      <c r="C162" s="2488"/>
      <c r="D162" s="2488"/>
      <c r="E162" s="2488"/>
      <c r="F162" s="2488"/>
      <c r="G162" s="2489"/>
      <c r="H162" s="2488"/>
      <c r="I162" s="2489"/>
      <c r="J162" s="2488"/>
      <c r="K162" s="2488"/>
      <c r="L162" s="2489"/>
      <c r="M162" s="2488"/>
      <c r="N162" s="2488"/>
      <c r="O162" s="2489"/>
      <c r="P162" s="2488"/>
      <c r="Q162" s="2488"/>
      <c r="R162" s="2490"/>
    </row>
    <row r="163" spans="2:18" s="796" customFormat="1">
      <c r="B163" s="2488"/>
      <c r="C163" s="2488"/>
      <c r="D163" s="2488"/>
      <c r="E163" s="2488"/>
      <c r="F163" s="2488"/>
      <c r="G163" s="2489"/>
      <c r="H163" s="2488"/>
      <c r="I163" s="2489"/>
      <c r="J163" s="2488"/>
      <c r="K163" s="2488"/>
      <c r="L163" s="2489"/>
      <c r="M163" s="2488"/>
      <c r="N163" s="2488"/>
      <c r="O163" s="2489"/>
      <c r="P163" s="2488"/>
      <c r="Q163" s="2488"/>
      <c r="R163" s="2490"/>
    </row>
    <row r="164" spans="2:18" s="796" customFormat="1">
      <c r="B164" s="2488"/>
      <c r="C164" s="2488"/>
      <c r="D164" s="2488"/>
      <c r="E164" s="2488"/>
      <c r="F164" s="2488"/>
      <c r="G164" s="2489"/>
      <c r="H164" s="2488"/>
      <c r="I164" s="2489"/>
      <c r="J164" s="2488"/>
      <c r="K164" s="2488"/>
      <c r="L164" s="2489"/>
      <c r="M164" s="2488"/>
      <c r="N164" s="2488"/>
      <c r="O164" s="2489"/>
      <c r="P164" s="2488"/>
      <c r="Q164" s="2488"/>
      <c r="R164" s="2490"/>
    </row>
    <row r="165" spans="2:18" s="796" customFormat="1">
      <c r="B165" s="2488"/>
      <c r="C165" s="2488"/>
      <c r="D165" s="2488"/>
      <c r="E165" s="2488"/>
      <c r="F165" s="2488"/>
      <c r="G165" s="2489"/>
      <c r="H165" s="2488"/>
      <c r="I165" s="2489"/>
      <c r="J165" s="2488"/>
      <c r="K165" s="2488"/>
      <c r="L165" s="2489"/>
      <c r="M165" s="2488"/>
      <c r="N165" s="2488"/>
      <c r="O165" s="2489"/>
      <c r="P165" s="2488"/>
      <c r="Q165" s="2488"/>
      <c r="R165" s="2490"/>
    </row>
    <row r="166" spans="2:18" s="796" customFormat="1">
      <c r="B166" s="2488"/>
      <c r="C166" s="2488"/>
      <c r="D166" s="2488"/>
      <c r="E166" s="2488"/>
      <c r="F166" s="2488"/>
      <c r="G166" s="2489"/>
      <c r="H166" s="2488"/>
      <c r="I166" s="2489"/>
      <c r="J166" s="2488"/>
      <c r="K166" s="2488"/>
      <c r="L166" s="2489"/>
      <c r="M166" s="2488"/>
      <c r="N166" s="2488"/>
      <c r="O166" s="2489"/>
      <c r="P166" s="2488"/>
      <c r="Q166" s="2488"/>
      <c r="R166" s="2490"/>
    </row>
    <row r="167" spans="2:18" s="796" customFormat="1">
      <c r="B167" s="2488"/>
      <c r="C167" s="2488"/>
      <c r="D167" s="2488"/>
      <c r="E167" s="2488"/>
      <c r="F167" s="2488"/>
      <c r="G167" s="2489"/>
      <c r="H167" s="2488"/>
      <c r="I167" s="2489"/>
      <c r="J167" s="2488"/>
      <c r="K167" s="2488"/>
      <c r="L167" s="2489"/>
      <c r="M167" s="2488"/>
      <c r="N167" s="2488"/>
      <c r="O167" s="2489"/>
      <c r="P167" s="2488"/>
      <c r="Q167" s="2488"/>
      <c r="R167" s="2490"/>
    </row>
    <row r="168" spans="2:18" s="796" customFormat="1">
      <c r="B168" s="2488"/>
      <c r="C168" s="2488"/>
      <c r="D168" s="2488"/>
      <c r="E168" s="2488"/>
      <c r="F168" s="2488"/>
      <c r="G168" s="2489"/>
      <c r="H168" s="2488"/>
      <c r="I168" s="2489"/>
      <c r="J168" s="2488"/>
      <c r="K168" s="2488"/>
      <c r="L168" s="2489"/>
      <c r="M168" s="2488"/>
      <c r="N168" s="2488"/>
      <c r="O168" s="2489"/>
      <c r="P168" s="2488"/>
      <c r="Q168" s="2488"/>
      <c r="R168" s="2490"/>
    </row>
    <row r="169" spans="2:18" s="796" customFormat="1">
      <c r="B169" s="2488"/>
      <c r="C169" s="2488"/>
      <c r="D169" s="2488"/>
      <c r="E169" s="2488"/>
      <c r="F169" s="2488"/>
      <c r="G169" s="2489"/>
      <c r="H169" s="2488"/>
      <c r="I169" s="2489"/>
      <c r="J169" s="2488"/>
      <c r="K169" s="2488"/>
      <c r="L169" s="2489"/>
      <c r="M169" s="2488"/>
      <c r="N169" s="2488"/>
      <c r="O169" s="2489"/>
      <c r="P169" s="2488"/>
      <c r="Q169" s="2488"/>
      <c r="R169" s="2490"/>
    </row>
    <row r="170" spans="2:18" s="796" customFormat="1">
      <c r="B170" s="2488"/>
      <c r="C170" s="2488"/>
      <c r="D170" s="2488"/>
      <c r="E170" s="2488"/>
      <c r="F170" s="2488"/>
      <c r="G170" s="2489"/>
      <c r="H170" s="2488"/>
      <c r="I170" s="2489"/>
      <c r="J170" s="2488"/>
      <c r="K170" s="2488"/>
      <c r="L170" s="2489"/>
      <c r="M170" s="2488"/>
      <c r="N170" s="2488"/>
      <c r="O170" s="2489"/>
      <c r="P170" s="2488"/>
      <c r="Q170" s="2488"/>
      <c r="R170" s="2490"/>
    </row>
    <row r="171" spans="2:18" s="796" customFormat="1">
      <c r="B171" s="2488"/>
      <c r="C171" s="2488"/>
      <c r="D171" s="2488"/>
      <c r="E171" s="2488"/>
      <c r="F171" s="2488"/>
      <c r="G171" s="2489"/>
      <c r="H171" s="2488"/>
      <c r="I171" s="2489"/>
      <c r="J171" s="2488"/>
      <c r="K171" s="2488"/>
      <c r="L171" s="2489"/>
      <c r="M171" s="2488"/>
      <c r="N171" s="2488"/>
      <c r="O171" s="2489"/>
      <c r="P171" s="2488"/>
      <c r="Q171" s="2488"/>
      <c r="R171" s="2490"/>
    </row>
    <row r="172" spans="2:18" s="796" customFormat="1">
      <c r="B172" s="2488"/>
      <c r="C172" s="2488"/>
      <c r="D172" s="2488"/>
      <c r="E172" s="2488"/>
      <c r="F172" s="2488"/>
      <c r="G172" s="2489"/>
      <c r="H172" s="2488"/>
      <c r="I172" s="2489"/>
      <c r="J172" s="2488"/>
      <c r="K172" s="2488"/>
      <c r="L172" s="2489"/>
      <c r="M172" s="2488"/>
      <c r="N172" s="2488"/>
      <c r="O172" s="2489"/>
      <c r="P172" s="2488"/>
      <c r="Q172" s="2488"/>
      <c r="R172" s="2490"/>
    </row>
    <row r="173" spans="2:18" s="796" customFormat="1">
      <c r="B173" s="2488"/>
      <c r="C173" s="2488"/>
      <c r="D173" s="2488"/>
      <c r="E173" s="2488"/>
      <c r="F173" s="2488"/>
      <c r="G173" s="2489"/>
      <c r="H173" s="2488"/>
      <c r="I173" s="2489"/>
      <c r="J173" s="2488"/>
      <c r="K173" s="2488"/>
      <c r="L173" s="2489"/>
      <c r="M173" s="2488"/>
      <c r="N173" s="2488"/>
      <c r="O173" s="2489"/>
      <c r="P173" s="2488"/>
      <c r="Q173" s="2488"/>
      <c r="R173" s="2490"/>
    </row>
    <row r="174" spans="2:18" s="796" customFormat="1">
      <c r="B174" s="2488"/>
      <c r="C174" s="2488"/>
      <c r="D174" s="2488"/>
      <c r="E174" s="2488"/>
      <c r="F174" s="2488"/>
      <c r="G174" s="2489"/>
      <c r="H174" s="2488"/>
      <c r="I174" s="2489"/>
      <c r="J174" s="2488"/>
      <c r="K174" s="2488"/>
      <c r="L174" s="2489"/>
      <c r="M174" s="2488"/>
      <c r="N174" s="2488"/>
      <c r="O174" s="2489"/>
      <c r="P174" s="2488"/>
      <c r="Q174" s="2488"/>
      <c r="R174" s="2490"/>
    </row>
    <row r="175" spans="2:18" s="796" customFormat="1">
      <c r="B175" s="2488"/>
      <c r="C175" s="2488"/>
      <c r="D175" s="2488"/>
      <c r="E175" s="2488"/>
      <c r="F175" s="2488"/>
      <c r="G175" s="2489"/>
      <c r="H175" s="2488"/>
      <c r="I175" s="2489"/>
      <c r="J175" s="2488"/>
      <c r="K175" s="2488"/>
      <c r="L175" s="2489"/>
      <c r="M175" s="2488"/>
      <c r="N175" s="2488"/>
      <c r="O175" s="2489"/>
      <c r="P175" s="2488"/>
      <c r="Q175" s="2488"/>
      <c r="R175" s="2490"/>
    </row>
    <row r="176" spans="2:18" s="796" customFormat="1">
      <c r="B176" s="2488"/>
      <c r="C176" s="2488"/>
      <c r="D176" s="2488"/>
      <c r="E176" s="2488"/>
      <c r="F176" s="2488"/>
      <c r="G176" s="2489"/>
      <c r="H176" s="2488"/>
      <c r="I176" s="2489"/>
      <c r="J176" s="2488"/>
      <c r="K176" s="2488"/>
      <c r="L176" s="2489"/>
      <c r="M176" s="2488"/>
      <c r="N176" s="2488"/>
      <c r="O176" s="2489"/>
      <c r="P176" s="2488"/>
      <c r="Q176" s="2488"/>
      <c r="R176" s="2490"/>
    </row>
    <row r="177" spans="1:18" s="796" customFormat="1">
      <c r="B177" s="2488"/>
      <c r="C177" s="2488"/>
      <c r="D177" s="2488"/>
      <c r="E177" s="2488"/>
      <c r="F177" s="2488"/>
      <c r="G177" s="2489"/>
      <c r="H177" s="2488"/>
      <c r="I177" s="2489"/>
      <c r="J177" s="2488"/>
      <c r="K177" s="2488"/>
      <c r="L177" s="2489"/>
      <c r="M177" s="2488"/>
      <c r="N177" s="2488"/>
      <c r="O177" s="2489"/>
      <c r="P177" s="2488"/>
      <c r="Q177" s="2488"/>
      <c r="R177" s="2490"/>
    </row>
    <row r="178" spans="1:18" s="796" customFormat="1">
      <c r="B178" s="2488"/>
      <c r="C178" s="2488"/>
      <c r="D178" s="2488"/>
      <c r="E178" s="2488"/>
      <c r="F178" s="2488"/>
      <c r="G178" s="2489"/>
      <c r="H178" s="2488"/>
      <c r="I178" s="2489"/>
      <c r="J178" s="2488"/>
      <c r="K178" s="2488"/>
      <c r="L178" s="2489"/>
      <c r="M178" s="2488"/>
      <c r="N178" s="2488"/>
      <c r="O178" s="2489"/>
      <c r="P178" s="2488"/>
      <c r="Q178" s="2488"/>
      <c r="R178" s="2490"/>
    </row>
    <row r="179" spans="1:18" s="796" customFormat="1">
      <c r="B179" s="2488"/>
      <c r="C179" s="2488"/>
      <c r="D179" s="2488"/>
      <c r="E179" s="2488"/>
      <c r="F179" s="2488"/>
      <c r="G179" s="2489"/>
      <c r="H179" s="2488"/>
      <c r="I179" s="2489"/>
      <c r="J179" s="2488"/>
      <c r="K179" s="2488"/>
      <c r="L179" s="2489"/>
      <c r="M179" s="2488"/>
      <c r="N179" s="2488"/>
      <c r="O179" s="2489"/>
      <c r="P179" s="2488"/>
      <c r="Q179" s="2488"/>
      <c r="R179" s="2490"/>
    </row>
    <row r="180" spans="1:18" s="796" customFormat="1">
      <c r="B180" s="2488"/>
      <c r="C180" s="2488"/>
      <c r="D180" s="2488"/>
      <c r="E180" s="2488"/>
      <c r="F180" s="2488"/>
      <c r="G180" s="2489"/>
      <c r="H180" s="2488"/>
      <c r="I180" s="2489"/>
      <c r="J180" s="2488"/>
      <c r="K180" s="2488"/>
      <c r="L180" s="2489"/>
      <c r="M180" s="2488"/>
      <c r="N180" s="2488"/>
      <c r="O180" s="2489"/>
      <c r="P180" s="2488"/>
      <c r="Q180" s="2488"/>
      <c r="R180" s="2490"/>
    </row>
    <row r="181" spans="1:18" s="796" customFormat="1">
      <c r="B181" s="2488"/>
      <c r="C181" s="2488"/>
      <c r="D181" s="2488"/>
      <c r="E181" s="2488"/>
      <c r="F181" s="2488"/>
      <c r="G181" s="2489"/>
      <c r="H181" s="2488"/>
      <c r="I181" s="2489"/>
      <c r="J181" s="2488"/>
      <c r="K181" s="2488"/>
      <c r="L181" s="2489"/>
      <c r="M181" s="2488"/>
      <c r="N181" s="2488"/>
      <c r="O181" s="2489"/>
      <c r="P181" s="2488"/>
      <c r="Q181" s="2488"/>
      <c r="R181" s="2490"/>
    </row>
    <row r="182" spans="1:18" s="796" customFormat="1">
      <c r="B182" s="2488"/>
      <c r="C182" s="2488"/>
      <c r="D182" s="2488"/>
      <c r="E182" s="2488"/>
      <c r="F182" s="2488"/>
      <c r="G182" s="2489"/>
      <c r="H182" s="2488"/>
      <c r="I182" s="2489"/>
      <c r="J182" s="2488"/>
      <c r="K182" s="2488"/>
      <c r="L182" s="2489"/>
      <c r="M182" s="2488"/>
      <c r="N182" s="2488"/>
      <c r="O182" s="2489"/>
      <c r="P182" s="2488"/>
      <c r="Q182" s="2488"/>
      <c r="R182" s="2490"/>
    </row>
    <row r="183" spans="1:18" s="796" customFormat="1">
      <c r="B183" s="2488"/>
      <c r="C183" s="2488"/>
      <c r="D183" s="2488"/>
      <c r="E183" s="2488"/>
      <c r="F183" s="2488"/>
      <c r="G183" s="2489"/>
      <c r="H183" s="2488"/>
      <c r="I183" s="2489"/>
      <c r="J183" s="2488"/>
      <c r="K183" s="2488"/>
      <c r="L183" s="2489"/>
      <c r="M183" s="2488"/>
      <c r="N183" s="2488"/>
      <c r="O183" s="2489"/>
      <c r="P183" s="2488"/>
      <c r="Q183" s="2488"/>
      <c r="R183" s="2490"/>
    </row>
    <row r="184" spans="1:18" s="796" customFormat="1">
      <c r="B184" s="2488"/>
      <c r="C184" s="2488"/>
      <c r="D184" s="2488"/>
      <c r="E184" s="2488"/>
      <c r="F184" s="2488"/>
      <c r="G184" s="2489"/>
      <c r="H184" s="2488"/>
      <c r="I184" s="2489"/>
      <c r="J184" s="2488"/>
      <c r="K184" s="2488"/>
      <c r="L184" s="2489"/>
      <c r="M184" s="2488"/>
      <c r="N184" s="2488"/>
      <c r="O184" s="2489"/>
      <c r="P184" s="2488"/>
      <c r="Q184" s="2488"/>
      <c r="R184" s="2490"/>
    </row>
    <row r="185" spans="1:18" s="796"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6"/>
      <c r="B186" s="2488"/>
      <c r="C186" s="2488"/>
      <c r="E186" s="2488"/>
      <c r="F186" s="2488"/>
      <c r="G186" s="2489"/>
    </row>
    <row r="187" spans="1:18">
      <c r="A187" s="796"/>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M32" sqref="M32"/>
    </sheetView>
  </sheetViews>
  <sheetFormatPr defaultColWidth="9" defaultRowHeight="14.4"/>
  <cols>
    <col min="1" max="1" width="25" style="2510" customWidth="1"/>
    <col min="2" max="9" width="15.77734375" style="2510" customWidth="1"/>
    <col min="10" max="16384" width="9" style="2510"/>
  </cols>
  <sheetData>
    <row r="1" spans="1:11" ht="16.2">
      <c r="A1" s="2509" t="s">
        <v>664</v>
      </c>
      <c r="B1" s="2509">
        <f>SUM(B14:B23)</f>
        <v>112144.47999999998</v>
      </c>
      <c r="C1" s="2683"/>
      <c r="D1" s="2683"/>
      <c r="E1" s="2683"/>
      <c r="F1" s="2683"/>
      <c r="G1" s="2684"/>
      <c r="H1" s="2685"/>
      <c r="I1" s="2685"/>
      <c r="J1" s="2685"/>
      <c r="K1" s="2685"/>
    </row>
    <row r="2" spans="1:11" ht="16.2">
      <c r="A2" s="2509" t="s">
        <v>652</v>
      </c>
      <c r="B2" s="2509">
        <f>SUM(C14:C23)</f>
        <v>10426.780000000001</v>
      </c>
      <c r="C2" s="2683"/>
      <c r="D2" s="2683"/>
      <c r="E2" s="2683"/>
      <c r="F2" s="2683"/>
      <c r="G2" s="2684"/>
      <c r="H2" s="2685"/>
      <c r="I2" s="2685"/>
      <c r="J2" s="2685"/>
      <c r="K2" s="2685"/>
    </row>
    <row r="3" spans="1:11" ht="15.6">
      <c r="A3" s="2509" t="s">
        <v>661</v>
      </c>
      <c r="B3" s="2511">
        <f>项目基本情况!D3</f>
        <v>45295</v>
      </c>
      <c r="C3" s="2683"/>
      <c r="D3" s="2683"/>
      <c r="E3" s="2683"/>
      <c r="F3" s="2683"/>
      <c r="G3" s="2684"/>
      <c r="H3" s="2685"/>
      <c r="I3" s="2685"/>
      <c r="J3" s="2685"/>
      <c r="K3" s="2685"/>
    </row>
    <row r="4" spans="1:11" ht="31.2">
      <c r="A4" s="2509" t="s">
        <v>660</v>
      </c>
      <c r="B4" s="2509" t="s">
        <v>659</v>
      </c>
      <c r="C4" s="2509" t="s">
        <v>658</v>
      </c>
      <c r="D4" s="2509" t="s">
        <v>657</v>
      </c>
      <c r="E4" s="2683"/>
      <c r="F4" s="2684"/>
      <c r="G4" s="2684"/>
      <c r="H4" s="2685"/>
      <c r="I4" s="2685"/>
      <c r="J4" s="2685"/>
      <c r="K4" s="2685"/>
    </row>
    <row r="5" spans="1:11" ht="15.6">
      <c r="A5" s="2509" t="s">
        <v>656</v>
      </c>
      <c r="B5" s="2509">
        <f ca="1">SUM(D14:D23)</f>
        <v>448976</v>
      </c>
      <c r="C5" s="2509">
        <f ca="1">IF(B5=D14,结果表!H102,ROUND(B5*10000/$B$1,0))</f>
        <v>40035</v>
      </c>
      <c r="D5" s="2509">
        <f ca="1">ROUND(B5*10000/$B$2,0)</f>
        <v>430599</v>
      </c>
      <c r="E5" s="2683"/>
      <c r="F5" s="2684"/>
      <c r="G5" s="2684"/>
      <c r="H5" s="2685"/>
      <c r="I5" s="2685"/>
      <c r="J5" s="2685"/>
      <c r="K5" s="2685"/>
    </row>
    <row r="6" spans="1:11" ht="15.6">
      <c r="A6" s="2509" t="s">
        <v>655</v>
      </c>
      <c r="B6" s="2509">
        <f ca="1">SUM(G14:G23)</f>
        <v>448976</v>
      </c>
      <c r="C6" s="2509">
        <f ca="1">IF(B6=G14,结果表!H108,ROUND(B6*10000/$B$1,0))</f>
        <v>40035</v>
      </c>
      <c r="D6" s="2509">
        <f ca="1">ROUND(B6*10000/$B$2,0)</f>
        <v>430599</v>
      </c>
      <c r="E6" s="2683"/>
      <c r="F6" s="2684"/>
      <c r="G6" s="2684"/>
      <c r="H6" s="2685"/>
      <c r="I6" s="2685"/>
      <c r="J6" s="2685"/>
      <c r="K6" s="2685"/>
    </row>
    <row r="7" spans="1:11" ht="15.6">
      <c r="A7" s="2509" t="s">
        <v>663</v>
      </c>
      <c r="B7" s="2509">
        <f>SUM(H14:H23)</f>
        <v>0</v>
      </c>
      <c r="C7" s="2509" t="str">
        <f>IF(B7=H14,结果表!H110,ROUND(B7*10000/$B$1,0))</f>
        <v>——</v>
      </c>
      <c r="D7" s="2509">
        <f>ROUND(B7*10000/$B$2,0)</f>
        <v>0</v>
      </c>
      <c r="E7" s="2683"/>
      <c r="F7" s="2684"/>
      <c r="G7" s="2684"/>
      <c r="H7" s="2685"/>
      <c r="I7" s="2685"/>
      <c r="J7" s="2685"/>
      <c r="K7" s="2685"/>
    </row>
    <row r="8" spans="1:11" ht="15.6">
      <c r="A8" s="2509" t="s">
        <v>586</v>
      </c>
      <c r="B8" s="2509">
        <f>SUM(I14:I23)</f>
        <v>0</v>
      </c>
      <c r="C8" s="2509">
        <f ca="1">IF(B8=I14,结果表!H112,ROUND(B8*10000/$B$1,0))</f>
        <v>35562</v>
      </c>
      <c r="D8" s="2509">
        <f>ROUND(B8*10000/$B$2,0)</f>
        <v>0</v>
      </c>
      <c r="E8" s="2683"/>
      <c r="F8" s="2684"/>
      <c r="G8" s="2684"/>
      <c r="H8" s="2685"/>
      <c r="I8" s="2685"/>
      <c r="J8" s="2685"/>
      <c r="K8" s="2685"/>
    </row>
    <row r="9" spans="1:11" ht="15.6">
      <c r="A9" s="2509" t="s">
        <v>654</v>
      </c>
      <c r="B9" s="2517"/>
      <c r="C9" s="2683"/>
      <c r="D9" s="2683"/>
      <c r="E9" s="2683"/>
      <c r="F9" s="2684"/>
      <c r="G9" s="2684"/>
      <c r="H9" s="2685"/>
      <c r="I9" s="2685"/>
      <c r="J9" s="2685"/>
      <c r="K9" s="2685"/>
    </row>
    <row r="10" spans="1:11" ht="15.6">
      <c r="A10" s="2509" t="s">
        <v>653</v>
      </c>
      <c r="B10" s="2509">
        <f>IF(E10="",0,ROUND(B1*(E10*365/G10)/10000,0))</f>
        <v>0</v>
      </c>
      <c r="C10" s="2509" t="s">
        <v>3357</v>
      </c>
      <c r="D10" s="2509" t="s">
        <v>3358</v>
      </c>
      <c r="E10" s="3438"/>
      <c r="F10" s="3442" t="s">
        <v>3359</v>
      </c>
      <c r="G10" s="3439"/>
      <c r="H10" s="2685"/>
      <c r="I10" s="2685"/>
      <c r="J10" s="2685"/>
      <c r="K10" s="2685"/>
    </row>
    <row r="11" spans="1:11" ht="15.6">
      <c r="A11" s="2509" t="s">
        <v>669</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668</v>
      </c>
      <c r="B13" s="2513" t="s">
        <v>665</v>
      </c>
      <c r="C13" s="2513" t="s">
        <v>667</v>
      </c>
      <c r="D13" s="2513" t="s">
        <v>666</v>
      </c>
      <c r="E13" s="2509" t="s">
        <v>658</v>
      </c>
      <c r="F13" s="2509" t="s">
        <v>657</v>
      </c>
      <c r="G13" s="2513" t="s">
        <v>651</v>
      </c>
      <c r="H13" s="2513" t="s">
        <v>662</v>
      </c>
      <c r="I13" s="2513" t="s">
        <v>650</v>
      </c>
      <c r="J13" s="2684"/>
      <c r="K13" s="2685"/>
    </row>
    <row r="14" spans="1:11" ht="15.6">
      <c r="A14" s="2514" t="s">
        <v>649</v>
      </c>
      <c r="B14" s="2515">
        <f>结果表!B118</f>
        <v>112144.47999999998</v>
      </c>
      <c r="C14" s="2515">
        <f>结果表!C118</f>
        <v>10426.780000000001</v>
      </c>
      <c r="D14" s="2515">
        <f ca="1">结果表!H118</f>
        <v>448976</v>
      </c>
      <c r="E14" s="2515">
        <f ca="1">ROUND(D14*10000/B14,0)</f>
        <v>40035</v>
      </c>
      <c r="F14" s="2515">
        <f ca="1">ROUND(D14*10000/C14,0)</f>
        <v>430599</v>
      </c>
      <c r="G14" s="2515">
        <f ca="1">结果表!D122</f>
        <v>448976</v>
      </c>
      <c r="H14" s="2515"/>
      <c r="I14" s="2515"/>
      <c r="J14" s="2684"/>
      <c r="K14" s="2685"/>
    </row>
    <row r="15" spans="1:11" ht="15.6">
      <c r="A15" s="2514" t="s">
        <v>648</v>
      </c>
      <c r="B15" s="2516"/>
      <c r="C15" s="2516"/>
      <c r="D15" s="2516"/>
      <c r="E15" s="2515" t="e">
        <f t="shared" ref="E15:E23" si="0">ROUND(D15*10000/B15,0)</f>
        <v>#DIV/0!</v>
      </c>
      <c r="F15" s="2515" t="e">
        <f t="shared" ref="F15:F23" si="1">ROUND(D15*10000/C15,0)</f>
        <v>#DIV/0!</v>
      </c>
      <c r="G15" s="1328"/>
      <c r="H15" s="1328"/>
      <c r="I15" s="2516"/>
      <c r="J15" s="2684"/>
      <c r="K15" s="2685"/>
    </row>
    <row r="16" spans="1:11" ht="15.6">
      <c r="A16" s="2514" t="s">
        <v>647</v>
      </c>
      <c r="B16" s="2516"/>
      <c r="C16" s="2516"/>
      <c r="D16" s="2516"/>
      <c r="E16" s="2515" t="e">
        <f t="shared" si="0"/>
        <v>#DIV/0!</v>
      </c>
      <c r="F16" s="2515" t="e">
        <f t="shared" si="1"/>
        <v>#DIV/0!</v>
      </c>
      <c r="G16" s="1328"/>
      <c r="H16" s="1328"/>
      <c r="I16" s="2516"/>
      <c r="J16" s="2685"/>
      <c r="K16" s="2685"/>
    </row>
    <row r="17" spans="1:11" ht="15.6">
      <c r="A17" s="2514" t="s">
        <v>646</v>
      </c>
      <c r="B17" s="2516"/>
      <c r="C17" s="2516"/>
      <c r="D17" s="2516"/>
      <c r="E17" s="2515" t="e">
        <f t="shared" si="0"/>
        <v>#DIV/0!</v>
      </c>
      <c r="F17" s="2515" t="e">
        <f t="shared" si="1"/>
        <v>#DIV/0!</v>
      </c>
      <c r="G17" s="1328"/>
      <c r="H17" s="1328"/>
      <c r="I17" s="2516"/>
      <c r="J17" s="2685"/>
      <c r="K17" s="2685"/>
    </row>
    <row r="18" spans="1:11" ht="15.6">
      <c r="A18" s="2514" t="s">
        <v>645</v>
      </c>
      <c r="B18" s="2516"/>
      <c r="C18" s="2516"/>
      <c r="D18" s="2516"/>
      <c r="E18" s="2515" t="e">
        <f t="shared" si="0"/>
        <v>#DIV/0!</v>
      </c>
      <c r="F18" s="2515" t="e">
        <f t="shared" si="1"/>
        <v>#DIV/0!</v>
      </c>
      <c r="G18" s="2516"/>
      <c r="H18" s="2516"/>
      <c r="I18" s="2516"/>
      <c r="J18" s="2685"/>
      <c r="K18" s="2685"/>
    </row>
    <row r="19" spans="1:11" ht="15.6">
      <c r="A19" s="2514" t="s">
        <v>644</v>
      </c>
      <c r="B19" s="2516"/>
      <c r="C19" s="2516"/>
      <c r="D19" s="2516"/>
      <c r="E19" s="2515" t="e">
        <f t="shared" si="0"/>
        <v>#DIV/0!</v>
      </c>
      <c r="F19" s="2515" t="e">
        <f t="shared" si="1"/>
        <v>#DIV/0!</v>
      </c>
      <c r="G19" s="2516"/>
      <c r="H19" s="2516"/>
      <c r="I19" s="2516"/>
      <c r="J19" s="2685"/>
      <c r="K19" s="2685"/>
    </row>
    <row r="20" spans="1:11" ht="15.6">
      <c r="A20" s="2514" t="s">
        <v>643</v>
      </c>
      <c r="B20" s="2516"/>
      <c r="C20" s="2516"/>
      <c r="D20" s="2516"/>
      <c r="E20" s="2515" t="e">
        <f t="shared" si="0"/>
        <v>#DIV/0!</v>
      </c>
      <c r="F20" s="2515" t="e">
        <f t="shared" si="1"/>
        <v>#DIV/0!</v>
      </c>
      <c r="G20" s="2516"/>
      <c r="H20" s="2516"/>
      <c r="I20" s="2516"/>
      <c r="J20" s="2685"/>
      <c r="K20" s="2685"/>
    </row>
    <row r="21" spans="1:11" ht="15.6">
      <c r="A21" s="2514" t="s">
        <v>642</v>
      </c>
      <c r="B21" s="2516"/>
      <c r="C21" s="2516"/>
      <c r="D21" s="2516"/>
      <c r="E21" s="2515" t="e">
        <f t="shared" si="0"/>
        <v>#DIV/0!</v>
      </c>
      <c r="F21" s="2515" t="e">
        <f t="shared" si="1"/>
        <v>#DIV/0!</v>
      </c>
      <c r="G21" s="2516"/>
      <c r="H21" s="2516"/>
      <c r="I21" s="2516"/>
      <c r="J21" s="2685"/>
      <c r="K21" s="2685"/>
    </row>
    <row r="22" spans="1:11" ht="15.6">
      <c r="A22" s="2514" t="s">
        <v>641</v>
      </c>
      <c r="B22" s="2516"/>
      <c r="C22" s="2516"/>
      <c r="D22" s="2516"/>
      <c r="E22" s="2515" t="e">
        <f t="shared" si="0"/>
        <v>#DIV/0!</v>
      </c>
      <c r="F22" s="2515" t="e">
        <f t="shared" si="1"/>
        <v>#DIV/0!</v>
      </c>
      <c r="G22" s="2516"/>
      <c r="H22" s="2516"/>
      <c r="I22" s="2516"/>
      <c r="J22" s="2685"/>
      <c r="K22" s="2685"/>
    </row>
    <row r="23" spans="1:11" ht="15.6">
      <c r="A23" s="2514" t="s">
        <v>640</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0" customWidth="1"/>
    <col min="2" max="9" width="10" style="840" customWidth="1"/>
    <col min="10" max="16384" width="9" style="840"/>
  </cols>
  <sheetData>
    <row r="36" spans="1:9">
      <c r="A36" s="839" t="s">
        <v>370</v>
      </c>
      <c r="B36" s="839" t="s">
        <v>371</v>
      </c>
    </row>
    <row r="37" spans="1:9" ht="27.75" customHeight="1">
      <c r="A37" s="839"/>
      <c r="B37" s="3562" t="str">
        <f>项目基本情况!B1</f>
        <v>北京市海淀区魏公村路6号院1号楼房地产抵押价值预评估</v>
      </c>
      <c r="C37" s="3562"/>
      <c r="D37" s="3562"/>
      <c r="E37" s="3562"/>
      <c r="F37" s="3562"/>
      <c r="G37" s="3562"/>
      <c r="H37" s="3562"/>
      <c r="I37" s="3562"/>
    </row>
    <row r="38" spans="1:9">
      <c r="A38" s="841"/>
      <c r="B38" s="841"/>
    </row>
    <row r="39" spans="1:9">
      <c r="A39" s="839" t="s">
        <v>370</v>
      </c>
      <c r="B39" s="839" t="s">
        <v>372</v>
      </c>
    </row>
    <row r="40" spans="1:9">
      <c r="A40" s="839"/>
      <c r="B40" s="1471">
        <f>项目基本情况!B5</f>
        <v>0</v>
      </c>
    </row>
    <row r="41" spans="1:9">
      <c r="A41" s="839"/>
      <c r="B41" s="839"/>
    </row>
    <row r="42" spans="1:9">
      <c r="A42" s="839" t="s">
        <v>370</v>
      </c>
      <c r="B42" s="839" t="s">
        <v>373</v>
      </c>
    </row>
    <row r="43" spans="1:9">
      <c r="A43" s="839"/>
      <c r="B43" s="1471" t="s">
        <v>374</v>
      </c>
    </row>
    <row r="44" spans="1:9">
      <c r="A44" s="839"/>
      <c r="B44" s="839"/>
    </row>
    <row r="45" spans="1:9">
      <c r="A45" s="839" t="s">
        <v>370</v>
      </c>
      <c r="B45" s="839" t="s">
        <v>375</v>
      </c>
    </row>
    <row r="46" spans="1:9" s="839" customFormat="1">
      <c r="B46" s="1471" t="str">
        <f ca="1">项目基本情况!K4</f>
        <v>崔锴（注册号：1120100036)、郑燚（注册号：1120070131)</v>
      </c>
    </row>
    <row r="47" spans="1:9">
      <c r="A47" s="839"/>
      <c r="B47" s="839" t="str">
        <f>项目基本情况!K5</f>
        <v>（注册号：0)、（注册号：0)</v>
      </c>
    </row>
    <row r="48" spans="1:9">
      <c r="A48" s="839" t="s">
        <v>370</v>
      </c>
      <c r="B48" s="839" t="s">
        <v>376</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O36" sqref="O36"/>
    </sheetView>
  </sheetViews>
  <sheetFormatPr defaultColWidth="12.6640625" defaultRowHeight="21.75" customHeight="1"/>
  <cols>
    <col min="1" max="2" width="12.6640625" style="1750"/>
    <col min="3" max="4" width="12.6640625" style="1750" customWidth="1"/>
    <col min="5" max="9" width="12.6640625" style="1750"/>
    <col min="10" max="11" width="12.6640625" style="725" customWidth="1"/>
    <col min="12" max="12" width="12.6640625" style="725"/>
    <col min="13" max="13" width="14.109375" style="725" bestFit="1" customWidth="1"/>
    <col min="14" max="26" width="12.6640625" style="725"/>
    <col min="27" max="35" width="12.6640625" style="1749"/>
    <col min="36" max="16384" width="12.6640625" style="1750"/>
  </cols>
  <sheetData>
    <row r="1" spans="1:12" ht="21.75" customHeight="1" thickBot="1">
      <c r="A1" s="1634" t="s">
        <v>1260</v>
      </c>
      <c r="B1" s="1744"/>
      <c r="C1" s="1745"/>
      <c r="D1" s="1744"/>
      <c r="E1" s="1744"/>
      <c r="F1" s="1746" t="s">
        <v>1261</v>
      </c>
      <c r="G1" s="1558"/>
      <c r="H1" s="1747" t="str">
        <f>IF(G1="现房","——","估价对象范围")</f>
        <v>估价对象范围</v>
      </c>
      <c r="I1" s="1748"/>
    </row>
    <row r="2" spans="1:12" ht="21.75" customHeight="1" thickBot="1">
      <c r="A2" s="3687" t="str">
        <f>项目基本情况!S2</f>
        <v>北京市海淀区魏公村路6号院1号楼房地产</v>
      </c>
      <c r="B2" s="3688"/>
      <c r="C2" s="3688"/>
      <c r="D2" s="3688"/>
      <c r="E2" s="3688"/>
      <c r="F2" s="3688"/>
      <c r="G2" s="3688"/>
      <c r="H2" s="3688"/>
      <c r="I2" s="3689"/>
    </row>
    <row r="3" spans="1:12" ht="13.2">
      <c r="A3" s="3691" t="s">
        <v>1262</v>
      </c>
      <c r="B3" s="3692"/>
      <c r="C3" s="3692"/>
      <c r="D3" s="3692"/>
      <c r="E3" s="3692"/>
      <c r="F3" s="3692"/>
      <c r="G3" s="3692"/>
      <c r="H3" s="3692"/>
      <c r="I3" s="3692"/>
    </row>
    <row r="4" spans="1:12" ht="14.4">
      <c r="A4" s="1751" t="s">
        <v>1263</v>
      </c>
      <c r="B4" s="1752" t="s">
        <v>1264</v>
      </c>
      <c r="C4" s="1753" t="s">
        <v>3487</v>
      </c>
      <c r="D4" s="1753" t="s">
        <v>3488</v>
      </c>
      <c r="E4" s="3693" t="s">
        <v>1265</v>
      </c>
      <c r="F4" s="3694"/>
      <c r="G4" s="3694"/>
      <c r="H4" s="3694"/>
      <c r="I4" s="3695"/>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667" t="s">
        <v>1266</v>
      </c>
      <c r="B5" s="3654">
        <v>25</v>
      </c>
      <c r="C5" s="3670"/>
      <c r="D5" s="3690"/>
      <c r="E5" s="131" t="s">
        <v>1267</v>
      </c>
      <c r="F5" s="1754"/>
      <c r="G5" s="1754"/>
      <c r="H5" s="1754"/>
      <c r="I5" s="1370"/>
    </row>
    <row r="6" spans="1:12" ht="13.2">
      <c r="A6" s="3667"/>
      <c r="B6" s="3654"/>
      <c r="C6" s="3671"/>
      <c r="D6" s="3690"/>
      <c r="E6" s="131" t="s">
        <v>1268</v>
      </c>
      <c r="F6" s="1754"/>
      <c r="G6" s="1754"/>
      <c r="H6" s="1754"/>
      <c r="I6" s="1370"/>
    </row>
    <row r="7" spans="1:12" ht="13.2">
      <c r="A7" s="3667"/>
      <c r="B7" s="3654"/>
      <c r="C7" s="3672"/>
      <c r="D7" s="3690"/>
      <c r="E7" s="131" t="s">
        <v>1269</v>
      </c>
      <c r="F7" s="1754"/>
      <c r="G7" s="1754"/>
      <c r="H7" s="1754"/>
      <c r="I7" s="1370"/>
    </row>
    <row r="8" spans="1:12" ht="13.2">
      <c r="A8" s="3667" t="s">
        <v>1270</v>
      </c>
      <c r="B8" s="3654">
        <v>15</v>
      </c>
      <c r="C8" s="3670"/>
      <c r="D8" s="3690"/>
      <c r="E8" s="131" t="s">
        <v>1271</v>
      </c>
      <c r="F8" s="1754"/>
      <c r="G8" s="1754"/>
      <c r="H8" s="1754"/>
      <c r="I8" s="1370"/>
    </row>
    <row r="9" spans="1:12" ht="13.2">
      <c r="A9" s="3667"/>
      <c r="B9" s="3654"/>
      <c r="C9" s="3672"/>
      <c r="D9" s="3690"/>
      <c r="E9" s="131" t="s">
        <v>1272</v>
      </c>
      <c r="F9" s="1754"/>
      <c r="G9" s="1754"/>
      <c r="H9" s="1754"/>
      <c r="I9" s="1370"/>
    </row>
    <row r="10" spans="1:12" ht="13.2">
      <c r="A10" s="3667" t="s">
        <v>1273</v>
      </c>
      <c r="B10" s="3654">
        <v>15</v>
      </c>
      <c r="C10" s="3670"/>
      <c r="D10" s="3690"/>
      <c r="E10" s="131" t="s">
        <v>1274</v>
      </c>
      <c r="F10" s="1754"/>
      <c r="G10" s="1754"/>
      <c r="H10" s="1754"/>
      <c r="I10" s="1370"/>
    </row>
    <row r="11" spans="1:12" ht="13.2">
      <c r="A11" s="3667"/>
      <c r="B11" s="3654"/>
      <c r="C11" s="3672"/>
      <c r="D11" s="3690"/>
      <c r="E11" s="131" t="s">
        <v>1275</v>
      </c>
      <c r="F11" s="1754"/>
      <c r="G11" s="1754"/>
      <c r="H11" s="1754"/>
      <c r="I11" s="1370"/>
    </row>
    <row r="12" spans="1:12" ht="13.2">
      <c r="A12" s="3667" t="s">
        <v>1276</v>
      </c>
      <c r="B12" s="3654">
        <v>15</v>
      </c>
      <c r="C12" s="3670"/>
      <c r="D12" s="3690"/>
      <c r="E12" s="131" t="s">
        <v>1277</v>
      </c>
      <c r="F12" s="1754"/>
      <c r="G12" s="1754"/>
      <c r="H12" s="1754"/>
      <c r="I12" s="1370"/>
    </row>
    <row r="13" spans="1:12" ht="13.2">
      <c r="A13" s="3667"/>
      <c r="B13" s="3654"/>
      <c r="C13" s="3672"/>
      <c r="D13" s="3690"/>
      <c r="E13" s="131" t="s">
        <v>1278</v>
      </c>
      <c r="F13" s="1754"/>
      <c r="G13" s="1754"/>
      <c r="H13" s="1754"/>
      <c r="I13" s="1370"/>
    </row>
    <row r="14" spans="1:12" ht="13.2">
      <c r="A14" s="3667" t="s">
        <v>1279</v>
      </c>
      <c r="B14" s="3654">
        <v>30</v>
      </c>
      <c r="C14" s="3670">
        <v>5</v>
      </c>
      <c r="D14" s="3690">
        <v>5</v>
      </c>
      <c r="E14" s="131" t="s">
        <v>1280</v>
      </c>
      <c r="F14" s="1754"/>
      <c r="G14" s="1754"/>
      <c r="H14" s="1754"/>
      <c r="I14" s="1370"/>
    </row>
    <row r="15" spans="1:12" ht="13.2">
      <c r="A15" s="3667"/>
      <c r="B15" s="3654"/>
      <c r="C15" s="3671"/>
      <c r="D15" s="3690"/>
      <c r="E15" s="131" t="s">
        <v>1281</v>
      </c>
      <c r="F15" s="1754"/>
      <c r="G15" s="1754"/>
      <c r="H15" s="1754"/>
      <c r="I15" s="1370"/>
    </row>
    <row r="16" spans="1:12" ht="13.2">
      <c r="A16" s="3667"/>
      <c r="B16" s="3654"/>
      <c r="C16" s="3672"/>
      <c r="D16" s="3690"/>
      <c r="E16" s="131" t="s">
        <v>1282</v>
      </c>
      <c r="F16" s="1754"/>
      <c r="G16" s="1754"/>
      <c r="H16" s="1754"/>
      <c r="I16" s="1370"/>
    </row>
    <row r="17" spans="1:36" ht="14.4">
      <c r="A17" s="1755" t="s">
        <v>1283</v>
      </c>
      <c r="B17" s="56"/>
      <c r="C17" s="132">
        <f>SUM(C5:C16)</f>
        <v>5</v>
      </c>
      <c r="D17" s="132">
        <f>SUM(D5:D16)</f>
        <v>5</v>
      </c>
      <c r="E17" s="129"/>
      <c r="F17" s="129"/>
      <c r="G17" s="129"/>
      <c r="H17" s="129"/>
      <c r="I17" s="129"/>
      <c r="K17" s="302"/>
      <c r="L17" s="302" t="s">
        <v>1284</v>
      </c>
      <c r="M17" s="302" t="s">
        <v>1285</v>
      </c>
    </row>
    <row r="18" spans="1:36" ht="31.95" customHeight="1" thickBot="1">
      <c r="A18" s="1756" t="s">
        <v>1286</v>
      </c>
      <c r="B18" s="1757"/>
      <c r="C18" s="133">
        <f>ROUND(C17/SUM(C17:D17),2)</f>
        <v>0.5</v>
      </c>
      <c r="D18" s="133">
        <f>1-C18</f>
        <v>0.5</v>
      </c>
      <c r="E18" s="3677" t="s">
        <v>2128</v>
      </c>
      <c r="F18" s="3678"/>
      <c r="G18" s="3678"/>
      <c r="H18" s="3678"/>
      <c r="I18" s="3678"/>
      <c r="K18" s="302" t="s">
        <v>1287</v>
      </c>
      <c r="L18" s="302">
        <f>IF(C1="",'数据-汇总表'!E3,SUMIF(项目类型,C1,'数据-汇总表'!E17:E26)+SUMIF(项目类型,C1,'数据-汇总表'!I17:I26))</f>
        <v>112144.47999999998</v>
      </c>
      <c r="M18" s="302">
        <f>IF(C1="",'数据-汇总表'!E3,SUMIF(项目类型,C1,'数据-汇总表'!E17:E26))</f>
        <v>112144.47999999998</v>
      </c>
    </row>
    <row r="19" spans="1:36" ht="14.4">
      <c r="A19" s="1758" t="s">
        <v>1288</v>
      </c>
      <c r="B19" s="1759" t="s">
        <v>1289</v>
      </c>
      <c r="C19" s="134">
        <f ca="1">SUMIF(INDIRECT("'"&amp;C4&amp;"'"&amp;"!A:A"),结果表!B19,INDIRECT("'"&amp;C4&amp;"'"&amp;"!B:B"))</f>
        <v>437858</v>
      </c>
      <c r="D19" s="135">
        <f ca="1">SUMIF(INDIRECT("'"&amp;D4&amp;"'"&amp;"!A:A"),结果表!B19,INDIRECT("'"&amp;D4&amp;"'"&amp;"!B:B"))</f>
        <v>460093</v>
      </c>
      <c r="E19" s="1758" t="s">
        <v>1290</v>
      </c>
      <c r="F19" s="1759" t="s">
        <v>1289</v>
      </c>
      <c r="G19" s="136">
        <f ca="1">ROUND(C19*$C$18+D19*$D$18,0)</f>
        <v>448976</v>
      </c>
      <c r="H19" s="1760" t="s">
        <v>1291</v>
      </c>
      <c r="I19" s="129"/>
      <c r="K19" s="302" t="s">
        <v>1292</v>
      </c>
      <c r="L19" s="302">
        <f>IF(C1="",'数据-汇总表'!D3,SUMIF(项目类型,C1,'数据-汇总表'!D17:D26)+SUMIF(项目类型,C1,'数据-汇总表'!H17:H27))</f>
        <v>10426.780000000001</v>
      </c>
      <c r="M19" s="302">
        <f>IF(C1="",'数据-汇总表'!D3,SUMIF(项目类型,C1,'数据-汇总表'!D17:D26))</f>
        <v>10426.780000000001</v>
      </c>
    </row>
    <row r="20" spans="1:36" ht="14.4">
      <c r="A20" s="1761"/>
      <c r="B20" s="1023" t="s">
        <v>1293</v>
      </c>
      <c r="C20" s="137">
        <f ca="1">SUMIF(INDIRECT("'"&amp;C4&amp;"'"&amp;"!A:A"),结果表!B20,INDIRECT("'"&amp;C4&amp;"'"&amp;"!B:B"))</f>
        <v>39044</v>
      </c>
      <c r="D20" s="138">
        <f ca="1">SUMIF(INDIRECT("'"&amp;D4&amp;"'"&amp;"!A:A"),结果表!B20,INDIRECT("'"&amp;D4&amp;"'"&amp;"!B:B"))</f>
        <v>41027</v>
      </c>
      <c r="E20" s="1761"/>
      <c r="F20" s="1023" t="s">
        <v>1293</v>
      </c>
      <c r="G20" s="139">
        <f ca="1">ROUND(C20*$C$18+D20*$D$18,0)</f>
        <v>40036</v>
      </c>
      <c r="H20" s="805" t="s">
        <v>1294</v>
      </c>
      <c r="I20" s="129"/>
    </row>
    <row r="21" spans="1:36" ht="15" customHeight="1" thickBot="1">
      <c r="A21" s="825"/>
      <c r="B21" s="1762" t="s">
        <v>1295</v>
      </c>
      <c r="C21" s="719">
        <f ca="1">ROUND(C19*10000/L19,0)</f>
        <v>419936</v>
      </c>
      <c r="D21" s="720">
        <f ca="1">ROUND(D19*10000/L19,0)</f>
        <v>441261</v>
      </c>
      <c r="E21" s="825"/>
      <c r="F21" s="1762" t="s">
        <v>1295</v>
      </c>
      <c r="G21" s="140">
        <f ca="1">ROUND(G19*10000/L19,0)</f>
        <v>430599</v>
      </c>
      <c r="H21" s="1763" t="s">
        <v>1294</v>
      </c>
      <c r="I21" s="129"/>
    </row>
    <row r="22" spans="1:36" ht="15" thickBot="1">
      <c r="A22" s="1685" t="s">
        <v>1296</v>
      </c>
      <c r="B22" s="1764"/>
      <c r="C22" s="1765"/>
      <c r="D22" s="721">
        <f ca="1">IF(C19&lt;D19,D19/C19-1,C19/D19-1)</f>
        <v>5.0781303527627664E-2</v>
      </c>
      <c r="E22" s="129"/>
      <c r="F22" s="129"/>
      <c r="G22" s="129"/>
      <c r="H22" s="129"/>
      <c r="I22" s="129"/>
    </row>
    <row r="23" spans="1:36" ht="13.8" thickBot="1">
      <c r="A23" s="1744"/>
      <c r="B23" s="1744"/>
      <c r="C23" s="1744"/>
      <c r="D23" s="1744"/>
      <c r="E23" s="129"/>
      <c r="F23" s="129"/>
      <c r="G23" s="129"/>
      <c r="H23" s="129"/>
      <c r="I23" s="129"/>
    </row>
    <row r="24" spans="1:36" ht="14.4">
      <c r="A24" s="3661" t="s">
        <v>1297</v>
      </c>
      <c r="B24" s="1759" t="s">
        <v>1289</v>
      </c>
      <c r="C24" s="136">
        <f>IF(B30=0,0,D30)</f>
        <v>0</v>
      </c>
      <c r="D24" s="1766"/>
      <c r="E24" s="129"/>
      <c r="F24" s="129"/>
      <c r="G24" s="129"/>
      <c r="H24" s="129"/>
      <c r="I24" s="129"/>
    </row>
    <row r="25" spans="1:36" ht="14.4">
      <c r="A25" s="3662"/>
      <c r="B25" s="1023"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3.8">
      <c r="A27" s="1768"/>
      <c r="B27" s="142">
        <v>0</v>
      </c>
      <c r="C27" s="142">
        <v>0</v>
      </c>
      <c r="D27" s="143">
        <f>ROUND(C27*B27/10000,0)</f>
        <v>0</v>
      </c>
      <c r="E27" s="129"/>
      <c r="F27" s="129"/>
      <c r="G27" s="129"/>
      <c r="H27" s="129"/>
      <c r="I27" s="129"/>
    </row>
    <row r="28" spans="1:36" ht="13.8">
      <c r="A28" s="1768"/>
      <c r="B28" s="142"/>
      <c r="C28" s="142"/>
      <c r="D28" s="143"/>
      <c r="E28" s="129"/>
      <c r="F28" s="129"/>
      <c r="G28" s="129"/>
      <c r="H28" s="129"/>
      <c r="I28" s="129"/>
    </row>
    <row r="29" spans="1:36" ht="13.8">
      <c r="A29" s="1768"/>
      <c r="B29" s="142"/>
      <c r="C29" s="142"/>
      <c r="D29" s="143"/>
      <c r="E29" s="129"/>
      <c r="F29" s="129"/>
      <c r="G29" s="129"/>
      <c r="H29" s="129"/>
      <c r="I29" s="129"/>
    </row>
    <row r="30" spans="1:36" ht="15" thickBot="1">
      <c r="A30" s="142" t="s">
        <v>1302</v>
      </c>
      <c r="B30" s="142"/>
      <c r="C30" s="142"/>
      <c r="D30" s="142"/>
      <c r="E30" s="2300" t="s">
        <v>2129</v>
      </c>
      <c r="F30" s="129"/>
      <c r="G30" s="129"/>
      <c r="H30" s="129"/>
      <c r="I30" s="129"/>
    </row>
    <row r="31" spans="1:36" s="2306" customFormat="1" ht="26.4" customHeight="1" thickTop="1" thickBot="1">
      <c r="A31" s="2301"/>
      <c r="B31" s="2302"/>
      <c r="C31" s="2302"/>
      <c r="D31" s="2302"/>
      <c r="E31" s="2302"/>
      <c r="F31" s="2302"/>
      <c r="G31" s="2302"/>
      <c r="H31" s="2302"/>
      <c r="I31" s="2303" t="s">
        <v>2130</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5.6" thickTop="1" thickBot="1">
      <c r="A32" s="1770" t="s">
        <v>1303</v>
      </c>
      <c r="B32" s="1771"/>
      <c r="C32" s="144">
        <f ca="1">IF(D32="总价",G19-C24,G20-C25)</f>
        <v>448976</v>
      </c>
      <c r="D32" s="1772" t="s">
        <v>3489</v>
      </c>
      <c r="E32" s="129"/>
      <c r="F32" s="129"/>
      <c r="G32" s="129"/>
      <c r="H32" s="129"/>
      <c r="I32" s="129"/>
    </row>
    <row r="33" spans="1:15" ht="14.4">
      <c r="A33" s="783" t="s">
        <v>1304</v>
      </c>
      <c r="B33" s="1773"/>
      <c r="C33" s="1774" t="s">
        <v>3490</v>
      </c>
      <c r="D33" s="1775" t="s">
        <v>3487</v>
      </c>
      <c r="E33" s="1776" t="s">
        <v>1305</v>
      </c>
      <c r="F33" s="1777" t="str">
        <f>IF(D32="楼面单价","取值（单价）","取值（总价）")</f>
        <v>取值（总价）</v>
      </c>
      <c r="G33" s="129"/>
      <c r="H33" s="129"/>
      <c r="I33" s="129"/>
    </row>
    <row r="34" spans="1:15" ht="14.4">
      <c r="A34" s="1778"/>
      <c r="B34" s="1779" t="s">
        <v>1306</v>
      </c>
      <c r="C34" s="148">
        <f ca="1">IF(C33="自定义",F34,C32-C35)</f>
        <v>338079</v>
      </c>
      <c r="D34" s="858">
        <f ca="1">IF(C33="自定义",ROUND(C34/C32,3),IF(C33="收益比率",SUMIF(INDIRECT("'"&amp;D33&amp;"'"&amp;"!b:b"),"土地收益比率",INDIRECT("'"&amp;D33&amp;"'"&amp;"!c:c")),SUMIF(INDIRECT("'"&amp;D33&amp;"'"&amp;"!b:b"),"土地成本比率",INDIRECT("'"&amp;D33&amp;"'"&amp;"!c:c"))))</f>
        <v>0.753</v>
      </c>
      <c r="E34" s="1780" t="s">
        <v>1307</v>
      </c>
      <c r="F34" s="1327"/>
      <c r="G34" s="129"/>
      <c r="H34" s="129"/>
      <c r="I34" s="129"/>
    </row>
    <row r="35" spans="1:15" ht="15" thickBot="1">
      <c r="A35" s="1781"/>
      <c r="B35" s="1782" t="s">
        <v>1308</v>
      </c>
      <c r="C35" s="1167">
        <f ca="1">IF(C33="自定义",F35,ROUND(C32*D35,0))</f>
        <v>110897</v>
      </c>
      <c r="D35" s="1168">
        <f ca="1">IF(C33="自定义",ROUND(C35/C32,3),IF(C33="收益比率",SUMIF(INDIRECT("'"&amp;D33&amp;"'"&amp;"!b:b"),"建筑物收益比率",INDIRECT("'"&amp;D33&amp;"'"&amp;"!c:c")),SUMIF(INDIRECT("'"&amp;D33&amp;"'"&amp;"!b:b"),"建筑物成本比率",INDIRECT("'"&amp;D33&amp;"'"&amp;"!c:c"))))</f>
        <v>0.247</v>
      </c>
      <c r="E35" s="1783" t="s">
        <v>1309</v>
      </c>
      <c r="F35" s="154"/>
      <c r="G35" s="129"/>
      <c r="H35" s="129"/>
      <c r="I35" s="129"/>
    </row>
    <row r="36" spans="1:15" ht="15" thickBot="1">
      <c r="A36" s="3681" t="s">
        <v>1310</v>
      </c>
      <c r="B36" s="1784" t="s">
        <v>1311</v>
      </c>
      <c r="C36" s="145"/>
      <c r="D36" s="1785"/>
      <c r="E36" s="1786"/>
      <c r="F36" s="1787"/>
      <c r="G36" s="129"/>
      <c r="H36" s="129"/>
      <c r="I36" s="129"/>
    </row>
    <row r="37" spans="1:15" ht="15" thickBot="1">
      <c r="A37" s="3682"/>
      <c r="B37" s="1671" t="s">
        <v>1312</v>
      </c>
      <c r="C37" s="147"/>
      <c r="D37" s="1136"/>
      <c r="E37" s="1136"/>
      <c r="F37" s="1787"/>
      <c r="G37" s="129"/>
      <c r="H37" s="129"/>
      <c r="I37" s="129"/>
    </row>
    <row r="38" spans="1:15" ht="15" thickBot="1">
      <c r="A38" s="3683"/>
      <c r="B38" s="1788" t="s">
        <v>1313</v>
      </c>
      <c r="C38" s="674"/>
      <c r="D38" s="1789" t="s">
        <v>1314</v>
      </c>
      <c r="E38" s="1136"/>
      <c r="F38" s="1787"/>
      <c r="G38" s="129"/>
      <c r="H38" s="129"/>
      <c r="I38" s="129"/>
    </row>
    <row r="39" spans="1:15" ht="14.4">
      <c r="A39" s="1761" t="s">
        <v>1315</v>
      </c>
      <c r="B39" s="1790" t="s">
        <v>1316</v>
      </c>
      <c r="C39" s="1791" t="s">
        <v>1317</v>
      </c>
      <c r="D39" s="1791" t="s">
        <v>1318</v>
      </c>
      <c r="E39" s="1792" t="s">
        <v>1319</v>
      </c>
      <c r="F39" s="1787"/>
      <c r="G39" s="129"/>
      <c r="H39" s="129"/>
      <c r="I39" s="129"/>
    </row>
    <row r="40" spans="1:15" ht="13.8">
      <c r="A40" s="1793" t="s">
        <v>1320</v>
      </c>
      <c r="B40" s="149"/>
      <c r="C40" s="150"/>
      <c r="D40" s="150"/>
      <c r="E40" s="151"/>
      <c r="F40" s="1787"/>
      <c r="G40" s="129"/>
      <c r="H40" s="129"/>
      <c r="I40" s="129"/>
    </row>
    <row r="41" spans="1:15" ht="13.8">
      <c r="A41" s="1793" t="s">
        <v>1321</v>
      </c>
      <c r="B41" s="149"/>
      <c r="C41" s="150"/>
      <c r="D41" s="150"/>
      <c r="E41" s="151"/>
      <c r="F41" s="1787"/>
      <c r="G41" s="129"/>
      <c r="H41" s="129"/>
      <c r="I41" s="129"/>
    </row>
    <row r="42" spans="1:15" ht="14.4" thickBot="1">
      <c r="A42" s="1794"/>
      <c r="B42" s="152"/>
      <c r="C42" s="153"/>
      <c r="D42" s="153"/>
      <c r="E42" s="154"/>
      <c r="F42" s="1787"/>
      <c r="G42" s="129"/>
      <c r="H42" s="129"/>
      <c r="I42" s="129"/>
    </row>
    <row r="43" spans="1:15" ht="13.2">
      <c r="A43" s="1574"/>
      <c r="B43" s="1574"/>
      <c r="C43" s="1574"/>
      <c r="D43" s="1574"/>
      <c r="E43" s="1574"/>
      <c r="F43" s="1795"/>
      <c r="G43" s="1795"/>
      <c r="H43" s="1795"/>
      <c r="I43" s="1796"/>
    </row>
    <row r="44" spans="1:15" ht="17.399999999999999">
      <c r="A44" s="1797" t="s">
        <v>1322</v>
      </c>
      <c r="B44" s="1798"/>
      <c r="C44" s="1798"/>
      <c r="D44" s="1799"/>
      <c r="E44" s="1799"/>
      <c r="F44" s="1800"/>
      <c r="G44" s="1800"/>
      <c r="H44" s="1800"/>
      <c r="I44" s="1800"/>
      <c r="J44" s="1801" t="s">
        <v>1323</v>
      </c>
      <c r="K44" s="1802"/>
      <c r="L44" s="1802"/>
      <c r="M44" s="1802"/>
      <c r="N44" s="1802"/>
      <c r="O44" s="1802"/>
    </row>
    <row r="45" spans="1:15" ht="14.25" customHeight="1" thickBot="1">
      <c r="A45" s="3658" t="s">
        <v>1324</v>
      </c>
      <c r="B45" s="3659"/>
      <c r="C45" s="3660"/>
      <c r="D45" s="155">
        <f ca="1">ROUND(H101*F45,0)</f>
        <v>448976</v>
      </c>
      <c r="E45" s="156" t="s">
        <v>1325</v>
      </c>
      <c r="F45" s="157">
        <v>1</v>
      </c>
      <c r="G45" s="158" t="s">
        <v>1326</v>
      </c>
      <c r="H45" s="129"/>
      <c r="I45" s="129"/>
      <c r="J45" s="3736" t="s">
        <v>1327</v>
      </c>
      <c r="K45" s="3736"/>
      <c r="L45" s="3736"/>
      <c r="M45" s="3736"/>
      <c r="N45" s="3736"/>
      <c r="O45" s="3736"/>
    </row>
    <row r="46" spans="1:15" ht="14.25" customHeight="1">
      <c r="A46" s="3655" t="s">
        <v>1328</v>
      </c>
      <c r="B46" s="3656"/>
      <c r="C46" s="3656"/>
      <c r="D46" s="3656"/>
      <c r="E46" s="3656"/>
      <c r="F46" s="3656"/>
      <c r="G46" s="3657"/>
      <c r="H46" s="1803"/>
      <c r="I46" s="159"/>
      <c r="J46" s="2520">
        <v>1</v>
      </c>
      <c r="K46" s="3717" t="s">
        <v>1329</v>
      </c>
      <c r="L46" s="3717"/>
      <c r="M46" s="3737"/>
      <c r="N46" s="3737"/>
      <c r="O46" s="3737"/>
    </row>
    <row r="47" spans="1:15" ht="12" customHeight="1">
      <c r="A47" s="160" t="s">
        <v>1330</v>
      </c>
      <c r="B47" s="161"/>
      <c r="C47" s="162"/>
      <c r="D47" s="1084" t="s">
        <v>1331</v>
      </c>
      <c r="E47" s="302" t="s">
        <v>1332</v>
      </c>
      <c r="F47" s="163" t="s">
        <v>1333</v>
      </c>
      <c r="G47" s="2543" t="s">
        <v>1334</v>
      </c>
      <c r="H47" s="2544"/>
      <c r="I47" s="159"/>
      <c r="J47" s="2520">
        <v>2</v>
      </c>
      <c r="K47" s="3717" t="s">
        <v>1335</v>
      </c>
      <c r="L47" s="3717"/>
      <c r="M47" s="3738">
        <f>'数据-取费表'!B2</f>
        <v>45295</v>
      </c>
      <c r="N47" s="3738"/>
      <c r="O47" s="3738"/>
    </row>
    <row r="48" spans="1:15" ht="26.4">
      <c r="A48" s="3686" t="s">
        <v>1336</v>
      </c>
      <c r="B48" s="3669"/>
      <c r="C48" s="3669"/>
      <c r="D48" s="2321">
        <f ca="1">IF(H48="情况1",0,IF(H48="情况2",D52,IF(H48="情况3",D53,IF(H48="情况4",D54))))</f>
        <v>23945</v>
      </c>
      <c r="E48" s="2331" t="str">
        <f>IF(H48="情况4","(销售额-原购置价)×税（费）率","销售额×税（费）率")</f>
        <v>销售额×税（费）率</v>
      </c>
      <c r="F48" s="2545">
        <f>IF(H48="情况1","免征",'数据-取费表'!B41)</f>
        <v>5.6000000000000001E-2</v>
      </c>
      <c r="G48" s="2546" t="s">
        <v>1337</v>
      </c>
      <c r="H48" s="2547" t="s">
        <v>3491</v>
      </c>
      <c r="I48" s="1803"/>
      <c r="J48" s="2520">
        <v>3</v>
      </c>
      <c r="K48" s="3717" t="s">
        <v>1338</v>
      </c>
      <c r="L48" s="3717"/>
      <c r="M48" s="3739">
        <f ca="1">H101</f>
        <v>448976</v>
      </c>
      <c r="N48" s="3739"/>
      <c r="O48" s="3739"/>
    </row>
    <row r="49" spans="1:35" ht="25.5" customHeight="1">
      <c r="A49" s="2330" t="s">
        <v>1339</v>
      </c>
      <c r="B49" s="3653" t="s">
        <v>1340</v>
      </c>
      <c r="C49" s="3653"/>
      <c r="D49" s="1587">
        <v>0</v>
      </c>
      <c r="E49" s="324" t="s">
        <v>1341</v>
      </c>
      <c r="F49" s="2421" t="s">
        <v>28</v>
      </c>
      <c r="G49" s="3723"/>
      <c r="H49" s="2307" t="s">
        <v>2131</v>
      </c>
      <c r="I49" s="2308"/>
      <c r="J49" s="2520">
        <v>4</v>
      </c>
      <c r="K49" s="3717" t="str">
        <f>IF(项目基本情况!E8="房地产抵押价值","房地产抵押价值","抵押担保权已注销时的房地产抵押价值")</f>
        <v>房地产抵押价值</v>
      </c>
      <c r="L49" s="3717"/>
      <c r="M49" s="3739">
        <f ca="1">IF(项目基本情况!E8="房地产抵押价值",H107,H109)</f>
        <v>448976</v>
      </c>
      <c r="N49" s="3739"/>
      <c r="O49" s="3739"/>
    </row>
    <row r="50" spans="1:35" ht="25.5" customHeight="1">
      <c r="A50" s="2548"/>
      <c r="B50" s="3653" t="s">
        <v>1342</v>
      </c>
      <c r="C50" s="3653"/>
      <c r="D50" s="2549"/>
      <c r="E50" s="332"/>
      <c r="F50" s="2421"/>
      <c r="G50" s="3724"/>
      <c r="H50" s="2309" t="s">
        <v>2132</v>
      </c>
      <c r="I50" s="2308"/>
      <c r="J50" s="3736" t="s">
        <v>1343</v>
      </c>
      <c r="K50" s="3736"/>
      <c r="L50" s="3736"/>
      <c r="M50" s="3736"/>
      <c r="N50" s="3736"/>
      <c r="O50" s="3736"/>
    </row>
    <row r="51" spans="1:35" ht="20.399999999999999" customHeight="1">
      <c r="A51" s="2550"/>
      <c r="B51" s="3653" t="s">
        <v>1344</v>
      </c>
      <c r="C51" s="3653"/>
      <c r="D51" s="1084"/>
      <c r="E51" s="327"/>
      <c r="F51" s="2421"/>
      <c r="G51" s="3725"/>
      <c r="H51" s="2309" t="s">
        <v>2133</v>
      </c>
      <c r="I51" s="2308"/>
      <c r="J51" s="2521" t="s">
        <v>1345</v>
      </c>
      <c r="K51" s="3717" t="s">
        <v>1346</v>
      </c>
      <c r="L51" s="3717"/>
      <c r="M51" s="2521" t="s">
        <v>1347</v>
      </c>
      <c r="N51" s="2521" t="s">
        <v>1348</v>
      </c>
      <c r="O51" s="2521" t="s">
        <v>1349</v>
      </c>
    </row>
    <row r="52" spans="1:35" ht="24" customHeight="1">
      <c r="A52" s="2332" t="s">
        <v>1350</v>
      </c>
      <c r="B52" s="3653" t="s">
        <v>1351</v>
      </c>
      <c r="C52" s="3653"/>
      <c r="D52" s="1084">
        <f ca="1">ROUND(D45*'数据-取费表'!B41/(1+'数据-取费表'!C42),0)</f>
        <v>23945</v>
      </c>
      <c r="E52" s="2331" t="s">
        <v>1352</v>
      </c>
      <c r="F52" s="2551">
        <f>'数据-取费表'!B41</f>
        <v>5.6000000000000001E-2</v>
      </c>
      <c r="G52" s="2552"/>
      <c r="H52" s="2541"/>
      <c r="I52" s="1804"/>
      <c r="J52" s="2520">
        <v>1</v>
      </c>
      <c r="K52" s="3718" t="s">
        <v>1353</v>
      </c>
      <c r="L52" s="3718"/>
      <c r="M52" s="2522">
        <f ca="1">D48</f>
        <v>23945</v>
      </c>
      <c r="N52" s="2520" t="str">
        <f>E48</f>
        <v>销售额×税（费）率</v>
      </c>
      <c r="O52" s="2523">
        <f>F48</f>
        <v>5.6000000000000001E-2</v>
      </c>
    </row>
    <row r="53" spans="1:35" ht="12" customHeight="1">
      <c r="A53" s="2332" t="s">
        <v>1354</v>
      </c>
      <c r="B53" s="3679" t="s">
        <v>2288</v>
      </c>
      <c r="C53" s="3680"/>
      <c r="D53" s="1084">
        <f ca="1">ROUND(D45*'数据-取费表'!B41/(1+'数据-取费表'!C42),0)</f>
        <v>23945</v>
      </c>
      <c r="E53" s="2331" t="s">
        <v>1352</v>
      </c>
      <c r="F53" s="2551">
        <f>'数据-取费表'!B41</f>
        <v>5.6000000000000001E-2</v>
      </c>
      <c r="G53" s="2552"/>
      <c r="H53" s="2541"/>
      <c r="I53" s="1804"/>
      <c r="J53" s="2520">
        <v>2</v>
      </c>
      <c r="K53" s="3718" t="s">
        <v>1355</v>
      </c>
      <c r="L53" s="3718"/>
      <c r="M53" s="2522">
        <f t="shared" ref="M53:O54" ca="1" si="0">D55</f>
        <v>8980</v>
      </c>
      <c r="N53" s="2520" t="str">
        <f t="shared" si="0"/>
        <v>销售额×税（费）率</v>
      </c>
      <c r="O53" s="2523">
        <f t="shared" si="0"/>
        <v>0.02</v>
      </c>
    </row>
    <row r="54" spans="1:35" ht="12" customHeight="1">
      <c r="A54" s="2332" t="s">
        <v>1356</v>
      </c>
      <c r="B54" s="3679" t="s">
        <v>2289</v>
      </c>
      <c r="C54" s="3680"/>
      <c r="D54" s="1084">
        <f ca="1">C68</f>
        <v>23945</v>
      </c>
      <c r="E54" s="327" t="s">
        <v>1357</v>
      </c>
      <c r="F54" s="2551">
        <f>'数据-取费表'!B41</f>
        <v>5.6000000000000001E-2</v>
      </c>
      <c r="G54" s="2552"/>
      <c r="H54" s="2553"/>
      <c r="I54" s="1804"/>
      <c r="J54" s="2520">
        <v>3</v>
      </c>
      <c r="K54" s="3718" t="s">
        <v>1358</v>
      </c>
      <c r="L54" s="3718"/>
      <c r="M54" s="2522">
        <f t="shared" ca="1" si="0"/>
        <v>17244</v>
      </c>
      <c r="N54" s="2520" t="str">
        <f t="shared" si="0"/>
        <v>增值额×税（费）率</v>
      </c>
      <c r="O54" s="2524" t="str">
        <f t="shared" si="0"/>
        <v>——</v>
      </c>
    </row>
    <row r="55" spans="1:35" ht="24" customHeight="1">
      <c r="A55" s="3668" t="s">
        <v>1359</v>
      </c>
      <c r="B55" s="3669"/>
      <c r="C55" s="3669"/>
      <c r="D55" s="2321">
        <f ca="1">IF(H55="个人住宅",0,ROUND(D45*I55,0))</f>
        <v>8980</v>
      </c>
      <c r="E55" s="2331" t="s">
        <v>1360</v>
      </c>
      <c r="F55" s="2551">
        <f>IF(H55="正常",I55,"免征")</f>
        <v>0.02</v>
      </c>
      <c r="G55" s="2552"/>
      <c r="H55" s="2547" t="s">
        <v>3492</v>
      </c>
      <c r="I55" s="165">
        <f>'数据-取费表'!B49</f>
        <v>0.02</v>
      </c>
      <c r="J55" s="2520" t="str">
        <f>IF(H59="非个人房产","",4)</f>
        <v/>
      </c>
      <c r="K55" s="3718" t="str">
        <f>IF(H59="非个人房产","——","个人所得税")</f>
        <v>——</v>
      </c>
      <c r="L55" s="3718"/>
      <c r="M55" s="2525" t="str">
        <f>D59</f>
        <v>——</v>
      </c>
      <c r="N55" s="2037" t="str">
        <f>E59</f>
        <v>——</v>
      </c>
      <c r="O55" s="2526" t="str">
        <f>F59</f>
        <v>——</v>
      </c>
    </row>
    <row r="56" spans="1:35" ht="25.2">
      <c r="A56" s="3668" t="s">
        <v>1361</v>
      </c>
      <c r="B56" s="3669"/>
      <c r="C56" s="3669"/>
      <c r="D56" s="2321">
        <f ca="1">IF(H56="个人住宅",D57,D58)</f>
        <v>17244</v>
      </c>
      <c r="E56" s="2331" t="s">
        <v>1362</v>
      </c>
      <c r="F56" s="2551" t="str">
        <f>IF(H56="正常",F58,"免征")</f>
        <v>——</v>
      </c>
      <c r="G56" s="2554" t="s">
        <v>1363</v>
      </c>
      <c r="H56" s="2555" t="s">
        <v>3492</v>
      </c>
      <c r="I56" s="1805"/>
      <c r="J56" s="2520" t="str">
        <f>IF(项目基本情况!K6="上海银行",IF(J55="",4,J55+1),"")</f>
        <v/>
      </c>
      <c r="K56" s="3741" t="str">
        <f>IF(项目基本情况!K6="上海银行","其他处置费用","")</f>
        <v/>
      </c>
      <c r="L56" s="3742"/>
      <c r="M56" s="2522" t="str">
        <f>IF(项目基本情况!K6="上海银行",M69,"")</f>
        <v/>
      </c>
      <c r="N56" s="3741" t="str">
        <f>IF(项目基本情况!K6="上海银行","包含处置中涉及的律师、诉讼、拍卖、评估等费用","")</f>
        <v/>
      </c>
      <c r="O56" s="3744"/>
    </row>
    <row r="57" spans="1:35" ht="13.2">
      <c r="A57" s="2332" t="s">
        <v>1339</v>
      </c>
      <c r="B57" s="3679" t="s">
        <v>1364</v>
      </c>
      <c r="C57" s="3680"/>
      <c r="D57" s="1587">
        <v>0</v>
      </c>
      <c r="E57" s="324" t="s">
        <v>1341</v>
      </c>
      <c r="F57" s="302"/>
      <c r="G57" s="2552"/>
      <c r="H57" s="2556"/>
      <c r="I57" s="1805"/>
      <c r="J57" s="3718">
        <f>IF(AND(J55="",J56=""),4,IF(项目基本情况!K6="上海银行",结果表!J56+1,结果表!J55+1))</f>
        <v>4</v>
      </c>
      <c r="K57" s="3718" t="s">
        <v>1365</v>
      </c>
      <c r="L57" s="2527" t="s">
        <v>1366</v>
      </c>
      <c r="M57" s="2528"/>
      <c r="N57" s="2529">
        <f ca="1">SUMIF(M52:M56,"&lt;9e307")</f>
        <v>50169</v>
      </c>
      <c r="O57" s="2530"/>
      <c r="P57" s="2687">
        <f ca="1">N57/M49</f>
        <v>0.11174093938206051</v>
      </c>
    </row>
    <row r="58" spans="1:35" ht="25.2">
      <c r="A58" s="2332" t="s">
        <v>1350</v>
      </c>
      <c r="B58" s="3679" t="s">
        <v>1367</v>
      </c>
      <c r="C58" s="3653"/>
      <c r="D58" s="2321">
        <f ca="1">IF(H58="转让取得",C81,C97)</f>
        <v>17244</v>
      </c>
      <c r="E58" s="2331" t="s">
        <v>1362</v>
      </c>
      <c r="F58" s="302" t="s">
        <v>28</v>
      </c>
      <c r="G58" s="2552"/>
      <c r="H58" s="2555" t="s">
        <v>3493</v>
      </c>
      <c r="I58" s="1805"/>
      <c r="J58" s="3718"/>
      <c r="K58" s="3718"/>
      <c r="L58" s="2527" t="s">
        <v>1368</v>
      </c>
      <c r="M58" s="2531"/>
      <c r="N58" s="2532" t="str">
        <f ca="1">NUMBERSTRING(INT(N57*10000),2)&amp;"元整"</f>
        <v>伍亿零壹佰陆拾玖万元整</v>
      </c>
      <c r="O58" s="2533"/>
    </row>
    <row r="59" spans="1:35" ht="24.6" thickBot="1">
      <c r="A59" s="3721" t="s">
        <v>1369</v>
      </c>
      <c r="B59" s="3722"/>
      <c r="C59" s="3722"/>
      <c r="D59" s="2557" t="str">
        <f>IF(H59="非个人房产","——",IF(H59="个人住宅（满五唯一有凭证）",0,IF(H59="个人其他（无凭证）",ROUND(D45*F59,0),ROUND(C67*F59,0))))</f>
        <v>——</v>
      </c>
      <c r="E59" s="2558" t="str">
        <f>IF(H59="非个人房产","——",IF(H59="个人其他（无凭证）","销售额×税（费）率",IF(H59="个人住宅（满五唯一有凭证）","免征","差额计税")))</f>
        <v>——</v>
      </c>
      <c r="F59" s="2559" t="str">
        <f>IF(OR(H59="非个人房产",H59="个人住宅（满五唯一有凭证）"),"——",IF(H59="个人其他（有凭证）",20%,1%))</f>
        <v>——</v>
      </c>
      <c r="G59" s="2560" t="s">
        <v>1363</v>
      </c>
      <c r="H59" s="2311" t="s">
        <v>3494</v>
      </c>
      <c r="I59" s="2310" t="s">
        <v>2134</v>
      </c>
      <c r="J59" s="3719">
        <f>J57+1</f>
        <v>5</v>
      </c>
      <c r="K59" s="3718" t="s">
        <v>1370</v>
      </c>
      <c r="L59" s="2520" t="s">
        <v>1366</v>
      </c>
      <c r="M59" s="2534"/>
      <c r="N59" s="2535">
        <f ca="1">M49-N57</f>
        <v>398807</v>
      </c>
      <c r="O59" s="2536"/>
    </row>
    <row r="60" spans="1:35" ht="12" customHeight="1">
      <c r="A60" s="1806"/>
      <c r="B60" s="1744"/>
      <c r="C60" s="1744"/>
      <c r="D60" s="1744"/>
      <c r="E60" s="1575"/>
      <c r="F60" s="1805"/>
      <c r="G60" s="1805"/>
      <c r="H60" s="1807"/>
      <c r="I60" s="129"/>
      <c r="J60" s="3720"/>
      <c r="K60" s="3718"/>
      <c r="L60" s="2527" t="s">
        <v>1368</v>
      </c>
      <c r="M60" s="2531"/>
      <c r="N60" s="2532" t="str">
        <f ca="1">NUMBERSTRING(INT(N59*10000),2)&amp;"元整"</f>
        <v>叁拾玖亿捌仟捌佰零柒万元整</v>
      </c>
      <c r="O60" s="2533"/>
    </row>
    <row r="61" spans="1:35" ht="13.8" thickBot="1">
      <c r="A61" s="3666" t="s">
        <v>1371</v>
      </c>
      <c r="B61" s="3666"/>
      <c r="C61" s="3666"/>
      <c r="D61" s="3666"/>
      <c r="E61" s="3666"/>
      <c r="F61" s="1805"/>
      <c r="G61" s="1805"/>
      <c r="H61" s="1807"/>
      <c r="I61" s="129"/>
      <c r="J61" s="2520">
        <f>J59+1</f>
        <v>6</v>
      </c>
      <c r="K61" s="3718" t="s">
        <v>1372</v>
      </c>
      <c r="L61" s="3718"/>
      <c r="M61" s="2537"/>
      <c r="N61" s="2538">
        <f ca="1">ROUND(N59*10000/'数据-汇总表'!E3,0)</f>
        <v>35562</v>
      </c>
      <c r="O61" s="2539"/>
    </row>
    <row r="62" spans="1:35" ht="13.2">
      <c r="A62" s="3684" t="s">
        <v>1373</v>
      </c>
      <c r="B62" s="3685"/>
      <c r="C62" s="2018"/>
      <c r="D62" s="2018" t="s">
        <v>1374</v>
      </c>
      <c r="E62" s="166" t="s">
        <v>1375</v>
      </c>
      <c r="F62" s="1805"/>
      <c r="G62" s="1805"/>
      <c r="H62" s="1807"/>
      <c r="I62" s="129"/>
    </row>
    <row r="63" spans="1:35" ht="13.2">
      <c r="A63" s="173" t="s">
        <v>329</v>
      </c>
      <c r="B63" s="167" t="s">
        <v>1376</v>
      </c>
      <c r="C63" s="2561">
        <f ca="1">ROUND((C64+C65)/(1+'数据-取费表'!C42),0)</f>
        <v>427596</v>
      </c>
      <c r="D63" s="167"/>
      <c r="E63" s="168"/>
      <c r="F63" s="1805"/>
      <c r="G63" s="1805"/>
      <c r="H63" s="1807"/>
      <c r="I63" s="129"/>
      <c r="J63" s="3743" t="s">
        <v>1377</v>
      </c>
      <c r="K63" s="1329" t="s">
        <v>1378</v>
      </c>
      <c r="L63" s="1329">
        <f ca="1">IF(M49&gt;10000,M49*0.5%,IF(AND(M49&gt;1000,M49&lt;=10000),M49*1%,IF(AND(M49&gt;100,M49&lt;=1000),M49*3%,IF(AND(M49&gt;10,M49&lt;=100),M49*5%,M49*8%))))</f>
        <v>2244.88</v>
      </c>
      <c r="M63" s="302">
        <f ca="1">ROUND(L63,1)</f>
        <v>2244.9</v>
      </c>
      <c r="N63" s="2540"/>
      <c r="Z63" s="1749"/>
      <c r="AI63" s="1750"/>
    </row>
    <row r="64" spans="1:35" ht="14.25" customHeight="1">
      <c r="A64" s="169" t="s">
        <v>324</v>
      </c>
      <c r="B64" s="170" t="s">
        <v>1379</v>
      </c>
      <c r="C64" s="2562">
        <f ca="1">D45</f>
        <v>448976</v>
      </c>
      <c r="D64" s="170" t="s">
        <v>26</v>
      </c>
      <c r="E64" s="172"/>
      <c r="F64" s="1805"/>
      <c r="G64" s="1805"/>
      <c r="H64" s="1807"/>
      <c r="I64" s="129"/>
      <c r="J64" s="3743"/>
      <c r="K64" s="1329" t="s">
        <v>1380</v>
      </c>
      <c r="L64" s="1329">
        <f ca="1">IF(M49&gt;2000,M49*0.5%,IF(AND(M49&gt;1000,M49&lt;=2000),M49*0.6%,IF(AND(M49&gt;500,M49&lt;=1000),M49*0.7%,IF(AND(M49&gt;200,M49&lt;=500),M49*0.8%,IF(AND(M49&gt;100,M49&lt;=200),M49*0.9%,IF(AND(M49&gt;50,M49&lt;=100),M49*1%,IF(AND(M49&gt;20,M49&lt;=50),M49*1.5%,IF(AND(M49&gt;10,M49&lt;=20),M49*2%,IF(AND(M49&gt;1,M49&lt;=10),M49*2.5%)))))))))</f>
        <v>2244.88</v>
      </c>
      <c r="M64" s="302">
        <f t="shared" ref="M64:M65" ca="1" si="1">ROUND(L64,1)</f>
        <v>2244.9</v>
      </c>
      <c r="N64" s="2541" t="s">
        <v>1381</v>
      </c>
      <c r="Z64" s="1749"/>
      <c r="AI64" s="1750"/>
    </row>
    <row r="65" spans="1:35" ht="14.25" customHeight="1">
      <c r="A65" s="169" t="s">
        <v>325</v>
      </c>
      <c r="B65" s="170" t="s">
        <v>1382</v>
      </c>
      <c r="C65" s="2563"/>
      <c r="D65" s="170"/>
      <c r="E65" s="172"/>
      <c r="F65" s="1805"/>
      <c r="G65" s="1805"/>
      <c r="H65" s="1807"/>
      <c r="I65" s="129"/>
      <c r="J65" s="3743"/>
      <c r="K65" s="1329" t="s">
        <v>1383</v>
      </c>
      <c r="L65" s="1329">
        <f ca="1">IF(M49&gt;1000,M49*0.1%,IF(AND(M49&gt;500,M49&lt;=1000),M49*0.5%,IF(AND(M49&gt;50,M49&lt;=500),M49*1%,IF(AND(M49&gt;1,M49&lt;=50),M49*1.5%))))</f>
        <v>448.976</v>
      </c>
      <c r="M65" s="302">
        <f t="shared" ca="1" si="1"/>
        <v>449</v>
      </c>
      <c r="N65" s="2541" t="s">
        <v>1381</v>
      </c>
      <c r="Z65" s="1749"/>
      <c r="AI65" s="1750"/>
    </row>
    <row r="66" spans="1:35" ht="14.25" customHeight="1">
      <c r="A66" s="173" t="s">
        <v>326</v>
      </c>
      <c r="B66" s="174" t="s">
        <v>1384</v>
      </c>
      <c r="C66" s="2564"/>
      <c r="D66" s="174" t="s">
        <v>26</v>
      </c>
      <c r="E66" s="1335" t="s">
        <v>670</v>
      </c>
      <c r="F66" s="1805"/>
      <c r="G66" s="1805"/>
      <c r="H66" s="1807"/>
      <c r="I66" s="129"/>
      <c r="J66" s="3743"/>
      <c r="K66" s="1329" t="s">
        <v>1385</v>
      </c>
      <c r="L66" s="1329">
        <f ca="1">M49*0.5%</f>
        <v>2244.88</v>
      </c>
      <c r="M66" s="302">
        <f ca="1">IF(L66&gt;0.5,0.5,ROUND(L66,0))</f>
        <v>0.5</v>
      </c>
      <c r="N66" s="2541" t="s">
        <v>1386</v>
      </c>
      <c r="Z66" s="1749"/>
      <c r="AI66" s="1750"/>
    </row>
    <row r="67" spans="1:35" ht="14.25" customHeight="1">
      <c r="A67" s="173" t="s">
        <v>327</v>
      </c>
      <c r="B67" s="174" t="s">
        <v>1387</v>
      </c>
      <c r="C67" s="2565">
        <f ca="1">C63-C66</f>
        <v>427596</v>
      </c>
      <c r="D67" s="170" t="s">
        <v>26</v>
      </c>
      <c r="E67" s="172"/>
      <c r="F67" s="1805"/>
      <c r="G67" s="1805"/>
      <c r="H67" s="1807"/>
      <c r="I67" s="129"/>
      <c r="J67" s="3743"/>
      <c r="K67" s="1329" t="s">
        <v>1388</v>
      </c>
      <c r="L67" s="1329">
        <f ca="1">IF(M49&gt;=10000,(8.25+(M49-10000)*0.01%),IF(AND(M49&gt;=8000,M49&lt;10000),(7.85+(M49-8000)*0.02%),IF(AND(M49&gt;=5000,M49&lt;8000),(6.65+(M49-5000)*0.04%),IF(AND(M49&gt;=2000,M49&lt;5000),(4.25+(PM49-2000)*0.08%),IF(AND(M49&gt;=1000,M49&lt;2000),(2.75+(M49-1000)*0.15%),IF(AND(M49&gt;=100,M49&lt;1000),(0.5+(M49-100)*0.25%),IF(AND(M49&gt;0,M49&lt;100),M49*0.5%)))))))</f>
        <v>52.147600000000004</v>
      </c>
      <c r="M67" s="302">
        <f ca="1">ROUND(L67*0.9,1)</f>
        <v>46.9</v>
      </c>
      <c r="N67" s="2540"/>
      <c r="Z67" s="1749"/>
      <c r="AI67" s="1750"/>
    </row>
    <row r="68" spans="1:35" ht="14.25" customHeight="1" thickBot="1">
      <c r="A68" s="176" t="s">
        <v>328</v>
      </c>
      <c r="B68" s="177" t="s">
        <v>1389</v>
      </c>
      <c r="C68" s="2566">
        <f ca="1">IF(C67&lt;=0,0,ROUND(C67*D68,0))</f>
        <v>23945</v>
      </c>
      <c r="D68" s="2567">
        <f>'数据-取费表'!B41</f>
        <v>5.6000000000000001E-2</v>
      </c>
      <c r="E68" s="178"/>
      <c r="F68" s="1805"/>
      <c r="G68" s="1805"/>
      <c r="H68" s="1807"/>
      <c r="I68" s="129"/>
      <c r="J68" s="3743"/>
      <c r="K68" s="1329" t="s">
        <v>1390</v>
      </c>
      <c r="L68" s="1329">
        <f ca="1">IF(M49&gt;10000,M49*0.5%,IF(AND(M49&gt;5000,M49&lt;=10000),M49*1%,IF(AND(M49&gt;1000,M49&lt;=5000),M49*2%,IF(AND(M49&gt;200,M49&lt;=1000),M49*3%,M49*5%))))</f>
        <v>2244.88</v>
      </c>
      <c r="M68" s="302">
        <f ca="1">ROUND(L68,1)</f>
        <v>2244.9</v>
      </c>
      <c r="N68" s="2540"/>
      <c r="Z68" s="1749"/>
      <c r="AI68" s="1750"/>
    </row>
    <row r="69" spans="1:35" s="1769" customFormat="1" ht="16.5" customHeight="1">
      <c r="A69" s="1808"/>
      <c r="B69" s="1809"/>
      <c r="C69" s="1810"/>
      <c r="D69" s="1811"/>
      <c r="E69" s="1812"/>
      <c r="F69" s="1575"/>
      <c r="G69" s="1575"/>
      <c r="H69" s="1574"/>
      <c r="I69" s="1744"/>
      <c r="J69" s="3743"/>
      <c r="K69" s="1329" t="s">
        <v>1391</v>
      </c>
      <c r="L69" s="1329"/>
      <c r="M69" s="302">
        <f ca="1">ROUND(SUM(M63:M68),0)</f>
        <v>7231</v>
      </c>
      <c r="N69" s="2542">
        <f ca="1">M69/M49</f>
        <v>1.6105537935212574E-2</v>
      </c>
      <c r="O69" s="725"/>
      <c r="P69" s="725"/>
      <c r="Q69" s="725"/>
      <c r="R69" s="725"/>
      <c r="S69" s="725"/>
      <c r="T69" s="725"/>
      <c r="U69" s="725"/>
      <c r="V69" s="725"/>
      <c r="W69" s="725"/>
      <c r="X69" s="725"/>
      <c r="Y69" s="725"/>
      <c r="Z69" s="1749"/>
      <c r="AA69" s="1749"/>
      <c r="AB69" s="1749"/>
      <c r="AC69" s="1749"/>
      <c r="AD69" s="1749"/>
      <c r="AE69" s="1749"/>
      <c r="AF69" s="1749"/>
      <c r="AG69" s="1749"/>
      <c r="AH69" s="1749"/>
    </row>
    <row r="70" spans="1:35" s="1814" customFormat="1" ht="14.4" thickBot="1">
      <c r="A70" s="3705" t="s">
        <v>1392</v>
      </c>
      <c r="B70" s="3706"/>
      <c r="C70" s="3706"/>
      <c r="D70" s="3706"/>
      <c r="E70" s="3706"/>
      <c r="F70" s="3706"/>
      <c r="G70" s="3706"/>
      <c r="H70" s="3706"/>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3.8">
      <c r="A71" s="3684" t="s">
        <v>1373</v>
      </c>
      <c r="B71" s="3685"/>
      <c r="C71" s="2018"/>
      <c r="D71" s="2018" t="s">
        <v>1374</v>
      </c>
      <c r="E71" s="179" t="s">
        <v>1375</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3.8">
      <c r="A72" s="173" t="s">
        <v>329</v>
      </c>
      <c r="B72" s="174" t="s">
        <v>1393</v>
      </c>
      <c r="C72" s="2565">
        <f ca="1">ROUND(D45/(1+'数据-取费表'!C42),0)</f>
        <v>427596</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3.8">
      <c r="A73" s="173" t="s">
        <v>326</v>
      </c>
      <c r="B73" s="163" t="s">
        <v>1394</v>
      </c>
      <c r="C73" s="2565">
        <f ca="1">C74+C78</f>
        <v>2566</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324</v>
      </c>
      <c r="B74" s="170" t="s">
        <v>1395</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28.8">
      <c r="A75" s="169" t="s">
        <v>330</v>
      </c>
      <c r="B75" s="170" t="s">
        <v>1396</v>
      </c>
      <c r="C75" s="2568"/>
      <c r="D75" s="170" t="s">
        <v>26</v>
      </c>
      <c r="E75" s="184" t="s">
        <v>1397</v>
      </c>
      <c r="F75" s="2569"/>
      <c r="G75" s="184" t="s">
        <v>1398</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331</v>
      </c>
      <c r="B76" s="185" t="s">
        <v>1399</v>
      </c>
      <c r="C76" s="170">
        <f>IF(F75="购房发票",ROUND(C75*H75*D76,0),0)</f>
        <v>0</v>
      </c>
      <c r="D76" s="2571">
        <v>0.05</v>
      </c>
      <c r="E76" s="3679" t="s">
        <v>1400</v>
      </c>
      <c r="F76" s="3653"/>
      <c r="G76" s="3653"/>
      <c r="H76" s="3704"/>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332</v>
      </c>
      <c r="B77" s="170" t="s">
        <v>1401</v>
      </c>
      <c r="C77" s="170">
        <f>ROUND(IF(G77="个人住宅",0,IF(G77="2016年5月1日前购买",C75*D77,C75*D77/(1+'数据-取费表'!C42))),0)</f>
        <v>0</v>
      </c>
      <c r="D77" s="2572">
        <f>'数据-取费表'!B48+'数据-取费表'!B49</f>
        <v>0.05</v>
      </c>
      <c r="E77" s="2321" t="s">
        <v>1402</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325</v>
      </c>
      <c r="B78" s="170" t="s">
        <v>1403</v>
      </c>
      <c r="C78" s="2573">
        <f ca="1">ROUND(D45*D78/(1+'数据-取费表'!C42),0)</f>
        <v>2566</v>
      </c>
      <c r="D78" s="2574">
        <f>'数据-取费表'!B43</f>
        <v>6.000000000000001E-3</v>
      </c>
      <c r="E78" s="3663" t="s">
        <v>1404</v>
      </c>
      <c r="F78" s="3664"/>
      <c r="G78" s="3664"/>
      <c r="H78" s="3673"/>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3.8">
      <c r="A79" s="173" t="s">
        <v>333</v>
      </c>
      <c r="B79" s="174" t="s">
        <v>1405</v>
      </c>
      <c r="C79" s="2565">
        <f ca="1">C72-C73</f>
        <v>425030</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334</v>
      </c>
      <c r="B80" s="174" t="s">
        <v>1406</v>
      </c>
      <c r="C80" s="2575">
        <f ca="1">IF(C79&lt;=0,0,C79/C73)</f>
        <v>165.63912704598596</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6" thickBot="1">
      <c r="A81" s="176" t="s">
        <v>335</v>
      </c>
      <c r="B81" s="177" t="s">
        <v>1407</v>
      </c>
      <c r="C81" s="2576">
        <f ca="1">ROUND(IF(C79&lt;=0,0,IF(C80&gt;=200%,C79*60%-C73*35%,IF(C80&gt;=100%,C79*50%-C73*15%,IF(C80&gt;=50%,C79*40%-C73*5%,IF(C80&lt;50%,C79*30%,0))))),0)</f>
        <v>254120</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80"/>
      <c r="B82" s="681"/>
      <c r="C82" s="4"/>
      <c r="D82" s="4"/>
      <c r="E82" s="681"/>
      <c r="F82" s="681"/>
      <c r="G82" s="681"/>
      <c r="H82" s="682"/>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4.4" thickBot="1">
      <c r="A83" s="3705" t="s">
        <v>1408</v>
      </c>
      <c r="B83" s="3706"/>
      <c r="C83" s="3706"/>
      <c r="D83" s="3706"/>
      <c r="E83" s="3706"/>
      <c r="F83" s="3706"/>
      <c r="G83" s="3706"/>
      <c r="H83" s="3706"/>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3.8">
      <c r="A84" s="3684" t="s">
        <v>1373</v>
      </c>
      <c r="B84" s="3685"/>
      <c r="C84" s="2018"/>
      <c r="D84" s="2018"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3.8">
      <c r="A85" s="173" t="s">
        <v>329</v>
      </c>
      <c r="B85" s="174" t="s">
        <v>1393</v>
      </c>
      <c r="C85" s="2565">
        <f ca="1">ROUND(D45/(1+'数据-取费表'!C42),0)</f>
        <v>427596</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3.8">
      <c r="A86" s="173" t="s">
        <v>326</v>
      </c>
      <c r="B86" s="163" t="s">
        <v>1394</v>
      </c>
      <c r="C86" s="2565">
        <f ca="1">IF(H88="仅含出让金",C87+C90+C91+C92+C93+C94,C87+C91+C92+C93+C94)</f>
        <v>370115</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3.8">
      <c r="A87" s="169" t="s">
        <v>324</v>
      </c>
      <c r="B87" s="170" t="s">
        <v>1409</v>
      </c>
      <c r="C87" s="2573">
        <f>C88+C89</f>
        <v>31751</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4">
      <c r="A88" s="169" t="s">
        <v>330</v>
      </c>
      <c r="B88" s="170" t="s">
        <v>1410</v>
      </c>
      <c r="C88" s="3560">
        <v>30239</v>
      </c>
      <c r="D88" s="2574"/>
      <c r="E88" s="193" t="s">
        <v>1411</v>
      </c>
      <c r="F88" s="2324"/>
      <c r="G88" s="194" t="s">
        <v>1412</v>
      </c>
      <c r="H88" s="1821" t="s">
        <v>3495</v>
      </c>
      <c r="I88" s="1818"/>
      <c r="J88" s="2518" t="s">
        <v>2285</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3.8">
      <c r="A89" s="169" t="s">
        <v>331</v>
      </c>
      <c r="B89" s="170" t="s">
        <v>1401</v>
      </c>
      <c r="C89" s="2573">
        <f>ROUND(C88*D89,0)</f>
        <v>1512</v>
      </c>
      <c r="D89" s="2574">
        <f>'数据-取费表'!B48+'数据-取费表'!B49</f>
        <v>0.05</v>
      </c>
      <c r="E89" s="193" t="s">
        <v>1413</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4">
      <c r="A90" s="169" t="s">
        <v>325</v>
      </c>
      <c r="B90" s="170" t="s">
        <v>1414</v>
      </c>
      <c r="C90" s="3560">
        <v>175000</v>
      </c>
      <c r="D90" s="2574"/>
      <c r="E90" s="193" t="str">
        <f>IF(H88="-","土地取得成本中已包含该笔费用"," ")</f>
        <v xml:space="preserve"> </v>
      </c>
      <c r="F90" s="2324"/>
      <c r="G90" s="3745" t="s">
        <v>2126</v>
      </c>
      <c r="H90" s="3746"/>
      <c r="I90" s="1818"/>
      <c r="J90" s="2518" t="s">
        <v>2286</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1415</v>
      </c>
      <c r="B91" s="170" t="s">
        <v>1416</v>
      </c>
      <c r="C91" s="2573">
        <f ca="1">IF(H91="——",成本法!C33,I91)</f>
        <v>75979</v>
      </c>
      <c r="D91" s="2574"/>
      <c r="E91" s="3663" t="s">
        <v>1417</v>
      </c>
      <c r="F91" s="3664"/>
      <c r="G91" s="3664"/>
      <c r="H91" s="1822" t="s">
        <v>43</v>
      </c>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1418</v>
      </c>
      <c r="B92" s="170" t="s">
        <v>1419</v>
      </c>
      <c r="C92" s="2573">
        <f ca="1">ROUND((C87+C90+C91)*D92,0)</f>
        <v>28273</v>
      </c>
      <c r="D92" s="2580">
        <v>0.1</v>
      </c>
      <c r="E92" s="3663" t="s">
        <v>1420</v>
      </c>
      <c r="F92" s="3664"/>
      <c r="G92" s="3664"/>
      <c r="H92" s="3673"/>
      <c r="I92" s="1818"/>
      <c r="J92" s="2519" t="s">
        <v>2287</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1421</v>
      </c>
      <c r="B93" s="170" t="s">
        <v>1403</v>
      </c>
      <c r="C93" s="2573">
        <f ca="1">ROUND(D45*D93/(1+'数据-取费表'!C42),0)</f>
        <v>2566</v>
      </c>
      <c r="D93" s="2574">
        <f>'数据-取费表'!B43</f>
        <v>6.000000000000001E-3</v>
      </c>
      <c r="E93" s="3663" t="s">
        <v>1404</v>
      </c>
      <c r="F93" s="3664"/>
      <c r="G93" s="3664"/>
      <c r="H93" s="3673"/>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1422</v>
      </c>
      <c r="B94" s="170" t="s">
        <v>1423</v>
      </c>
      <c r="C94" s="2579">
        <f ca="1">ROUND((C87+C90+C91)*D94,0)</f>
        <v>56546</v>
      </c>
      <c r="D94" s="2574">
        <v>0.2</v>
      </c>
      <c r="E94" s="3674" t="s">
        <v>1424</v>
      </c>
      <c r="F94" s="3675"/>
      <c r="G94" s="3675"/>
      <c r="H94" s="3676"/>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3.8">
      <c r="A95" s="173" t="s">
        <v>333</v>
      </c>
      <c r="B95" s="174" t="s">
        <v>1405</v>
      </c>
      <c r="C95" s="2565">
        <f ca="1">ROUND(C85-C86,0)</f>
        <v>57481</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334</v>
      </c>
      <c r="B96" s="174" t="s">
        <v>1406</v>
      </c>
      <c r="C96" s="2575">
        <f ca="1">IF(C95&lt;=0,0,C95/C86)</f>
        <v>0.15530578333761128</v>
      </c>
      <c r="D96" s="170" t="s">
        <v>26</v>
      </c>
      <c r="E96" s="2321" t="str">
        <f ca="1">IF(C96&gt;=200%,"增值额超过扣除项目金额200%",IF(C96&gt;=100%,"增值额超过扣除项目金额100%，未超过200%",IF(C96&gt;=50%,"增值额超过扣除项目金额50%，未超过100%",IF(C96&lt;50%,"增值额未超过扣除项目金额50%"))))</f>
        <v>增值额未超过扣除项目金额50%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6" thickBot="1">
      <c r="A97" s="176" t="s">
        <v>335</v>
      </c>
      <c r="B97" s="177" t="s">
        <v>1407</v>
      </c>
      <c r="C97" s="2576">
        <f ca="1">ROUND(IF(C95&lt;=0,0,IF(C96&gt;=200%,C95*60%-C86*35%,IF(C96&gt;=100%,C95*50%-C86*15%,IF(C96&gt;=50%,C95*40%-C86*5%,IF(C96&lt;50%,C95*30%,0))))),0)</f>
        <v>17244</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647" t="s">
        <v>1426</v>
      </c>
      <c r="B100" s="3648"/>
      <c r="C100" s="3648"/>
      <c r="D100" s="3665"/>
      <c r="E100" s="3648" t="s">
        <v>1427</v>
      </c>
      <c r="F100" s="3648"/>
      <c r="G100" s="3648"/>
      <c r="H100" s="3665"/>
      <c r="I100" s="129"/>
    </row>
    <row r="101" spans="1:35" ht="18.75" customHeight="1">
      <c r="A101" s="3726" t="s">
        <v>1428</v>
      </c>
      <c r="B101" s="3727"/>
      <c r="C101" s="2582" t="str">
        <f>C4</f>
        <v>成本法</v>
      </c>
      <c r="D101" s="2583" t="str">
        <f>D4</f>
        <v>收益法（汇总）</v>
      </c>
      <c r="E101" s="3740" t="s">
        <v>1429</v>
      </c>
      <c r="F101" s="3697"/>
      <c r="G101" s="1824" t="s">
        <v>1430</v>
      </c>
      <c r="H101" s="2592">
        <f ca="1">H118</f>
        <v>448976</v>
      </c>
      <c r="I101" s="129"/>
    </row>
    <row r="102" spans="1:35" ht="18.75" customHeight="1">
      <c r="A102" s="3699" t="s">
        <v>1431</v>
      </c>
      <c r="B102" s="2581" t="s">
        <v>1430</v>
      </c>
      <c r="C102" s="2582">
        <f ca="1">IF(D32="楼面单价",ROUND(C19,0),C19)</f>
        <v>437858</v>
      </c>
      <c r="D102" s="2583">
        <f ca="1">IF(D32="楼面单价",ROUND(D19,0),D19)</f>
        <v>460093</v>
      </c>
      <c r="E102" s="3740"/>
      <c r="F102" s="3697"/>
      <c r="G102" s="1824" t="s">
        <v>1432</v>
      </c>
      <c r="H102" s="2552">
        <f ca="1">I118</f>
        <v>40035</v>
      </c>
      <c r="I102" s="129"/>
    </row>
    <row r="103" spans="1:35" ht="42.75" customHeight="1">
      <c r="A103" s="3699"/>
      <c r="B103" s="2581" t="s">
        <v>1432</v>
      </c>
      <c r="C103" s="2584">
        <f ca="1">C20</f>
        <v>39044</v>
      </c>
      <c r="D103" s="2585">
        <f ca="1">D20</f>
        <v>41027</v>
      </c>
      <c r="E103" s="3734" t="s">
        <v>1433</v>
      </c>
      <c r="F103" s="3735"/>
      <c r="G103" s="1825" t="s">
        <v>1434</v>
      </c>
      <c r="H103" s="2592">
        <f>IF(D36="正常操作",H104+H105+H106,H105+H106)</f>
        <v>0</v>
      </c>
      <c r="I103" s="129"/>
    </row>
    <row r="104" spans="1:35" ht="18.75" customHeight="1">
      <c r="A104" s="3699" t="s">
        <v>1435</v>
      </c>
      <c r="B104" s="2586" t="s">
        <v>1430</v>
      </c>
      <c r="C104" s="2587">
        <f ca="1">H118</f>
        <v>448976</v>
      </c>
      <c r="D104" s="2588"/>
      <c r="E104" s="1671" t="s">
        <v>1436</v>
      </c>
      <c r="F104" s="1663"/>
      <c r="G104" s="1825" t="s">
        <v>1434</v>
      </c>
      <c r="H104" s="2593">
        <f>IF(D36="同一抵押权人同一抵押物续贷",C36&amp;"（续贷，未扣减，详见特别提示）",C36)</f>
        <v>0</v>
      </c>
      <c r="I104" s="129"/>
    </row>
    <row r="105" spans="1:35" ht="18.75" customHeight="1" thickBot="1">
      <c r="A105" s="3700"/>
      <c r="B105" s="2589" t="s">
        <v>1432</v>
      </c>
      <c r="C105" s="2590">
        <f ca="1">I118</f>
        <v>40035</v>
      </c>
      <c r="D105" s="2591"/>
      <c r="E105" s="1671" t="s">
        <v>1437</v>
      </c>
      <c r="F105" s="1663"/>
      <c r="G105" s="1825" t="s">
        <v>1434</v>
      </c>
      <c r="H105" s="2594">
        <f>C37</f>
        <v>0</v>
      </c>
      <c r="I105" s="129"/>
    </row>
    <row r="106" spans="1:35" ht="18.75" customHeight="1">
      <c r="A106" s="1744" t="s">
        <v>1438</v>
      </c>
      <c r="B106" s="1744"/>
      <c r="C106" s="1744"/>
      <c r="D106" s="1744"/>
      <c r="E106" s="1826" t="s">
        <v>1439</v>
      </c>
      <c r="F106" s="1663"/>
      <c r="G106" s="1825" t="s">
        <v>1434</v>
      </c>
      <c r="H106" s="2594">
        <f>C38</f>
        <v>0</v>
      </c>
      <c r="I106" s="129"/>
    </row>
    <row r="107" spans="1:35" ht="18.75" customHeight="1">
      <c r="A107" s="129"/>
      <c r="B107" s="129"/>
      <c r="C107" s="129"/>
      <c r="D107" s="129"/>
      <c r="E107" s="3696" t="str">
        <f>IF(项目基本情况!E8="已注销","——","3.房地产抵押价值")</f>
        <v>3.房地产抵押价值</v>
      </c>
      <c r="F107" s="3697"/>
      <c r="G107" s="1824" t="s">
        <v>1430</v>
      </c>
      <c r="H107" s="2592">
        <f ca="1">IF(E107="——","——",H101-H103)</f>
        <v>448976</v>
      </c>
      <c r="I107" s="129"/>
    </row>
    <row r="108" spans="1:35" ht="18.75" customHeight="1">
      <c r="A108" s="129"/>
      <c r="B108" s="129"/>
      <c r="C108" s="129"/>
      <c r="D108" s="129"/>
      <c r="E108" s="3696"/>
      <c r="F108" s="3697"/>
      <c r="G108" s="1824" t="s">
        <v>1432</v>
      </c>
      <c r="H108" s="2552">
        <f ca="1">IF(H107=H101,H102,ROUND(H107*10000/'数据-汇总表'!E3,0))</f>
        <v>40035</v>
      </c>
      <c r="I108" s="129"/>
    </row>
    <row r="109" spans="1:35" ht="18.75" customHeight="1">
      <c r="A109" s="129"/>
      <c r="B109" s="129"/>
      <c r="C109" s="129"/>
      <c r="D109" s="129"/>
      <c r="E109" s="3696" t="str">
        <f>IF(项目基本情况!E8="已注销及未注销","4.抵押担保权已注销时的房地产抵押价值",IF(项目基本情况!E8="已注销","3.抵押担保权已注销时的房地产抵押价值","——"))</f>
        <v>——</v>
      </c>
      <c r="F109" s="3697"/>
      <c r="G109" s="1824" t="s">
        <v>1430</v>
      </c>
      <c r="H109" s="2595" t="str">
        <f>IF(E109="——","——",H101-H105-H106)</f>
        <v>——</v>
      </c>
      <c r="I109" s="129"/>
    </row>
    <row r="110" spans="1:35" ht="18.75" customHeight="1">
      <c r="A110" s="129"/>
      <c r="B110" s="129"/>
      <c r="C110" s="129"/>
      <c r="D110" s="129"/>
      <c r="E110" s="3696"/>
      <c r="F110" s="3697"/>
      <c r="G110" s="1824" t="s">
        <v>1432</v>
      </c>
      <c r="H110" s="2552" t="str">
        <f>IF(H109="——","——",ROUND(H109*10000/'数据-汇总表'!E3,0))</f>
        <v>——</v>
      </c>
      <c r="I110" s="129"/>
    </row>
    <row r="111" spans="1:35" ht="18.75" customHeight="1">
      <c r="A111" s="129"/>
      <c r="B111" s="129"/>
      <c r="C111" s="129"/>
      <c r="D111" s="129"/>
      <c r="E111" s="3728" t="str">
        <f>IF(项目基本情况!E9="抵押净值",IF(OR(项目基本情况!E8="已注销",项目基本情况!E8="房地产抵押价值"),"4.抵押净值","5.抵押净值"),"——")</f>
        <v>4.抵押净值</v>
      </c>
      <c r="F111" s="3698"/>
      <c r="G111" s="1824" t="s">
        <v>1430</v>
      </c>
      <c r="H111" s="2592">
        <f ca="1">IF(E111="——","——",N59)</f>
        <v>398807</v>
      </c>
      <c r="I111" s="129"/>
    </row>
    <row r="112" spans="1:35" ht="18.75" customHeight="1" thickBot="1">
      <c r="A112" s="129"/>
      <c r="B112" s="129"/>
      <c r="C112" s="129"/>
      <c r="D112" s="129"/>
      <c r="E112" s="3729"/>
      <c r="F112" s="3730"/>
      <c r="G112" s="1827" t="s">
        <v>1432</v>
      </c>
      <c r="H112" s="2596">
        <f ca="1">IF(E111="——","——",N61)</f>
        <v>35562</v>
      </c>
      <c r="I112" s="129"/>
    </row>
    <row r="113" spans="1:27" ht="18.75" customHeight="1">
      <c r="A113" s="129"/>
      <c r="B113" s="129"/>
      <c r="C113" s="129"/>
      <c r="D113" s="129"/>
      <c r="E113" s="3701" t="s">
        <v>1438</v>
      </c>
      <c r="F113" s="3701"/>
      <c r="G113" s="3701"/>
      <c r="H113" s="3701"/>
      <c r="I113" s="129"/>
    </row>
    <row r="114" spans="1:27" ht="3.75" customHeight="1">
      <c r="A114" s="1744"/>
      <c r="B114" s="1744"/>
      <c r="C114" s="1744"/>
      <c r="D114" s="1744"/>
      <c r="E114" s="1806"/>
      <c r="F114" s="1806"/>
      <c r="G114" s="1806"/>
      <c r="H114" s="1806"/>
      <c r="I114" s="1744"/>
    </row>
    <row r="115" spans="1:27" ht="18.75" customHeight="1">
      <c r="A115" s="3711" t="s">
        <v>1440</v>
      </c>
      <c r="B115" s="3712"/>
      <c r="C115" s="3712"/>
      <c r="D115" s="3712"/>
      <c r="E115" s="3712"/>
      <c r="F115" s="3712"/>
      <c r="G115" s="3712"/>
      <c r="H115" s="3712"/>
      <c r="I115" s="3713"/>
    </row>
    <row r="116" spans="1:27" ht="27" customHeight="1">
      <c r="A116" s="3667" t="s">
        <v>1441</v>
      </c>
      <c r="B116" s="3702" t="s">
        <v>1442</v>
      </c>
      <c r="C116" s="3702" t="s">
        <v>1443</v>
      </c>
      <c r="D116" s="3715" t="s">
        <v>1444</v>
      </c>
      <c r="E116" s="3716"/>
      <c r="F116" s="3710" t="s">
        <v>1445</v>
      </c>
      <c r="G116" s="3710"/>
      <c r="H116" s="3667" t="s">
        <v>1446</v>
      </c>
      <c r="I116" s="3667"/>
    </row>
    <row r="117" spans="1:27" ht="18.75" customHeight="1">
      <c r="A117" s="3667"/>
      <c r="B117" s="3703"/>
      <c r="C117" s="3703"/>
      <c r="D117" s="2326" t="s">
        <v>1447</v>
      </c>
      <c r="E117" s="2326" t="s">
        <v>1448</v>
      </c>
      <c r="F117" s="2326" t="s">
        <v>1447</v>
      </c>
      <c r="G117" s="2326" t="s">
        <v>1449</v>
      </c>
      <c r="H117" s="2326" t="s">
        <v>1447</v>
      </c>
      <c r="I117" s="2326" t="s">
        <v>1449</v>
      </c>
    </row>
    <row r="118" spans="1:27" ht="24.75" customHeight="1">
      <c r="A118" s="2597" t="str">
        <f>项目基本情况!S2</f>
        <v>北京市海淀区魏公村路6号院1号楼房地产</v>
      </c>
      <c r="B118" s="2326">
        <f>M18</f>
        <v>112144.47999999998</v>
      </c>
      <c r="C118" s="2326">
        <f>M19</f>
        <v>10426.780000000001</v>
      </c>
      <c r="D118" s="2326">
        <f ca="1">ROUND(IF(D32="总价",C34,E118*B118/10000),0)</f>
        <v>338079</v>
      </c>
      <c r="E118" s="2326">
        <f ca="1">ROUND(IF(C33="自定义",IF(D32="楼面单价",C34,D118*10000/B118),I118-G118),0)</f>
        <v>30146</v>
      </c>
      <c r="F118" s="2326">
        <f ca="1">ROUND(IF(D32="总价",C35,G118*B118/10000),0)</f>
        <v>110897</v>
      </c>
      <c r="G118" s="2326">
        <f ca="1">ROUND(IF(D32="楼面单价",C35,F118*10000/B118),0)</f>
        <v>9889</v>
      </c>
      <c r="H118" s="2326">
        <f ca="1">ROUND(IF(D32="总价",C32,I118*B118/10000),0)</f>
        <v>448976</v>
      </c>
      <c r="I118" s="2326">
        <f ca="1">ROUND(IF(D32="楼面单价",C32,H118*10000/B118),0)</f>
        <v>40035</v>
      </c>
    </row>
    <row r="119" spans="1:27" ht="18.75" customHeight="1">
      <c r="A119" s="3667" t="s">
        <v>1450</v>
      </c>
      <c r="B119" s="3667"/>
      <c r="C119" s="3667"/>
      <c r="D119" s="3707" t="str">
        <f ca="1">NUMBERSTRING(INT(D118*10000),2)&amp;"元整"</f>
        <v>叁拾叁亿捌仟零柒拾玖万元整</v>
      </c>
      <c r="E119" s="3709"/>
      <c r="F119" s="3707" t="str">
        <f ca="1">NUMBERSTRING(INT(F118*10000),2)&amp;"元整"</f>
        <v>壹拾壹亿零捌佰玖拾柒万元整</v>
      </c>
      <c r="G119" s="3709"/>
      <c r="H119" s="3707" t="str">
        <f ca="1">NUMBERSTRING(INT(H118*10000),2)&amp;"元整"</f>
        <v>肆拾肆亿捌仟玖佰柒拾陆万元整</v>
      </c>
      <c r="I119" s="3709"/>
    </row>
    <row r="120" spans="1:27" ht="18.75" customHeight="1">
      <c r="A120" s="3731" t="str">
        <f>IF(项目基本情况!B9="房地产市场价值","",MID(E103,3,LEN(E103)-2))</f>
        <v>估价师知悉的法定优先受偿款</v>
      </c>
      <c r="B120" s="3732"/>
      <c r="C120" s="3733"/>
      <c r="D120" s="3731">
        <f>H103</f>
        <v>0</v>
      </c>
      <c r="E120" s="3732"/>
      <c r="F120" s="3732"/>
      <c r="G120" s="3732"/>
      <c r="H120" s="3732"/>
      <c r="I120" s="3733"/>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707" t="s">
        <v>1450</v>
      </c>
      <c r="B121" s="3708"/>
      <c r="C121" s="3709"/>
      <c r="D121" s="3707" t="str">
        <f>IF(D120=0,"零元整",NUMBERSTRING(INT(D120*10000),2)&amp;"元整")</f>
        <v>零元整</v>
      </c>
      <c r="E121" s="3708"/>
      <c r="F121" s="3708"/>
      <c r="G121" s="3708"/>
      <c r="H121" s="3708"/>
      <c r="I121" s="3709"/>
      <c r="AA121" s="725"/>
    </row>
    <row r="122" spans="1:27" ht="18.75" customHeight="1">
      <c r="A122" s="3698" t="str">
        <f>IF(项目基本情况!B9="房地产市场价值","",MID(E107,3,LEN(E107)-2))</f>
        <v>房地产抵押价值</v>
      </c>
      <c r="B122" s="3698"/>
      <c r="C122" s="3698"/>
      <c r="D122" s="3731">
        <f ca="1">H107</f>
        <v>448976</v>
      </c>
      <c r="E122" s="3732"/>
      <c r="F122" s="3732"/>
      <c r="G122" s="3732"/>
      <c r="H122" s="3732"/>
      <c r="I122" s="3733"/>
      <c r="AA122" s="725"/>
    </row>
    <row r="123" spans="1:27" ht="18.75" customHeight="1">
      <c r="A123" s="3667" t="s">
        <v>1450</v>
      </c>
      <c r="B123" s="3667"/>
      <c r="C123" s="3667"/>
      <c r="D123" s="3707" t="str">
        <f ca="1">NUMBERSTRING(INT(D122*10000),2)&amp;"元整"</f>
        <v>肆拾肆亿捌仟玖佰柒拾陆万元整</v>
      </c>
      <c r="E123" s="3708"/>
      <c r="F123" s="3708"/>
      <c r="G123" s="3708"/>
      <c r="H123" s="3708"/>
      <c r="I123" s="3709"/>
      <c r="AA123" s="725"/>
    </row>
    <row r="124" spans="1:27" ht="18.75" customHeight="1">
      <c r="A124" s="3698" t="str">
        <f>IF(项目基本情况!B9="房地产市场价值","",MID(E109,3,LEN(E109)-2))</f>
        <v/>
      </c>
      <c r="B124" s="3698"/>
      <c r="C124" s="3698"/>
      <c r="D124" s="3731" t="str">
        <f>H109</f>
        <v>——</v>
      </c>
      <c r="E124" s="3732"/>
      <c r="F124" s="3732"/>
      <c r="G124" s="3732"/>
      <c r="H124" s="3732"/>
      <c r="I124" s="3733"/>
      <c r="AA124" s="725"/>
    </row>
    <row r="125" spans="1:27" ht="18.75" customHeight="1">
      <c r="A125" s="3667" t="s">
        <v>1450</v>
      </c>
      <c r="B125" s="3667"/>
      <c r="C125" s="3667"/>
      <c r="D125" s="3707" t="e">
        <f>NUMBERSTRING(INT(D124*10000),2)&amp;"元整"</f>
        <v>#VALUE!</v>
      </c>
      <c r="E125" s="3708"/>
      <c r="F125" s="3708"/>
      <c r="G125" s="3708"/>
      <c r="H125" s="3708"/>
      <c r="I125" s="3709"/>
      <c r="AA125" s="725"/>
    </row>
    <row r="126" spans="1:27" ht="18.75" customHeight="1">
      <c r="A126" s="3698" t="str">
        <f>IF(项目基本情况!B9="房地产市场价值","",MID(E111,3,LEN(E111)-2))</f>
        <v>抵押净值</v>
      </c>
      <c r="B126" s="3698"/>
      <c r="C126" s="3698"/>
      <c r="D126" s="3731">
        <f ca="1">H111</f>
        <v>398807</v>
      </c>
      <c r="E126" s="3732"/>
      <c r="F126" s="3732"/>
      <c r="G126" s="3732"/>
      <c r="H126" s="3732"/>
      <c r="I126" s="3733"/>
      <c r="AA126" s="725"/>
    </row>
    <row r="127" spans="1:27" ht="18.75" customHeight="1">
      <c r="A127" s="3667" t="s">
        <v>1450</v>
      </c>
      <c r="B127" s="3667"/>
      <c r="C127" s="3667"/>
      <c r="D127" s="3707" t="str">
        <f ca="1">NUMBERSTRING(INT(D126*10000),2)&amp;"元整"</f>
        <v>叁拾玖亿捌仟捌佰零柒万元整</v>
      </c>
      <c r="E127" s="3708"/>
      <c r="F127" s="3708"/>
      <c r="G127" s="3708"/>
      <c r="H127" s="3708"/>
      <c r="I127" s="3709"/>
      <c r="AA127" s="725"/>
    </row>
    <row r="128" spans="1:27" ht="21.75" customHeight="1">
      <c r="A128" s="3714" t="s">
        <v>1451</v>
      </c>
      <c r="B128" s="3714"/>
      <c r="C128" s="3714"/>
      <c r="D128" s="3714"/>
      <c r="E128" s="3714"/>
      <c r="F128" s="3714"/>
      <c r="G128" s="3714"/>
      <c r="H128" s="3714"/>
      <c r="I128" s="3714"/>
      <c r="AA128" s="725"/>
    </row>
    <row r="129" spans="1:35" ht="21.75" customHeight="1">
      <c r="A129" s="1828" t="s">
        <v>1452</v>
      </c>
      <c r="B129" s="1829"/>
      <c r="C129" s="1830" t="s">
        <v>1453</v>
      </c>
      <c r="D129" s="1831"/>
      <c r="E129" s="1831"/>
      <c r="F129" s="1831"/>
      <c r="G129" s="1831"/>
      <c r="H129" s="1832"/>
      <c r="I129" s="1833"/>
      <c r="AA129" s="725"/>
    </row>
    <row r="130" spans="1:35" ht="21.75" customHeight="1">
      <c r="A130" s="1834">
        <v>1</v>
      </c>
      <c r="B130" s="1835"/>
      <c r="C130" s="1835"/>
      <c r="D130" s="1836"/>
      <c r="E130" s="1836"/>
      <c r="F130" s="1836"/>
      <c r="G130" s="1836"/>
      <c r="H130" s="1837"/>
      <c r="I130" s="1838"/>
      <c r="AA130" s="725"/>
    </row>
    <row r="131" spans="1:35" ht="21.75" customHeight="1">
      <c r="A131" s="1834">
        <v>2</v>
      </c>
      <c r="B131" s="1835"/>
      <c r="C131" s="1835"/>
      <c r="D131" s="1836"/>
      <c r="E131" s="1836"/>
      <c r="F131" s="1836"/>
      <c r="G131" s="1836"/>
      <c r="H131" s="1837"/>
      <c r="I131" s="1838"/>
      <c r="AA131" s="725"/>
    </row>
    <row r="132" spans="1:35" ht="21.75" customHeight="1">
      <c r="A132" s="1834">
        <v>3</v>
      </c>
      <c r="B132" s="1835"/>
      <c r="C132" s="1835"/>
      <c r="D132" s="1836"/>
      <c r="E132" s="1836"/>
      <c r="F132" s="1836"/>
      <c r="G132" s="1836"/>
      <c r="H132" s="1837"/>
      <c r="I132" s="1838"/>
      <c r="AA132" s="725"/>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5"/>
    </row>
    <row r="135" spans="1:35" ht="21.75" customHeight="1">
      <c r="A135" s="725"/>
      <c r="B135" s="725"/>
      <c r="C135" s="725"/>
      <c r="D135" s="725"/>
      <c r="E135" s="725"/>
      <c r="F135" s="1844" t="s">
        <v>1454</v>
      </c>
      <c r="G135" s="1845"/>
      <c r="H135" s="1845"/>
      <c r="I135" s="1846" t="s">
        <v>1455</v>
      </c>
    </row>
    <row r="136" spans="1:35" ht="21.75" customHeight="1">
      <c r="A136" s="725"/>
      <c r="B136" s="1847"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5"/>
      <c r="C138" s="1845"/>
      <c r="D138" s="1845"/>
      <c r="E138" s="1845"/>
      <c r="F138" s="1845"/>
      <c r="G138" s="1845"/>
      <c r="H138" s="1845"/>
      <c r="I138" s="1846" t="s">
        <v>1457</v>
      </c>
    </row>
    <row r="139" spans="1:35" ht="21.75" customHeight="1">
      <c r="A139" s="725"/>
      <c r="B139" s="1847" t="s">
        <v>1458</v>
      </c>
      <c r="C139" s="725"/>
      <c r="D139" s="725"/>
      <c r="E139" s="725"/>
      <c r="F139" s="725"/>
      <c r="G139" s="725"/>
      <c r="H139" s="725"/>
      <c r="I139" s="725"/>
    </row>
    <row r="140" spans="1:35" ht="21.75" customHeight="1">
      <c r="A140" s="725"/>
      <c r="B140" s="1847"/>
      <c r="C140" s="725"/>
      <c r="D140" s="725"/>
      <c r="E140" s="725"/>
      <c r="F140" s="725"/>
      <c r="G140" s="725"/>
      <c r="H140" s="725"/>
      <c r="I140" s="725"/>
    </row>
    <row r="141" spans="1:35" ht="21.75" customHeight="1">
      <c r="A141" s="725"/>
      <c r="B141" s="1845"/>
      <c r="C141" s="1845"/>
      <c r="D141" s="1845"/>
      <c r="E141" s="1845"/>
      <c r="F141" s="1845"/>
      <c r="G141" s="1845"/>
      <c r="H141" s="1845"/>
      <c r="I141" s="1846" t="s">
        <v>1457</v>
      </c>
    </row>
    <row r="142" spans="1:35" ht="21.75" customHeight="1">
      <c r="A142" s="725"/>
      <c r="B142" s="1847"/>
      <c r="C142" s="1848"/>
      <c r="D142" s="1849"/>
      <c r="E142" s="1849"/>
      <c r="F142" s="1738"/>
      <c r="G142" s="725"/>
      <c r="H142" s="725"/>
      <c r="I142" s="725"/>
    </row>
    <row r="143" spans="1:35" s="130" customFormat="1" ht="21.75" customHeight="1">
      <c r="A143" s="725"/>
      <c r="B143" s="1847"/>
      <c r="C143" s="1848"/>
      <c r="D143" s="1849"/>
      <c r="E143" s="1849"/>
      <c r="F143" s="1738"/>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9"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9"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9"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9"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9"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9"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9"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9"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9"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9"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9"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9"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9"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9"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9"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9"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9"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9"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9"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9"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9"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9"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9"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9"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9"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9"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9"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9"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9"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9"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9"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9"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9"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9"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9"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9"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9"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9"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9"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9"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9"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9"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9"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9"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9"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9"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9"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9"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9"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9"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9"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9"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9"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9"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9"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9"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9"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9"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9"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9"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9"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9"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9"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9"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9"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9"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9"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9"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9"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9"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9"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9"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9"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9"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9"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9"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9"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9"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9"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9"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9"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9"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9"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9"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9"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9"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9"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9"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9"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9"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9"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9"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9"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9"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9"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9"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9"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9"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9"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9"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9"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9"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9"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9"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1459</v>
      </c>
      <c r="B1" s="1467"/>
      <c r="C1" s="198"/>
      <c r="D1" s="198"/>
      <c r="E1" s="198"/>
      <c r="F1" s="198"/>
      <c r="G1" s="1123">
        <f>MATCH(B1,'数据-取费表'!A6:A16,0)+5</f>
        <v>10</v>
      </c>
    </row>
    <row r="2" spans="1:9" s="200" customFormat="1" ht="18" customHeight="1">
      <c r="A2" s="201" t="s">
        <v>1460</v>
      </c>
      <c r="B2" s="202">
        <f ca="1">IF(D2="——",C52,C52-E2)</f>
        <v>437858</v>
      </c>
      <c r="C2" s="199" t="s">
        <v>1461</v>
      </c>
      <c r="D2" s="1850" t="s">
        <v>43</v>
      </c>
      <c r="E2" s="1166"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39044</v>
      </c>
      <c r="C3" s="199" t="s">
        <v>1463</v>
      </c>
      <c r="D3" s="199"/>
      <c r="E3" s="199"/>
      <c r="F3" s="199"/>
      <c r="G3" s="199"/>
    </row>
    <row r="4" spans="1:9" s="208" customFormat="1" ht="16.2">
      <c r="A4" s="205" t="s">
        <v>1464</v>
      </c>
      <c r="B4" s="206"/>
      <c r="C4" s="206"/>
      <c r="D4" s="206"/>
      <c r="E4" s="206"/>
      <c r="F4" s="206"/>
      <c r="G4" s="207"/>
    </row>
    <row r="5" spans="1:9" s="214" customFormat="1" ht="13.5" customHeight="1">
      <c r="A5" s="255" t="s">
        <v>1465</v>
      </c>
      <c r="B5" s="210" t="s">
        <v>1466</v>
      </c>
      <c r="C5" s="211">
        <f ca="1">C6+C7+C8</f>
        <v>217601</v>
      </c>
      <c r="D5" s="211" t="s">
        <v>1467</v>
      </c>
      <c r="E5" s="212" t="s">
        <v>1468</v>
      </c>
      <c r="F5" s="212" t="s">
        <v>1469</v>
      </c>
      <c r="G5" s="213"/>
    </row>
    <row r="6" spans="1:9" s="214" customFormat="1" ht="13.5" customHeight="1">
      <c r="A6" s="775" t="s">
        <v>1470</v>
      </c>
      <c r="B6" s="215" t="s">
        <v>1471</v>
      </c>
      <c r="C6" s="216">
        <f ca="1">'基准地价（汇总）'!B2</f>
        <v>205103</v>
      </c>
      <c r="D6" s="217"/>
      <c r="E6" s="218"/>
      <c r="F6" s="218"/>
      <c r="G6" s="219"/>
    </row>
    <row r="7" spans="1:9" s="214" customFormat="1" ht="13.5" customHeight="1">
      <c r="A7" s="775" t="s">
        <v>1472</v>
      </c>
      <c r="B7" s="215" t="s">
        <v>1473</v>
      </c>
      <c r="C7" s="220">
        <f ca="1">ROUND(C6*F7,0)</f>
        <v>10255</v>
      </c>
      <c r="D7" s="220"/>
      <c r="E7" s="218"/>
      <c r="F7" s="221">
        <f>IF(项目基本情况!B8="出让",0,'数据-取费表'!B48+'数据-取费表'!B49)</f>
        <v>0.05</v>
      </c>
      <c r="G7" s="219"/>
    </row>
    <row r="8" spans="1:9" s="223" customFormat="1">
      <c r="A8" s="775" t="s">
        <v>1474</v>
      </c>
      <c r="B8" s="215" t="s">
        <v>1475</v>
      </c>
      <c r="C8" s="220">
        <f ca="1">IF(G8="已包含在土地购买价格中","0",IF(B1="",'数据-取费表'!B29,IF(G9="全部缴纳",C9+C10,H9)))</f>
        <v>2243</v>
      </c>
      <c r="D8" s="222"/>
      <c r="E8" s="220"/>
      <c r="F8" s="221"/>
      <c r="G8" s="1853" t="s">
        <v>3484</v>
      </c>
    </row>
    <row r="9" spans="1:9" s="214" customFormat="1" ht="13.5" customHeight="1">
      <c r="A9" s="776" t="s">
        <v>354</v>
      </c>
      <c r="B9" s="224" t="s">
        <v>1476</v>
      </c>
      <c r="C9" s="225">
        <f ca="1">ROUND(D9*E9/10000,0)</f>
        <v>0</v>
      </c>
      <c r="D9" s="842">
        <f ca="1">IF(B1="",'数据-汇总表'!E5,IF(INDIRECT("'数据-取费表'!c"&amp;$G$1)="住宅",INDIRECT("'数据-取费表'!k"&amp;$G$1),0))</f>
        <v>0</v>
      </c>
      <c r="E9" s="225">
        <f>'数据-取费表'!B27</f>
        <v>0</v>
      </c>
      <c r="F9" s="221"/>
      <c r="G9" s="1854" t="s">
        <v>3485</v>
      </c>
      <c r="H9" s="1134"/>
      <c r="I9" s="1855" t="s">
        <v>1477</v>
      </c>
    </row>
    <row r="10" spans="1:9" s="214" customFormat="1" ht="13.5" customHeight="1">
      <c r="A10" s="776" t="s">
        <v>355</v>
      </c>
      <c r="B10" s="224" t="s">
        <v>1478</v>
      </c>
      <c r="C10" s="225">
        <f ca="1">ROUND(D10*E10/10000,0)</f>
        <v>2243</v>
      </c>
      <c r="D10" s="842">
        <f ca="1">IF(B1="",'数据-汇总表'!E6,IF(INDIRECT("'数据-取费表'!c"&amp;$G$1)="住宅",INDIRECT("'数据-取费表'!s"&amp;$G$1),INDIRECT("'数据-取费表'!k"&amp;$G$1)+INDIRECT("'数据-取费表'!s"&amp;$G$1)))</f>
        <v>112144.47999999998</v>
      </c>
      <c r="E10" s="225">
        <f>'数据-取费表'!B28</f>
        <v>200</v>
      </c>
      <c r="F10" s="221"/>
      <c r="G10" s="226"/>
    </row>
    <row r="11" spans="1:9" s="214" customFormat="1" ht="13.5" hidden="1" customHeight="1">
      <c r="A11" s="227" t="s">
        <v>4</v>
      </c>
      <c r="B11" s="215" t="s">
        <v>1479</v>
      </c>
      <c r="C11" s="211"/>
      <c r="D11" s="844"/>
      <c r="E11" s="218"/>
      <c r="F11" s="218"/>
      <c r="G11" s="219"/>
    </row>
    <row r="12" spans="1:9" s="214" customFormat="1" ht="13.5" hidden="1" customHeight="1">
      <c r="A12" s="227" t="s">
        <v>5</v>
      </c>
      <c r="B12" s="215" t="s">
        <v>1480</v>
      </c>
      <c r="C12" s="211">
        <v>0</v>
      </c>
      <c r="D12" s="844"/>
      <c r="E12" s="228"/>
      <c r="F12" s="221">
        <v>3.0499999999999999E-2</v>
      </c>
      <c r="G12" s="219"/>
    </row>
    <row r="13" spans="1:9" s="214" customFormat="1" ht="13.5" hidden="1" customHeight="1">
      <c r="A13" s="227" t="s">
        <v>6</v>
      </c>
      <c r="B13" s="215" t="s">
        <v>1481</v>
      </c>
      <c r="C13" s="211"/>
      <c r="D13" s="844"/>
      <c r="E13" s="218"/>
      <c r="F13" s="218"/>
      <c r="G13" s="219"/>
    </row>
    <row r="14" spans="1:9" s="214" customFormat="1" ht="13.5" hidden="1" customHeight="1">
      <c r="A14" s="227" t="s">
        <v>7</v>
      </c>
      <c r="B14" s="215" t="s">
        <v>1482</v>
      </c>
      <c r="C14" s="211"/>
      <c r="D14" s="844"/>
      <c r="E14" s="218"/>
      <c r="F14" s="218"/>
      <c r="G14" s="219" t="s">
        <v>1483</v>
      </c>
    </row>
    <row r="15" spans="1:9" s="214" customFormat="1" ht="13.5" hidden="1" customHeight="1">
      <c r="A15" s="227" t="s">
        <v>8</v>
      </c>
      <c r="B15" s="215" t="s">
        <v>1484</v>
      </c>
      <c r="C15" s="220"/>
      <c r="D15" s="844"/>
      <c r="E15" s="218"/>
      <c r="F15" s="218"/>
      <c r="G15" s="219" t="s">
        <v>1485</v>
      </c>
    </row>
    <row r="16" spans="1:9" s="214" customFormat="1" ht="13.5" hidden="1" customHeight="1">
      <c r="A16" s="227" t="s">
        <v>9</v>
      </c>
      <c r="B16" s="215" t="s">
        <v>1482</v>
      </c>
      <c r="C16" s="220"/>
      <c r="D16" s="844"/>
      <c r="E16" s="218"/>
      <c r="F16" s="218"/>
      <c r="G16" s="219"/>
    </row>
    <row r="17" spans="1:7" s="214" customFormat="1" ht="13.5" hidden="1" customHeight="1">
      <c r="A17" s="227" t="s">
        <v>10</v>
      </c>
      <c r="B17" s="215" t="s">
        <v>1486</v>
      </c>
      <c r="C17" s="229"/>
      <c r="D17" s="845"/>
      <c r="E17" s="229"/>
      <c r="F17" s="229"/>
      <c r="G17" s="219" t="s">
        <v>1485</v>
      </c>
    </row>
    <row r="18" spans="1:7" s="214" customFormat="1" ht="13.5" hidden="1" customHeight="1">
      <c r="A18" s="227" t="s">
        <v>11</v>
      </c>
      <c r="B18" s="215" t="s">
        <v>1487</v>
      </c>
      <c r="C18" s="220">
        <v>0</v>
      </c>
      <c r="D18" s="844"/>
      <c r="E18" s="218"/>
      <c r="F18" s="221">
        <v>3.0499999999999999E-2</v>
      </c>
      <c r="G18" s="219" t="s">
        <v>1488</v>
      </c>
    </row>
    <row r="19" spans="1:7" s="223" customFormat="1" ht="13.5" customHeight="1">
      <c r="A19" s="255" t="s">
        <v>1489</v>
      </c>
      <c r="B19" s="210" t="s">
        <v>1490</v>
      </c>
      <c r="C19" s="211" t="str">
        <f>IF(G19="已包含在土地取得成本中","0",ROUND(D19*E19/10000,0))</f>
        <v>0</v>
      </c>
      <c r="D19" s="846">
        <f ca="1">D9+D10</f>
        <v>112144.47999999998</v>
      </c>
      <c r="E19" s="211">
        <f>'数据-取费表'!B31</f>
        <v>200</v>
      </c>
      <c r="F19" s="231"/>
      <c r="G19" s="1853" t="s">
        <v>3486</v>
      </c>
    </row>
    <row r="20" spans="1:7" s="214" customFormat="1" ht="13.5" customHeight="1">
      <c r="A20" s="255" t="s">
        <v>1491</v>
      </c>
      <c r="B20" s="210" t="s">
        <v>1492</v>
      </c>
      <c r="C20" s="232">
        <f ca="1">ROUND((C5+C19)*F20,0)</f>
        <v>6528</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1">
        <f ca="1">ROUND(SUM(C23:C25),0)</f>
        <v>23649</v>
      </c>
      <c r="D22" s="235">
        <f ca="1">C26</f>
        <v>1.6000000000000001E-3</v>
      </c>
      <c r="E22" s="236" t="s">
        <v>1496</v>
      </c>
      <c r="F22" s="237">
        <f ca="1">'数据-取费表'!B40</f>
        <v>3.4500000000000003E-2</v>
      </c>
      <c r="G22" s="234" t="str">
        <f>IF('数据-取费表'!B22&lt;=1,"单利计息","复利计息")</f>
        <v>复利计息</v>
      </c>
    </row>
    <row r="23" spans="1:7" s="214" customFormat="1" ht="13.5" customHeight="1">
      <c r="A23" s="777" t="s">
        <v>1500</v>
      </c>
      <c r="B23" s="215" t="s">
        <v>1501</v>
      </c>
      <c r="C23" s="1102">
        <f ca="1">ROUND(IF('数据-取费表'!B22&lt;=1,C5*F22*'数据-取费表'!B23,C5*(POWER((1+F22),'数据-取费表'!B23)-1)),0)</f>
        <v>23308</v>
      </c>
      <c r="D23" s="238"/>
      <c r="E23" s="238"/>
      <c r="F23" s="239"/>
      <c r="G23" s="240" t="s">
        <v>1502</v>
      </c>
    </row>
    <row r="24" spans="1:7" s="214" customFormat="1" ht="13.5" customHeight="1">
      <c r="A24" s="777" t="s">
        <v>1503</v>
      </c>
      <c r="B24" s="215" t="s">
        <v>1504</v>
      </c>
      <c r="C24" s="1102">
        <f ca="1">ROUND(IF('数据-取费表'!B22&lt;=1,C19*F22*('数据-取费表'!B19/2+'数据-取费表'!B21),C19*(POWER((1+F22),('数据-取费表'!B19/2+'数据-取费表'!B21))-1)),0)</f>
        <v>0</v>
      </c>
      <c r="D24" s="238"/>
      <c r="E24" s="238"/>
      <c r="F24" s="239"/>
      <c r="G24" s="240" t="s">
        <v>1505</v>
      </c>
    </row>
    <row r="25" spans="1:7" s="214" customFormat="1" ht="24">
      <c r="A25" s="777" t="s">
        <v>1506</v>
      </c>
      <c r="B25" s="215" t="s">
        <v>1507</v>
      </c>
      <c r="C25" s="1102">
        <f ca="1">ROUND(IF('数据-取费表'!B22&lt;=1,C20*F22*'数据-取费表'!B23/2,C20*(POWER((1+F22),'数据-取费表'!B23/2)-1)),0)</f>
        <v>341</v>
      </c>
      <c r="D25" s="238"/>
      <c r="E25" s="241"/>
      <c r="F25" s="239"/>
      <c r="G25" s="242" t="s">
        <v>1508</v>
      </c>
    </row>
    <row r="26" spans="1:7" s="214" customFormat="1">
      <c r="A26" s="777" t="s">
        <v>349</v>
      </c>
      <c r="B26" s="215" t="s">
        <v>1509</v>
      </c>
      <c r="C26" s="238">
        <f ca="1">ROUND(IF('数据-取费表'!B22&lt;=1,F21*F22*'数据-取费表'!B23/2,F21*(POWER((1+F22),'数据-取费表'!B23/2)-1)),4)</f>
        <v>1.6000000000000001E-3</v>
      </c>
      <c r="D26" s="238"/>
      <c r="E26" s="241"/>
      <c r="F26" s="239"/>
      <c r="G26" s="243"/>
    </row>
    <row r="27" spans="1:7" s="214" customFormat="1" ht="26.4">
      <c r="A27" s="255" t="s">
        <v>1510</v>
      </c>
      <c r="B27" s="244" t="s">
        <v>1511</v>
      </c>
      <c r="C27" s="245">
        <f ca="1">C28</f>
        <v>51550</v>
      </c>
      <c r="D27" s="235">
        <f ca="1">C29</f>
        <v>6.8999999999999999E-3</v>
      </c>
      <c r="E27" s="236" t="s">
        <v>1512</v>
      </c>
      <c r="F27" s="246">
        <f ca="1">IF(B1="",'数据-取费表'!Q16,INDIRECT("'数据-取费表'!q"&amp;$G$1))</f>
        <v>0.23</v>
      </c>
      <c r="G27" s="247" t="s">
        <v>1513</v>
      </c>
    </row>
    <row r="28" spans="1:7" s="214" customFormat="1" ht="13.5" customHeight="1">
      <c r="A28" s="777" t="s">
        <v>345</v>
      </c>
      <c r="B28" s="248" t="s">
        <v>1514</v>
      </c>
      <c r="C28" s="249">
        <f ca="1">ROUND((C5+C19+C20)*F27*'数据-取费表'!B21/'数据-取费表'!B20,0)</f>
        <v>51550</v>
      </c>
      <c r="D28" s="235"/>
      <c r="E28" s="236"/>
      <c r="F28" s="246"/>
      <c r="G28" s="247"/>
    </row>
    <row r="29" spans="1:7" s="214" customFormat="1" ht="13.5" customHeight="1">
      <c r="A29" s="777" t="s">
        <v>346</v>
      </c>
      <c r="B29" s="248" t="s">
        <v>1515</v>
      </c>
      <c r="C29" s="238">
        <f ca="1">ROUND(C21*F27*'数据-取费表'!B21/'数据-取费表'!B20,4)</f>
        <v>6.8999999999999999E-3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329584</v>
      </c>
      <c r="D31" s="230"/>
      <c r="E31" s="211"/>
      <c r="F31" s="250"/>
      <c r="G31" s="234" t="s">
        <v>1520</v>
      </c>
    </row>
    <row r="32" spans="1:7" s="208" customFormat="1" ht="16.2">
      <c r="A32" s="252" t="s">
        <v>1521</v>
      </c>
      <c r="B32" s="253"/>
      <c r="C32" s="253"/>
      <c r="D32" s="253"/>
      <c r="E32" s="253"/>
      <c r="F32" s="253"/>
      <c r="G32" s="254"/>
    </row>
    <row r="33" spans="1:7" s="214" customFormat="1" ht="13.5" customHeight="1">
      <c r="A33" s="255" t="s">
        <v>336</v>
      </c>
      <c r="B33" s="210" t="s">
        <v>1522</v>
      </c>
      <c r="C33" s="256">
        <f ca="1">SUM(C34:C38)</f>
        <v>75979</v>
      </c>
      <c r="D33" s="232"/>
      <c r="E33" s="212"/>
      <c r="F33" s="241"/>
      <c r="G33" s="234"/>
    </row>
    <row r="34" spans="1:7" s="258" customFormat="1" ht="13.5" customHeight="1">
      <c r="A34" s="777" t="s">
        <v>345</v>
      </c>
      <c r="B34" s="215" t="s">
        <v>1523</v>
      </c>
      <c r="C34" s="220">
        <f ca="1">IF(B1="",IF(F34=100%,'数据-取费表'!M16,'数据-取费表'!O16),IF(F34=100%,INDIRECT("'数据-取费表'!m"&amp;$G$1)+INDIRECT("'数据-取费表'!t"&amp;$G$1),INDIRECT("'数据-取费表'!o"&amp;$G$1)+INDIRECT("'数据-取费表'!aq"&amp;$G$1)))</f>
        <v>69235</v>
      </c>
      <c r="D34" s="217"/>
      <c r="E34" s="220"/>
      <c r="F34" s="257">
        <f ca="1">IF('数据-取费表'!B24=0,1,IF(B1="",'数据-取费表'!N16,INDIRECT("'数据-取费表'!n"&amp;$G$1)))</f>
        <v>1</v>
      </c>
      <c r="G34" s="219" t="s">
        <v>1524</v>
      </c>
    </row>
    <row r="35" spans="1:7" ht="13.5" customHeight="1">
      <c r="A35" s="777" t="s">
        <v>350</v>
      </c>
      <c r="B35" s="215" t="s">
        <v>1525</v>
      </c>
      <c r="C35" s="220">
        <f ca="1">ROUND(C34*F35,0)</f>
        <v>3462</v>
      </c>
      <c r="D35" s="220"/>
      <c r="E35" s="220"/>
      <c r="F35" s="259">
        <f>'数据-取费表'!B33</f>
        <v>0.05</v>
      </c>
      <c r="G35" s="219" t="s">
        <v>1526</v>
      </c>
    </row>
    <row r="36" spans="1:7" ht="24">
      <c r="A36" s="777" t="s">
        <v>351</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7" t="s">
        <v>352</v>
      </c>
      <c r="B37" s="215" t="s">
        <v>1529</v>
      </c>
      <c r="C37" s="249">
        <f ca="1">ROUND(E37*D37*F34/10000,0)</f>
        <v>2243</v>
      </c>
      <c r="D37" s="217">
        <f ca="1">D19</f>
        <v>112144.47999999998</v>
      </c>
      <c r="E37" s="249">
        <f>'数据-取费表'!B35</f>
        <v>200</v>
      </c>
      <c r="F37" s="259"/>
      <c r="G37" s="261" t="s">
        <v>1530</v>
      </c>
    </row>
    <row r="38" spans="1:7" ht="13.5" customHeight="1">
      <c r="A38" s="777" t="s">
        <v>353</v>
      </c>
      <c r="B38" s="215" t="s">
        <v>1531</v>
      </c>
      <c r="C38" s="220">
        <f ca="1">ROUND(C34*F38,0)</f>
        <v>1039</v>
      </c>
      <c r="D38" s="220"/>
      <c r="E38" s="220"/>
      <c r="F38" s="259">
        <f>'数据-取费表'!B36</f>
        <v>1.4999999999999999E-2</v>
      </c>
      <c r="G38" s="219" t="s">
        <v>1526</v>
      </c>
    </row>
    <row r="39" spans="1:7" s="214" customFormat="1" ht="13.5" customHeight="1">
      <c r="A39" s="255" t="s">
        <v>1532</v>
      </c>
      <c r="B39" s="210" t="s">
        <v>1533</v>
      </c>
      <c r="C39" s="232">
        <f ca="1">ROUND(C33*F20,0)</f>
        <v>2279</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4085</v>
      </c>
      <c r="D41" s="235">
        <f ca="1">C44</f>
        <v>1.6000000000000001E-3</v>
      </c>
      <c r="E41" s="236" t="s">
        <v>1537</v>
      </c>
      <c r="F41" s="237">
        <f ca="1">F22</f>
        <v>3.4500000000000003E-2</v>
      </c>
      <c r="G41" s="234" t="str">
        <f>IF('数据-取费表'!B22&lt;=1,"单利计息","复利计息")</f>
        <v>复利计息</v>
      </c>
    </row>
    <row r="42" spans="1:7" ht="13.5" customHeight="1">
      <c r="A42" s="777" t="s">
        <v>345</v>
      </c>
      <c r="B42" s="215" t="s">
        <v>1541</v>
      </c>
      <c r="C42" s="238">
        <f ca="1">ROUND(IF('数据-取费表'!B22&lt;=1,C33*F22*'数据-取费表'!B21/2,C33*(POWER((1+F22),'数据-取费表'!B21/2)-1)),0)</f>
        <v>3966</v>
      </c>
      <c r="D42" s="238"/>
      <c r="E42" s="238"/>
      <c r="F42" s="239"/>
      <c r="G42" s="3747" t="s">
        <v>1542</v>
      </c>
    </row>
    <row r="43" spans="1:7" ht="13.5" customHeight="1">
      <c r="A43" s="777" t="s">
        <v>346</v>
      </c>
      <c r="B43" s="215" t="s">
        <v>1543</v>
      </c>
      <c r="C43" s="238">
        <f ca="1">ROUND(IF('数据-取费表'!B22&lt;=1,C39*F22*'数据-取费表'!B21/2,C39*(POWER((1+F22),'数据-取费表'!B21/2)-1)),0)</f>
        <v>119</v>
      </c>
      <c r="D43" s="238"/>
      <c r="E43" s="238"/>
      <c r="F43" s="239"/>
      <c r="G43" s="3748"/>
    </row>
    <row r="44" spans="1:7" ht="13.5" customHeight="1">
      <c r="A44" s="777" t="s">
        <v>347</v>
      </c>
      <c r="B44" s="215" t="s">
        <v>1544</v>
      </c>
      <c r="C44" s="238">
        <f ca="1">ROUND(IF('数据-取费表'!B22&lt;=1,C40*F22*'数据-取费表'!B21/2,C40*(POWER((1+F22),'数据-取费表'!B21/2)-1)),4)</f>
        <v>1.6000000000000001E-3</v>
      </c>
      <c r="D44" s="238"/>
      <c r="E44" s="238"/>
      <c r="F44" s="239"/>
      <c r="G44" s="3749"/>
    </row>
    <row r="45" spans="1:7" s="214" customFormat="1" ht="13.5" customHeight="1">
      <c r="A45" s="255" t="s">
        <v>1545</v>
      </c>
      <c r="B45" s="244" t="s">
        <v>1511</v>
      </c>
      <c r="C45" s="245">
        <f ca="1">C46</f>
        <v>17999</v>
      </c>
      <c r="D45" s="235">
        <f ca="1">C47</f>
        <v>6.8999999999999999E-3</v>
      </c>
      <c r="E45" s="236" t="s">
        <v>1537</v>
      </c>
      <c r="F45" s="246">
        <f ca="1">F27</f>
        <v>0.23</v>
      </c>
      <c r="G45" s="247" t="s">
        <v>1546</v>
      </c>
    </row>
    <row r="46" spans="1:7" s="214" customFormat="1" ht="13.5" customHeight="1">
      <c r="A46" s="777" t="s">
        <v>345</v>
      </c>
      <c r="B46" s="248" t="s">
        <v>1547</v>
      </c>
      <c r="C46" s="249">
        <f ca="1">ROUND((C33+C39)*F27,0)</f>
        <v>17999</v>
      </c>
      <c r="D46" s="263"/>
      <c r="E46" s="236"/>
      <c r="F46" s="246"/>
      <c r="G46" s="247"/>
    </row>
    <row r="47" spans="1:7" s="214" customFormat="1" ht="13.5" customHeight="1">
      <c r="A47" s="777" t="s">
        <v>346</v>
      </c>
      <c r="B47" s="248" t="s">
        <v>1548</v>
      </c>
      <c r="C47" s="238">
        <f ca="1">ROUND(C40*F27,4)</f>
        <v>6.8999999999999999E-3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110484</v>
      </c>
      <c r="D49" s="232"/>
      <c r="E49" s="232"/>
      <c r="F49" s="264"/>
      <c r="G49" s="234" t="s">
        <v>1552</v>
      </c>
    </row>
    <row r="50" spans="1:7" s="258" customFormat="1" ht="24">
      <c r="A50" s="255" t="s">
        <v>1553</v>
      </c>
      <c r="B50" s="210" t="s">
        <v>1554</v>
      </c>
      <c r="C50" s="232"/>
      <c r="D50" s="232"/>
      <c r="E50" s="232"/>
      <c r="F50" s="264">
        <f>IF('数据-取费表'!B24=0,'数据-取费表'!N16,1)</f>
        <v>0.98</v>
      </c>
      <c r="G50" s="247" t="s">
        <v>1555</v>
      </c>
    </row>
    <row r="51" spans="1:7" ht="16.5" customHeight="1">
      <c r="A51" s="255" t="s">
        <v>1556</v>
      </c>
      <c r="B51" s="210" t="s">
        <v>1557</v>
      </c>
      <c r="C51" s="232">
        <f ca="1">ROUND(C49*F50,0)</f>
        <v>108274</v>
      </c>
      <c r="D51" s="232"/>
      <c r="E51" s="232"/>
      <c r="F51" s="264"/>
      <c r="G51" s="234" t="s">
        <v>1558</v>
      </c>
    </row>
    <row r="52" spans="1:7" s="208" customFormat="1" ht="16.8" thickBot="1">
      <c r="A52" s="265" t="s">
        <v>1559</v>
      </c>
      <c r="B52" s="266"/>
      <c r="C52" s="267">
        <f ca="1">C31+C51</f>
        <v>437858</v>
      </c>
      <c r="D52" s="266"/>
      <c r="E52" s="266"/>
      <c r="F52" s="266"/>
      <c r="G52" s="268"/>
    </row>
    <row r="55" spans="1:7" ht="15">
      <c r="B55" s="270" t="s">
        <v>1560</v>
      </c>
      <c r="C55" s="271"/>
    </row>
    <row r="56" spans="1:7">
      <c r="B56" s="273" t="s">
        <v>801</v>
      </c>
      <c r="C56" s="275">
        <f ca="1">1-C57</f>
        <v>0.753</v>
      </c>
    </row>
    <row r="57" spans="1:7">
      <c r="B57" s="273" t="s">
        <v>802</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1459</v>
      </c>
      <c r="B1" s="1467"/>
      <c r="C1" s="1856" t="s">
        <v>1561</v>
      </c>
      <c r="D1" s="198"/>
      <c r="E1" s="198"/>
      <c r="F1" s="198"/>
      <c r="G1" s="1123">
        <f>MATCH(B1,'数据-取费表'!A6:A16,0)+5</f>
        <v>10</v>
      </c>
      <c r="H1" s="1058" t="str">
        <f>IF(ISERROR(FIND("住宅",B1)),"非住宅","住宅")</f>
        <v>非住宅</v>
      </c>
    </row>
    <row r="2" spans="1:8" s="200" customFormat="1" ht="18" customHeight="1">
      <c r="A2" s="201" t="s">
        <v>1460</v>
      </c>
      <c r="B2" s="3421">
        <f ca="1">ROUND(IF(D2="——",C52/10000,C52/10000-E2),4)</f>
        <v>115067.22629999999</v>
      </c>
      <c r="C2" s="199" t="s">
        <v>1461</v>
      </c>
      <c r="D2" s="1850" t="s">
        <v>43</v>
      </c>
      <c r="E2" s="1166"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10261</v>
      </c>
      <c r="C3" s="199" t="s">
        <v>1463</v>
      </c>
      <c r="D3" s="199"/>
      <c r="E3" s="199"/>
      <c r="F3" s="199"/>
      <c r="G3" s="199"/>
    </row>
    <row r="4" spans="1:8" s="208" customFormat="1" ht="16.2">
      <c r="A4" s="205" t="s">
        <v>1464</v>
      </c>
      <c r="B4" s="206"/>
      <c r="C4" s="206"/>
      <c r="D4" s="206"/>
      <c r="E4" s="206"/>
      <c r="F4" s="206"/>
      <c r="G4" s="207"/>
    </row>
    <row r="5" spans="1:8" s="214" customFormat="1" ht="13.5" customHeight="1">
      <c r="A5" s="255" t="s">
        <v>1465</v>
      </c>
      <c r="B5" s="210" t="s">
        <v>1466</v>
      </c>
      <c r="C5" s="211">
        <f ca="1">C6+C7+C8</f>
        <v>22428896</v>
      </c>
      <c r="D5" s="211" t="s">
        <v>1467</v>
      </c>
      <c r="E5" s="212" t="s">
        <v>1468</v>
      </c>
      <c r="F5" s="212" t="s">
        <v>1469</v>
      </c>
      <c r="G5" s="213"/>
    </row>
    <row r="6" spans="1:8" s="214" customFormat="1" ht="13.5" customHeight="1">
      <c r="A6" s="775" t="s">
        <v>1470</v>
      </c>
      <c r="B6" s="215" t="s">
        <v>1471</v>
      </c>
      <c r="C6" s="216"/>
      <c r="D6" s="217"/>
      <c r="E6" s="218"/>
      <c r="F6" s="218"/>
      <c r="G6" s="219"/>
    </row>
    <row r="7" spans="1:8" s="214" customFormat="1" ht="13.5" customHeight="1">
      <c r="A7" s="775" t="s">
        <v>1472</v>
      </c>
      <c r="B7" s="215" t="s">
        <v>1473</v>
      </c>
      <c r="C7" s="220">
        <f>ROUND(C6*F7,0)</f>
        <v>0</v>
      </c>
      <c r="D7" s="220"/>
      <c r="E7" s="218"/>
      <c r="F7" s="221">
        <f>IF(项目基本情况!B8="出让",0,'数据-取费表'!B48+'数据-取费表'!B49)</f>
        <v>0.05</v>
      </c>
      <c r="G7" s="219"/>
    </row>
    <row r="8" spans="1:8" s="223" customFormat="1">
      <c r="A8" s="775" t="s">
        <v>1474</v>
      </c>
      <c r="B8" s="215" t="s">
        <v>1475</v>
      </c>
      <c r="C8" s="220">
        <f ca="1">IF(G8="已包含在土地购买价格中",0,C9+C10)</f>
        <v>22428896</v>
      </c>
      <c r="D8" s="222"/>
      <c r="E8" s="220"/>
      <c r="F8" s="221"/>
      <c r="G8" s="1853"/>
    </row>
    <row r="9" spans="1:8" s="214" customFormat="1" ht="13.5" customHeight="1">
      <c r="A9" s="776" t="s">
        <v>354</v>
      </c>
      <c r="B9" s="224" t="s">
        <v>1476</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355</v>
      </c>
      <c r="B10" s="224" t="s">
        <v>1478</v>
      </c>
      <c r="C10" s="225">
        <f ca="1">ROUND(D10*E10,0)</f>
        <v>22428896</v>
      </c>
      <c r="D10" s="842">
        <f ca="1">IF(B1="",'数据-汇总表'!E6,IF(INDIRECT("'数据-取费表'!c"&amp;$G$1)="住宅",INDIRECT("'数据-取费表'!s"&amp;$G$1),INDIRECT("'数据-取费表'!k"&amp;$G$1)+INDIRECT("'数据-取费表'!s"&amp;$G$1)))</f>
        <v>112144.47999999998</v>
      </c>
      <c r="E10" s="225">
        <f>'数据-取费表'!B28</f>
        <v>200</v>
      </c>
      <c r="F10" s="221"/>
      <c r="G10" s="226"/>
    </row>
    <row r="11" spans="1:8" s="214" customFormat="1" ht="13.5" hidden="1" customHeight="1">
      <c r="A11" s="227" t="s">
        <v>4</v>
      </c>
      <c r="B11" s="215" t="s">
        <v>1479</v>
      </c>
      <c r="C11" s="211"/>
      <c r="D11" s="844"/>
      <c r="E11" s="218"/>
      <c r="F11" s="218"/>
      <c r="G11" s="219"/>
    </row>
    <row r="12" spans="1:8" s="214" customFormat="1" ht="13.5" hidden="1" customHeight="1">
      <c r="A12" s="227" t="s">
        <v>5</v>
      </c>
      <c r="B12" s="215" t="s">
        <v>1562</v>
      </c>
      <c r="C12" s="211">
        <v>0</v>
      </c>
      <c r="D12" s="844"/>
      <c r="E12" s="228"/>
      <c r="F12" s="221">
        <v>3.0499999999999999E-2</v>
      </c>
      <c r="G12" s="219"/>
    </row>
    <row r="13" spans="1:8" s="214" customFormat="1" ht="13.5" hidden="1" customHeight="1">
      <c r="A13" s="227" t="s">
        <v>6</v>
      </c>
      <c r="B13" s="215" t="s">
        <v>1563</v>
      </c>
      <c r="C13" s="211"/>
      <c r="D13" s="844"/>
      <c r="E13" s="218"/>
      <c r="F13" s="218"/>
      <c r="G13" s="219"/>
    </row>
    <row r="14" spans="1:8" s="214" customFormat="1" ht="13.5" hidden="1" customHeight="1">
      <c r="A14" s="227" t="s">
        <v>7</v>
      </c>
      <c r="B14" s="215" t="s">
        <v>1475</v>
      </c>
      <c r="C14" s="211"/>
      <c r="D14" s="844"/>
      <c r="E14" s="218"/>
      <c r="F14" s="218"/>
      <c r="G14" s="219" t="s">
        <v>1564</v>
      </c>
    </row>
    <row r="15" spans="1:8" s="214" customFormat="1" ht="13.5" hidden="1" customHeight="1">
      <c r="A15" s="227" t="s">
        <v>8</v>
      </c>
      <c r="B15" s="215" t="s">
        <v>1565</v>
      </c>
      <c r="C15" s="220"/>
      <c r="D15" s="844"/>
      <c r="E15" s="218"/>
      <c r="F15" s="218"/>
      <c r="G15" s="219" t="s">
        <v>1566</v>
      </c>
    </row>
    <row r="16" spans="1:8" s="214" customFormat="1" ht="13.5" hidden="1" customHeight="1">
      <c r="A16" s="227" t="s">
        <v>9</v>
      </c>
      <c r="B16" s="215" t="s">
        <v>1475</v>
      </c>
      <c r="C16" s="220"/>
      <c r="D16" s="844"/>
      <c r="E16" s="218"/>
      <c r="F16" s="218"/>
      <c r="G16" s="219"/>
    </row>
    <row r="17" spans="1:7" s="214" customFormat="1" ht="13.5" hidden="1" customHeight="1">
      <c r="A17" s="227" t="s">
        <v>10</v>
      </c>
      <c r="B17" s="215" t="s">
        <v>1567</v>
      </c>
      <c r="C17" s="229"/>
      <c r="D17" s="845"/>
      <c r="E17" s="229"/>
      <c r="F17" s="229"/>
      <c r="G17" s="219" t="s">
        <v>1566</v>
      </c>
    </row>
    <row r="18" spans="1:7" s="214" customFormat="1" ht="13.5" hidden="1" customHeight="1">
      <c r="A18" s="227" t="s">
        <v>11</v>
      </c>
      <c r="B18" s="215" t="s">
        <v>1568</v>
      </c>
      <c r="C18" s="220">
        <v>0</v>
      </c>
      <c r="D18" s="844"/>
      <c r="E18" s="218"/>
      <c r="F18" s="221">
        <v>3.0499999999999999E-2</v>
      </c>
      <c r="G18" s="219" t="s">
        <v>1569</v>
      </c>
    </row>
    <row r="19" spans="1:7" s="223" customFormat="1" ht="13.5" customHeight="1">
      <c r="A19" s="255" t="s">
        <v>1570</v>
      </c>
      <c r="B19" s="210" t="s">
        <v>1571</v>
      </c>
      <c r="C19" s="211">
        <f ca="1">IF(G19="已包含在土地取得成本中","0",ROUND(D19*E19,0))</f>
        <v>22428896</v>
      </c>
      <c r="D19" s="846">
        <f ca="1">D9+D10</f>
        <v>112144.47999999998</v>
      </c>
      <c r="E19" s="211">
        <f>'数据-取费表'!B31</f>
        <v>200</v>
      </c>
      <c r="F19" s="231"/>
      <c r="G19" s="1853"/>
    </row>
    <row r="20" spans="1:7" s="214" customFormat="1" ht="13.5" customHeight="1">
      <c r="A20" s="255" t="s">
        <v>1572</v>
      </c>
      <c r="B20" s="210" t="s">
        <v>1573</v>
      </c>
      <c r="C20" s="232">
        <f ca="1">ROUND((C5+C19)*F20,0)</f>
        <v>1345734</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4">
        <f ca="1">ROUND(SUM(C23:C25),0)</f>
        <v>4875039</v>
      </c>
      <c r="D22" s="235">
        <f ca="1">C26</f>
        <v>1.6000000000000001E-3</v>
      </c>
      <c r="E22" s="236" t="s">
        <v>1577</v>
      </c>
      <c r="F22" s="237">
        <f ca="1">'数据-取费表'!B40</f>
        <v>3.4500000000000003E-2</v>
      </c>
      <c r="G22" s="234" t="str">
        <f>IF('数据-取费表'!B22&lt;=1,"单利计息","复利计息")</f>
        <v>复利计息</v>
      </c>
    </row>
    <row r="23" spans="1:7" s="214" customFormat="1" ht="13.5" customHeight="1">
      <c r="A23" s="777" t="s">
        <v>1470</v>
      </c>
      <c r="B23" s="215" t="s">
        <v>1581</v>
      </c>
      <c r="C23" s="1125">
        <f ca="1">ROUND(IF('数据-取费表'!B22&lt;=1,C5*F22*'数据-取费表'!B22,C5*(POWER((1+F22),'数据-取费表'!B22)-1)),0)</f>
        <v>2402400</v>
      </c>
      <c r="D23" s="238"/>
      <c r="E23" s="238"/>
      <c r="F23" s="239"/>
      <c r="G23" s="240" t="s">
        <v>1582</v>
      </c>
    </row>
    <row r="24" spans="1:7" s="214" customFormat="1" ht="13.5" customHeight="1">
      <c r="A24" s="777" t="s">
        <v>1472</v>
      </c>
      <c r="B24" s="215" t="s">
        <v>1583</v>
      </c>
      <c r="C24" s="1125">
        <f ca="1">ROUND(IF('数据-取费表'!B22&lt;=1,C19*F22*('数据-取费表'!B19/2+'数据-取费表'!B20),C19*(POWER((1+F22),('数据-取费表'!B19/2+'数据-取费表'!B20))-1)),0)</f>
        <v>2402400</v>
      </c>
      <c r="D24" s="238"/>
      <c r="E24" s="238"/>
      <c r="F24" s="239"/>
      <c r="G24" s="240" t="s">
        <v>1584</v>
      </c>
    </row>
    <row r="25" spans="1:7" s="214" customFormat="1" ht="24">
      <c r="A25" s="777" t="s">
        <v>1474</v>
      </c>
      <c r="B25" s="215" t="s">
        <v>1585</v>
      </c>
      <c r="C25" s="1125">
        <f ca="1">ROUND(IF('数据-取费表'!B22&lt;=1,C20*F22*'数据-取费表'!B22/2,C20*(POWER((1+F22),'数据-取费表'!B22/2)-1)),0)</f>
        <v>70239</v>
      </c>
      <c r="D25" s="238"/>
      <c r="E25" s="241"/>
      <c r="F25" s="239"/>
      <c r="G25" s="242" t="s">
        <v>1586</v>
      </c>
    </row>
    <row r="26" spans="1:7" s="214" customFormat="1">
      <c r="A26" s="777" t="s">
        <v>349</v>
      </c>
      <c r="B26" s="215" t="s">
        <v>1509</v>
      </c>
      <c r="C26" s="238">
        <f ca="1">ROUND(IF('数据-取费表'!B22&lt;=1,F21*F22*'数据-取费表'!B22/2,F21*(POWER((1+F22),'数据-取费表'!B22/2)-1)),4)</f>
        <v>1.6000000000000001E-3</v>
      </c>
      <c r="D26" s="238"/>
      <c r="E26" s="241"/>
      <c r="F26" s="239"/>
      <c r="G26" s="243"/>
    </row>
    <row r="27" spans="1:7" s="214" customFormat="1" ht="26.4">
      <c r="A27" s="255" t="s">
        <v>1510</v>
      </c>
      <c r="B27" s="244" t="s">
        <v>1511</v>
      </c>
      <c r="C27" s="245">
        <f ca="1">C28</f>
        <v>10626811</v>
      </c>
      <c r="D27" s="235">
        <f ca="1">C29</f>
        <v>6.8999999999999999E-3</v>
      </c>
      <c r="E27" s="236" t="s">
        <v>1512</v>
      </c>
      <c r="F27" s="246">
        <f ca="1">IF(B1="",'数据-取费表'!Q16,INDIRECT("'数据-取费表'!q"&amp;$G$1))</f>
        <v>0.23</v>
      </c>
      <c r="G27" s="247" t="s">
        <v>1513</v>
      </c>
    </row>
    <row r="28" spans="1:7" s="214" customFormat="1" ht="13.5" customHeight="1">
      <c r="A28" s="777" t="s">
        <v>345</v>
      </c>
      <c r="B28" s="248" t="s">
        <v>1514</v>
      </c>
      <c r="C28" s="249">
        <f ca="1">ROUND((C5+C19+C20)*F27,0)</f>
        <v>10626811</v>
      </c>
      <c r="D28" s="235"/>
      <c r="E28" s="236"/>
      <c r="F28" s="246"/>
      <c r="G28" s="247"/>
    </row>
    <row r="29" spans="1:7" s="214" customFormat="1" ht="13.5" customHeight="1">
      <c r="A29" s="777" t="s">
        <v>346</v>
      </c>
      <c r="B29" s="248" t="s">
        <v>1515</v>
      </c>
      <c r="C29" s="238">
        <f ca="1">ROUND(C21*F27,4)</f>
        <v>6.8999999999999999E-3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67942497</v>
      </c>
      <c r="D31" s="230"/>
      <c r="E31" s="211"/>
      <c r="F31" s="250"/>
      <c r="G31" s="234" t="s">
        <v>1520</v>
      </c>
    </row>
    <row r="32" spans="1:7" s="208" customFormat="1" ht="16.2">
      <c r="A32" s="252" t="s">
        <v>1587</v>
      </c>
      <c r="B32" s="253"/>
      <c r="C32" s="253"/>
      <c r="D32" s="253"/>
      <c r="E32" s="253"/>
      <c r="F32" s="253"/>
      <c r="G32" s="254"/>
    </row>
    <row r="33" spans="1:7" s="214" customFormat="1" ht="13.5" customHeight="1">
      <c r="A33" s="255" t="s">
        <v>336</v>
      </c>
      <c r="B33" s="210" t="s">
        <v>1588</v>
      </c>
      <c r="C33" s="256">
        <f ca="1">SUM(C34:C38)</f>
        <v>759774298</v>
      </c>
      <c r="D33" s="232"/>
      <c r="E33" s="212"/>
      <c r="F33" s="241"/>
      <c r="G33" s="234"/>
    </row>
    <row r="34" spans="1:7" s="258" customFormat="1" ht="13.5" customHeight="1">
      <c r="A34" s="777" t="s">
        <v>345</v>
      </c>
      <c r="B34" s="215" t="s">
        <v>1523</v>
      </c>
      <c r="C34" s="220">
        <f ca="1">ROUND(IF(B1="",SUMPRODUCT('数据-取费表'!K6:K14,'数据-取费表'!L6:L14),INDIRECT("'数据-取费表'!l"&amp;$G$1)*INDIRECT("'数据-取费表'!k"&amp;$G$1)+'数据-取费表'!L14*INDIRECT("'数据-取费表'!S"&amp;$G$1)),0)</f>
        <v>692343100</v>
      </c>
      <c r="D34" s="217"/>
      <c r="E34" s="220"/>
      <c r="F34" s="257"/>
      <c r="G34" s="219"/>
    </row>
    <row r="35" spans="1:7" ht="13.5" customHeight="1">
      <c r="A35" s="777" t="s">
        <v>350</v>
      </c>
      <c r="B35" s="215" t="s">
        <v>1525</v>
      </c>
      <c r="C35" s="220">
        <f ca="1">ROUND(C34*F35,0)</f>
        <v>34617155</v>
      </c>
      <c r="D35" s="220"/>
      <c r="E35" s="220"/>
      <c r="F35" s="259">
        <f>'数据-取费表'!B33</f>
        <v>0.05</v>
      </c>
      <c r="G35" s="219" t="s">
        <v>1526</v>
      </c>
    </row>
    <row r="36" spans="1:7" ht="24">
      <c r="A36" s="777" t="s">
        <v>351</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7" t="s">
        <v>352</v>
      </c>
      <c r="B37" s="215" t="s">
        <v>1529</v>
      </c>
      <c r="C37" s="249">
        <f ca="1">ROUND(E37*D37,0)</f>
        <v>22428896</v>
      </c>
      <c r="D37" s="217">
        <f ca="1">D19</f>
        <v>112144.47999999998</v>
      </c>
      <c r="E37" s="249">
        <f>'数据-取费表'!B35</f>
        <v>200</v>
      </c>
      <c r="F37" s="259"/>
      <c r="G37" s="261"/>
    </row>
    <row r="38" spans="1:7" ht="13.5" customHeight="1">
      <c r="A38" s="777" t="s">
        <v>353</v>
      </c>
      <c r="B38" s="215" t="s">
        <v>1531</v>
      </c>
      <c r="C38" s="220">
        <f ca="1">ROUND(C34*F38,0)</f>
        <v>10385147</v>
      </c>
      <c r="D38" s="220"/>
      <c r="E38" s="220"/>
      <c r="F38" s="259">
        <f>'数据-取费表'!B36</f>
        <v>1.4999999999999999E-2</v>
      </c>
      <c r="G38" s="219" t="s">
        <v>1526</v>
      </c>
    </row>
    <row r="39" spans="1:7" s="214" customFormat="1" ht="13.5" customHeight="1">
      <c r="A39" s="255" t="s">
        <v>1532</v>
      </c>
      <c r="B39" s="210" t="s">
        <v>1533</v>
      </c>
      <c r="C39" s="232">
        <f ca="1">ROUND(C33*F20,0)</f>
        <v>22793229</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40845180</v>
      </c>
      <c r="D41" s="235">
        <f ca="1">C44</f>
        <v>1.6000000000000001E-3</v>
      </c>
      <c r="E41" s="236" t="s">
        <v>1537</v>
      </c>
      <c r="F41" s="237">
        <f ca="1">F22</f>
        <v>3.4500000000000003E-2</v>
      </c>
      <c r="G41" s="234" t="str">
        <f>IF('数据-取费表'!B22&lt;=1,"单利计息","复利计息")</f>
        <v>复利计息</v>
      </c>
    </row>
    <row r="42" spans="1:7" ht="13.5" customHeight="1">
      <c r="A42" s="777" t="s">
        <v>345</v>
      </c>
      <c r="B42" s="215" t="s">
        <v>1541</v>
      </c>
      <c r="C42" s="238">
        <f ca="1">ROUND(IF('数据-取费表'!B22&lt;=1,C33*F22*'数据-取费表'!B20/2,C33*(POWER((1+F22),'数据-取费表'!B20/2)-1)),0)</f>
        <v>39655515</v>
      </c>
      <c r="D42" s="238"/>
      <c r="E42" s="238"/>
      <c r="F42" s="239"/>
      <c r="G42" s="3747" t="s">
        <v>1589</v>
      </c>
    </row>
    <row r="43" spans="1:7" ht="13.5" customHeight="1">
      <c r="A43" s="777" t="s">
        <v>346</v>
      </c>
      <c r="B43" s="215" t="s">
        <v>1543</v>
      </c>
      <c r="C43" s="238">
        <f ca="1">ROUND(IF('数据-取费表'!B22&lt;=1,C39*F22*'数据-取费表'!B20/2,C39*(POWER((1+F22),'数据-取费表'!B20/2)-1)),0)</f>
        <v>1189665</v>
      </c>
      <c r="D43" s="238"/>
      <c r="E43" s="238"/>
      <c r="F43" s="239"/>
      <c r="G43" s="3748"/>
    </row>
    <row r="44" spans="1:7" ht="13.5" customHeight="1">
      <c r="A44" s="777" t="s">
        <v>347</v>
      </c>
      <c r="B44" s="215" t="s">
        <v>1544</v>
      </c>
      <c r="C44" s="238">
        <f ca="1">ROUND(IF('数据-取费表'!B22&lt;=1,C40*F22*'数据-取费表'!B20/2,C40*(POWER((1+F22),'数据-取费表'!B20/2)-1)),4)</f>
        <v>1.6000000000000001E-3</v>
      </c>
      <c r="D44" s="238"/>
      <c r="E44" s="238"/>
      <c r="F44" s="239"/>
      <c r="G44" s="3749"/>
    </row>
    <row r="45" spans="1:7" s="214" customFormat="1" ht="13.5" customHeight="1">
      <c r="A45" s="255" t="s">
        <v>1545</v>
      </c>
      <c r="B45" s="244" t="s">
        <v>1511</v>
      </c>
      <c r="C45" s="245">
        <f ca="1">C46</f>
        <v>179990531</v>
      </c>
      <c r="D45" s="235">
        <f ca="1">C47</f>
        <v>6.8999999999999999E-3</v>
      </c>
      <c r="E45" s="236" t="s">
        <v>1537</v>
      </c>
      <c r="F45" s="246">
        <f ca="1">F27</f>
        <v>0.23</v>
      </c>
      <c r="G45" s="247" t="s">
        <v>1546</v>
      </c>
    </row>
    <row r="46" spans="1:7" s="214" customFormat="1" ht="13.5" customHeight="1">
      <c r="A46" s="777" t="s">
        <v>345</v>
      </c>
      <c r="B46" s="248" t="s">
        <v>1547</v>
      </c>
      <c r="C46" s="249">
        <f ca="1">ROUND((C33+C39)*F27,0)</f>
        <v>179990531</v>
      </c>
      <c r="D46" s="263"/>
      <c r="E46" s="236"/>
      <c r="F46" s="246"/>
      <c r="G46" s="247"/>
    </row>
    <row r="47" spans="1:7" s="214" customFormat="1" ht="13.5" customHeight="1">
      <c r="A47" s="777" t="s">
        <v>346</v>
      </c>
      <c r="B47" s="248" t="s">
        <v>1548</v>
      </c>
      <c r="C47" s="238">
        <f ca="1">ROUND(C40*F27,4)</f>
        <v>6.8999999999999999E-3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1104826292</v>
      </c>
      <c r="D49" s="232"/>
      <c r="E49" s="232"/>
      <c r="F49" s="264"/>
      <c r="G49" s="234" t="s">
        <v>1552</v>
      </c>
    </row>
    <row r="50" spans="1:7" s="258" customFormat="1">
      <c r="A50" s="255" t="s">
        <v>1553</v>
      </c>
      <c r="B50" s="210" t="s">
        <v>1554</v>
      </c>
      <c r="C50" s="232"/>
      <c r="D50" s="232"/>
      <c r="E50" s="232"/>
      <c r="F50" s="264">
        <f>IF('数据-取费表'!B24=0,'数据-取费表'!N16,1)</f>
        <v>0.98</v>
      </c>
      <c r="G50" s="247"/>
    </row>
    <row r="51" spans="1:7" ht="16.5" customHeight="1">
      <c r="A51" s="255" t="s">
        <v>1556</v>
      </c>
      <c r="B51" s="210" t="s">
        <v>1591</v>
      </c>
      <c r="C51" s="232">
        <f ca="1">ROUND(C49*F50,0)</f>
        <v>1082729766</v>
      </c>
      <c r="D51" s="232"/>
      <c r="E51" s="232"/>
      <c r="F51" s="264"/>
      <c r="G51" s="234" t="s">
        <v>1558</v>
      </c>
    </row>
    <row r="52" spans="1:7" s="208" customFormat="1" ht="16.8" thickBot="1">
      <c r="A52" s="265" t="s">
        <v>1559</v>
      </c>
      <c r="B52" s="266"/>
      <c r="C52" s="267">
        <f ca="1">C31+C51</f>
        <v>1150672263</v>
      </c>
      <c r="D52" s="266"/>
      <c r="E52" s="266"/>
      <c r="F52" s="266"/>
      <c r="G52" s="268"/>
    </row>
    <row r="55" spans="1:7" ht="15">
      <c r="B55" s="270" t="s">
        <v>1560</v>
      </c>
      <c r="C55" s="271"/>
    </row>
    <row r="56" spans="1:7">
      <c r="B56" s="273" t="s">
        <v>801</v>
      </c>
      <c r="C56" s="275">
        <f ca="1">1-C57</f>
        <v>5.9000000000000052E-2</v>
      </c>
    </row>
    <row r="57" spans="1:7">
      <c r="B57" s="273" t="s">
        <v>802</v>
      </c>
      <c r="C57" s="274">
        <f ca="1">ROUND(C51/C52,3)</f>
        <v>0.94099999999999995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78" customWidth="1"/>
    <col min="3" max="3" width="10.33203125" style="820" customWidth="1"/>
    <col min="4" max="4" width="9.88671875" style="778" customWidth="1"/>
    <col min="5" max="5" width="9.44140625" style="728" customWidth="1"/>
    <col min="6" max="6" width="10.109375" style="778" customWidth="1"/>
    <col min="7" max="7" width="10.77734375" style="778" customWidth="1"/>
    <col min="8" max="8" width="10" style="778" customWidth="1"/>
    <col min="9" max="11" width="9.44140625" style="778" customWidth="1"/>
    <col min="12" max="12" width="9" style="778" customWidth="1"/>
    <col min="13" max="13" width="10.44140625" style="778" bestFit="1" customWidth="1"/>
    <col min="14" max="254" width="9" style="778" customWidth="1"/>
    <col min="255" max="16384" width="6.6640625" style="778"/>
  </cols>
  <sheetData>
    <row r="1" spans="1:33" ht="21">
      <c r="A1" s="196" t="s">
        <v>1592</v>
      </c>
      <c r="B1" s="1188"/>
      <c r="C1" s="1189"/>
      <c r="D1" s="1187"/>
      <c r="E1" s="2803"/>
      <c r="F1" s="2803"/>
      <c r="G1" s="2668"/>
      <c r="H1" s="2803"/>
      <c r="I1" s="2803"/>
      <c r="J1" s="2803"/>
      <c r="K1" s="2804">
        <f>MATCH(C1,'数据-取费表'!A6:A16,0)+5</f>
        <v>10</v>
      </c>
    </row>
    <row r="2" spans="1:33" ht="18" customHeight="1">
      <c r="A2" s="201" t="s">
        <v>1460</v>
      </c>
      <c r="B2" s="204">
        <f ca="1">C32</f>
        <v>0</v>
      </c>
      <c r="C2" s="276" t="s">
        <v>1593</v>
      </c>
      <c r="D2" s="276"/>
      <c r="E2" s="2803"/>
      <c r="F2" s="2803"/>
      <c r="G2" s="2803"/>
      <c r="H2" s="2803"/>
      <c r="I2" s="2803"/>
      <c r="J2" s="2803"/>
      <c r="K2" s="2803"/>
    </row>
    <row r="3" spans="1:33" ht="18" customHeight="1" thickBot="1">
      <c r="A3" s="203" t="s">
        <v>1462</v>
      </c>
      <c r="B3" s="204">
        <f ca="1">ROUND(B2*10000/IF(C1="",'数据-汇总表'!E3,INDIRECT("'数据-取费表'!K"&amp;$K$1)),0)</f>
        <v>0</v>
      </c>
      <c r="C3" s="276" t="s">
        <v>1594</v>
      </c>
      <c r="D3" s="276"/>
      <c r="E3" s="2803"/>
      <c r="F3" s="2803"/>
      <c r="G3" s="2803"/>
      <c r="H3" s="2803"/>
      <c r="I3" s="2803"/>
      <c r="J3" s="2803"/>
      <c r="K3" s="2803"/>
    </row>
    <row r="4" spans="1:33" s="782" customFormat="1" ht="16.5" customHeight="1">
      <c r="A4" s="779" t="s">
        <v>1595</v>
      </c>
      <c r="B4" s="780"/>
      <c r="C4" s="821">
        <f>SUM(C8:K8)</f>
        <v>0</v>
      </c>
      <c r="D4" s="780"/>
      <c r="E4" s="780"/>
      <c r="F4" s="780"/>
      <c r="G4" s="780"/>
      <c r="H4" s="780"/>
      <c r="I4" s="780"/>
      <c r="J4" s="780"/>
      <c r="K4" s="781"/>
    </row>
    <row r="5" spans="1:33" s="786" customFormat="1" ht="14.4">
      <c r="A5" s="783" t="s">
        <v>1596</v>
      </c>
      <c r="B5" s="784" t="s">
        <v>1597</v>
      </c>
      <c r="C5" s="1857"/>
      <c r="D5" s="1857"/>
      <c r="E5" s="1857"/>
      <c r="F5" s="1857"/>
      <c r="G5" s="1857"/>
      <c r="H5" s="1857"/>
      <c r="I5" s="1857"/>
      <c r="J5" s="1857"/>
      <c r="K5" s="1857"/>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356</v>
      </c>
      <c r="B6" s="131" t="s">
        <v>1598</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58" t="s">
        <v>1601</v>
      </c>
      <c r="B8" s="164" t="s">
        <v>1602</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1603</v>
      </c>
      <c r="B9" s="780"/>
      <c r="C9" s="780"/>
      <c r="D9" s="780"/>
      <c r="E9" s="780"/>
      <c r="F9" s="780"/>
      <c r="G9" s="780"/>
      <c r="H9" s="780"/>
      <c r="I9" s="780"/>
      <c r="J9" s="780"/>
      <c r="K9" s="781"/>
    </row>
    <row r="10" spans="1:33" s="796" customFormat="1" ht="13.5" customHeight="1">
      <c r="A10" s="783" t="s">
        <v>1604</v>
      </c>
      <c r="B10" s="5" t="s">
        <v>1605</v>
      </c>
      <c r="C10" s="792" t="s">
        <v>1606</v>
      </c>
      <c r="D10" s="793" t="s">
        <v>1607</v>
      </c>
      <c r="E10" s="793" t="s">
        <v>1608</v>
      </c>
      <c r="F10" s="793" t="s">
        <v>1609</v>
      </c>
      <c r="G10" s="5"/>
      <c r="H10" s="794"/>
      <c r="I10" s="794"/>
      <c r="J10" s="794"/>
      <c r="K10" s="795"/>
    </row>
    <row r="11" spans="1:33" s="800" customFormat="1" ht="13.5" customHeight="1">
      <c r="A11" s="797" t="s">
        <v>634</v>
      </c>
      <c r="B11" s="798" t="s">
        <v>1610</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635</v>
      </c>
      <c r="B12" s="798" t="s">
        <v>1611</v>
      </c>
      <c r="C12" s="21">
        <f ca="1">ROUND(C11*F12,0)</f>
        <v>0</v>
      </c>
      <c r="D12" s="799"/>
      <c r="E12" s="329"/>
      <c r="F12" s="809">
        <f>'数据-取费表'!B33</f>
        <v>0.05</v>
      </c>
      <c r="G12" s="5" t="s">
        <v>1612</v>
      </c>
      <c r="H12" s="794"/>
      <c r="I12" s="794"/>
      <c r="J12" s="794"/>
      <c r="K12" s="795"/>
    </row>
    <row r="13" spans="1:33" s="800" customFormat="1" ht="13.5" customHeight="1">
      <c r="A13" s="797" t="s">
        <v>636</v>
      </c>
      <c r="B13" s="798" t="s">
        <v>1613</v>
      </c>
      <c r="C13" s="21">
        <f ca="1">ROUND(IF(C1="",SUMIF('数据-取费表'!C:C,"住宅",'数据-取费表'!P:P)*F13,IF(INDIRECT("'数据-取费表'!c"&amp;$K$1)="住宅",INDIRECT("'数据-取费表'!P"&amp;$K$1)*F13,0)),0)</f>
        <v>0</v>
      </c>
      <c r="D13" s="843"/>
      <c r="E13" s="329"/>
      <c r="F13" s="809">
        <f>'数据-取费表'!B34</f>
        <v>0</v>
      </c>
      <c r="G13" s="5" t="s">
        <v>1614</v>
      </c>
      <c r="H13" s="794"/>
      <c r="I13" s="794"/>
      <c r="J13" s="794"/>
      <c r="K13" s="795"/>
    </row>
    <row r="14" spans="1:33" s="802" customFormat="1" ht="13.5" customHeight="1">
      <c r="A14" s="797" t="s">
        <v>637</v>
      </c>
      <c r="B14" s="798" t="s">
        <v>1615</v>
      </c>
      <c r="C14" s="21">
        <f ca="1">ROUND(D14*E14*F11/10000,0)</f>
        <v>0</v>
      </c>
      <c r="D14" s="843">
        <f ca="1">IF(C1="",'数据-汇总表'!E3,INDIRECT("'数据-取费表'!K"&amp;$K$1)+INDIRECT("'数据-取费表'!S"&amp;$K$1))</f>
        <v>112144.47999999998</v>
      </c>
      <c r="E14" s="21">
        <f>'数据-取费表'!B35</f>
        <v>200</v>
      </c>
      <c r="F14" s="801"/>
      <c r="G14" s="5" t="s">
        <v>1616</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638</v>
      </c>
      <c r="B15" s="798" t="s">
        <v>1617</v>
      </c>
      <c r="C15" s="808">
        <f ca="1">ROUND(C11*F15,0)</f>
        <v>0</v>
      </c>
      <c r="D15" s="803"/>
      <c r="E15" s="808"/>
      <c r="F15" s="809">
        <f>'数据-取费表'!B36</f>
        <v>1.4999999999999999E-2</v>
      </c>
      <c r="G15" s="131" t="s">
        <v>1618</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357</v>
      </c>
      <c r="B16" s="798" t="s">
        <v>1619</v>
      </c>
      <c r="C16" s="808">
        <f ca="1">SUM(C11:C15)</f>
        <v>0</v>
      </c>
      <c r="D16" s="803"/>
      <c r="E16" s="808"/>
      <c r="F16" s="809"/>
      <c r="G16" s="131"/>
      <c r="H16" s="1185"/>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358</v>
      </c>
      <c r="B17" s="798" t="s">
        <v>1620</v>
      </c>
      <c r="C17" s="21">
        <f ca="1">ROUND(D17*E17/10000,0)</f>
        <v>0</v>
      </c>
      <c r="D17" s="843">
        <f ca="1">D14</f>
        <v>112144.47999999998</v>
      </c>
      <c r="E17" s="21">
        <f>'数据-取费表'!B32</f>
        <v>0</v>
      </c>
      <c r="F17" s="803"/>
      <c r="G17" s="131" t="s">
        <v>1621</v>
      </c>
      <c r="H17" s="1185"/>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639</v>
      </c>
      <c r="B18" s="798" t="s">
        <v>1622</v>
      </c>
      <c r="C18" s="21">
        <f ca="1">C19+C20-IF(C1="",'数据-取费表'!B29,IF(G18="已全部缴纳",C19+C20,H18))</f>
        <v>0</v>
      </c>
      <c r="D18" s="843"/>
      <c r="E18" s="21"/>
      <c r="F18" s="801"/>
      <c r="G18" s="1859"/>
      <c r="H18" s="1184"/>
      <c r="I18" s="1860" t="s">
        <v>1623</v>
      </c>
      <c r="J18" s="804"/>
      <c r="K18" s="805"/>
    </row>
    <row r="19" spans="1:33" s="800" customFormat="1" ht="13.5" customHeight="1">
      <c r="A19" s="797" t="s">
        <v>359</v>
      </c>
      <c r="B19" s="798" t="s">
        <v>1624</v>
      </c>
      <c r="C19" s="21">
        <f ca="1">ROUND(D19*E19/10000,0)</f>
        <v>0</v>
      </c>
      <c r="D19" s="843">
        <f ca="1">IF(C1="",'数据-汇总表'!E5,IF(INDIRECT("'数据-取费表'!c"&amp;$K$1)="住宅",INDIRECT("'数据-取费表'!k"&amp;$K$1),0))</f>
        <v>0</v>
      </c>
      <c r="E19" s="21">
        <f>'数据-取费表'!B27</f>
        <v>0</v>
      </c>
      <c r="F19" s="801"/>
      <c r="G19" s="12"/>
      <c r="H19" s="1186"/>
      <c r="I19" s="806"/>
      <c r="J19" s="806"/>
      <c r="K19" s="807"/>
    </row>
    <row r="20" spans="1:33" s="800" customFormat="1" ht="13.5" customHeight="1">
      <c r="A20" s="797" t="s">
        <v>360</v>
      </c>
      <c r="B20" s="798" t="s">
        <v>1625</v>
      </c>
      <c r="C20" s="21">
        <f ca="1">ROUND(D20*E20/10000,0)</f>
        <v>2243</v>
      </c>
      <c r="D20" s="843">
        <f ca="1">IF(C1="",'数据-汇总表'!E6,IF(INDIRECT("'数据-取费表'!c"&amp;$K$1)="住宅",INDIRECT("'数据-取费表'!s"&amp;$K$1),INDIRECT("'数据-取费表'!k"&amp;$K$1)+INDIRECT("'数据-取费表'!s"&amp;$K$1)))</f>
        <v>112144.47999999998</v>
      </c>
      <c r="E20" s="21">
        <f>'数据-取费表'!B28</f>
        <v>200</v>
      </c>
      <c r="F20" s="801"/>
      <c r="G20" s="12"/>
      <c r="H20" s="806"/>
      <c r="I20" s="806"/>
      <c r="J20" s="806"/>
      <c r="K20" s="807"/>
    </row>
    <row r="21" spans="1:33" s="800" customFormat="1" ht="13.5" customHeight="1">
      <c r="A21" s="787" t="s">
        <v>356</v>
      </c>
      <c r="B21" s="810" t="s">
        <v>1626</v>
      </c>
      <c r="C21" s="811">
        <f ca="1">C16+C17+C18</f>
        <v>0</v>
      </c>
      <c r="D21" s="812"/>
      <c r="E21" s="281"/>
      <c r="F21" s="281"/>
      <c r="G21" s="131" t="s">
        <v>1627</v>
      </c>
      <c r="H21" s="804"/>
      <c r="I21" s="804"/>
      <c r="J21" s="804"/>
      <c r="K21" s="805"/>
    </row>
    <row r="22" spans="1:33" s="800" customFormat="1" ht="13.5" customHeight="1">
      <c r="A22" s="787" t="s">
        <v>1599</v>
      </c>
      <c r="B22" s="810" t="s">
        <v>1628</v>
      </c>
      <c r="C22" s="811">
        <f ca="1">ROUND(C21*F22,0)</f>
        <v>0</v>
      </c>
      <c r="D22" s="281"/>
      <c r="E22" s="281"/>
      <c r="F22" s="813">
        <f>'数据-取费表'!B37</f>
        <v>0.03</v>
      </c>
      <c r="G22" s="5" t="s">
        <v>1629</v>
      </c>
      <c r="H22" s="794"/>
      <c r="I22" s="794"/>
      <c r="J22" s="794"/>
      <c r="K22" s="795"/>
    </row>
    <row r="23" spans="1:33" s="800" customFormat="1" ht="13.5" customHeight="1">
      <c r="A23" s="787" t="s">
        <v>1601</v>
      </c>
      <c r="B23" s="810" t="s">
        <v>1630</v>
      </c>
      <c r="C23" s="811">
        <f ca="1">ROUND(C4*F23*F11,0)</f>
        <v>0</v>
      </c>
      <c r="D23" s="281"/>
      <c r="E23" s="281"/>
      <c r="F23" s="813">
        <f>'数据-取费表'!B38</f>
        <v>0.03</v>
      </c>
      <c r="G23" s="5" t="s">
        <v>1631</v>
      </c>
      <c r="H23" s="794"/>
      <c r="I23" s="794"/>
      <c r="J23" s="794"/>
      <c r="K23" s="795"/>
    </row>
    <row r="24" spans="1:33" s="800" customFormat="1" ht="13.5" customHeight="1">
      <c r="A24" s="787" t="s">
        <v>1632</v>
      </c>
      <c r="B24" s="810" t="s">
        <v>1633</v>
      </c>
      <c r="C24" s="280">
        <f>ROUND(F24/(1+'数据-取费表'!C42),4)</f>
        <v>4.7600000000000003E-2</v>
      </c>
      <c r="D24" s="281" t="s">
        <v>12</v>
      </c>
      <c r="E24" s="281"/>
      <c r="F24" s="813">
        <f>IF(项目基本情况!B8="出让",0,'数据-取费表'!B48+'数据-取费表'!B49)</f>
        <v>0.05</v>
      </c>
      <c r="G24" s="5" t="s">
        <v>1634</v>
      </c>
      <c r="H24" s="815"/>
      <c r="I24" s="815"/>
      <c r="J24" s="815"/>
      <c r="K24" s="816"/>
    </row>
    <row r="25" spans="1:33" s="800" customFormat="1" ht="13.5" customHeight="1">
      <c r="A25" s="787" t="s">
        <v>1635</v>
      </c>
      <c r="B25" s="812" t="s">
        <v>1636</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5"/>
      <c r="I25" s="815"/>
      <c r="J25" s="815"/>
      <c r="K25" s="816"/>
    </row>
    <row r="26" spans="1:33" s="818" customFormat="1" ht="13.5" customHeight="1">
      <c r="A26" s="797" t="s">
        <v>357</v>
      </c>
      <c r="B26" s="817" t="s">
        <v>1637</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4"/>
      <c r="I26" s="804"/>
      <c r="J26" s="804"/>
      <c r="K26" s="805"/>
    </row>
    <row r="27" spans="1:33" s="818" customFormat="1" ht="13.5" customHeight="1">
      <c r="A27" s="797" t="s">
        <v>358</v>
      </c>
      <c r="B27" s="817" t="s">
        <v>1638</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4"/>
      <c r="I27" s="804"/>
      <c r="J27" s="804"/>
      <c r="K27" s="805"/>
    </row>
    <row r="28" spans="1:33" s="289" customFormat="1" ht="13.5" customHeight="1">
      <c r="A28" s="787" t="s">
        <v>1639</v>
      </c>
      <c r="B28" s="1862" t="s">
        <v>1640</v>
      </c>
      <c r="C28" s="287">
        <f ca="1">C30</f>
        <v>0</v>
      </c>
      <c r="D28" s="280">
        <f ca="1">C29</f>
        <v>0</v>
      </c>
      <c r="E28" s="282" t="s">
        <v>12</v>
      </c>
      <c r="F28" s="288">
        <f ca="1">IF(C1="",'数据-取费表'!Q16,INDIRECT("'数据-取费表'!q"&amp;$K$1))</f>
        <v>0.23</v>
      </c>
      <c r="G28" s="814"/>
      <c r="H28" s="815"/>
      <c r="I28" s="815"/>
      <c r="J28" s="815"/>
      <c r="K28" s="816"/>
    </row>
    <row r="29" spans="1:33" s="291" customFormat="1" ht="13.5" customHeight="1">
      <c r="A29" s="797" t="s">
        <v>357</v>
      </c>
      <c r="B29" s="819" t="s">
        <v>1641</v>
      </c>
      <c r="C29" s="284">
        <f ca="1">ROUND((1+C24)*F28*'数据-取费表'!B24/'数据-取费表'!B20,4)</f>
        <v>0</v>
      </c>
      <c r="D29" s="284"/>
      <c r="E29" s="285"/>
      <c r="F29" s="290"/>
      <c r="G29" s="131" t="s">
        <v>1642</v>
      </c>
      <c r="H29" s="804"/>
      <c r="I29" s="804"/>
      <c r="J29" s="804"/>
      <c r="K29" s="805"/>
    </row>
    <row r="30" spans="1:33" s="291" customFormat="1" ht="13.5" customHeight="1">
      <c r="A30" s="797" t="s">
        <v>358</v>
      </c>
      <c r="B30" s="819" t="s">
        <v>1643</v>
      </c>
      <c r="C30" s="292">
        <f ca="1">ROUND((C21+C22+C23)*F28,0)</f>
        <v>0</v>
      </c>
      <c r="D30" s="284"/>
      <c r="E30" s="285"/>
      <c r="F30" s="290"/>
      <c r="G30" s="131"/>
      <c r="H30" s="804"/>
      <c r="I30" s="804"/>
      <c r="J30" s="804"/>
      <c r="K30" s="805"/>
    </row>
    <row r="31" spans="1:33" s="800" customFormat="1" ht="13.5" customHeight="1" thickBot="1">
      <c r="A31" s="1863" t="s">
        <v>1644</v>
      </c>
      <c r="B31" s="830" t="s">
        <v>1645</v>
      </c>
      <c r="C31" s="831">
        <f>ROUND(C4*F31/(1+'数据-取费表'!C42),0)</f>
        <v>0</v>
      </c>
      <c r="D31" s="832"/>
      <c r="E31" s="833"/>
      <c r="F31" s="834">
        <f>'数据-取费表'!B41</f>
        <v>5.6000000000000001E-2</v>
      </c>
      <c r="G31" s="835" t="s">
        <v>1646</v>
      </c>
      <c r="H31" s="836"/>
      <c r="I31" s="836"/>
      <c r="J31" s="836"/>
      <c r="K31" s="837"/>
    </row>
    <row r="32" spans="1:33" s="796" customFormat="1" ht="13.5" customHeight="1" thickBot="1">
      <c r="A32" s="825" t="s">
        <v>1647</v>
      </c>
      <c r="B32" s="826"/>
      <c r="C32" s="827">
        <f ca="1">ROUND((C4-C21-C22-C23-C25-C28-C31)/(1+C24+D25+D28),0)</f>
        <v>0</v>
      </c>
      <c r="D32" s="826"/>
      <c r="E32" s="826"/>
      <c r="F32" s="826"/>
      <c r="G32" s="828" t="s">
        <v>1648</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L13" sqref="L13"/>
    </sheetView>
  </sheetViews>
  <sheetFormatPr defaultColWidth="9" defaultRowHeight="13.8"/>
  <cols>
    <col min="1" max="1" width="23.6640625" style="1474" customWidth="1"/>
    <col min="2" max="2" width="12" style="1474" customWidth="1"/>
    <col min="3" max="3" width="9" style="1474"/>
    <col min="4" max="4" width="14.109375" style="1474" customWidth="1"/>
    <col min="5" max="5" width="9" style="1474"/>
    <col min="6" max="6" width="12.88671875" style="1474" customWidth="1"/>
    <col min="7" max="16384" width="9" style="1474"/>
  </cols>
  <sheetData>
    <row r="1" spans="1:22" ht="21.6">
      <c r="A1" s="1864" t="s">
        <v>1656</v>
      </c>
      <c r="B1" s="1865"/>
      <c r="C1" s="1865"/>
      <c r="D1" s="1865"/>
      <c r="E1" s="1866"/>
      <c r="F1" s="2704"/>
      <c r="G1" s="1486"/>
      <c r="H1" s="1486"/>
      <c r="I1" s="1486"/>
      <c r="J1" s="1486"/>
      <c r="K1" s="1486"/>
      <c r="L1" s="1486"/>
      <c r="M1" s="1486"/>
      <c r="N1" s="1486"/>
      <c r="O1" s="1486"/>
      <c r="P1" s="1486"/>
      <c r="Q1" s="1486"/>
      <c r="R1" s="1486"/>
      <c r="S1" s="1486"/>
    </row>
    <row r="2" spans="1:22" ht="15.6">
      <c r="A2" s="1867" t="s">
        <v>1460</v>
      </c>
      <c r="B2" s="1868">
        <f ca="1">SUMIF(B6:B13,"&lt;&gt;#ref!",B6:B13)</f>
        <v>460093</v>
      </c>
      <c r="C2" s="1869" t="s">
        <v>1649</v>
      </c>
      <c r="D2" s="1870" t="s">
        <v>1650</v>
      </c>
      <c r="E2" s="2604">
        <f>SUM(E6:E13)</f>
        <v>112144.47999999998</v>
      </c>
      <c r="F2" s="2704"/>
      <c r="G2" s="1486"/>
      <c r="H2" s="1486">
        <f ca="1">结果表!G19</f>
        <v>448976</v>
      </c>
      <c r="I2" s="1486">
        <f ca="1">H2/B2</f>
        <v>0.9758374937240949</v>
      </c>
      <c r="J2" s="1486"/>
      <c r="K2" s="1486"/>
      <c r="L2" s="1486"/>
      <c r="M2" s="1486"/>
      <c r="N2" s="1486"/>
      <c r="O2" s="1486"/>
      <c r="P2" s="1486"/>
      <c r="Q2" s="1486"/>
      <c r="R2" s="1486"/>
      <c r="S2" s="1486"/>
    </row>
    <row r="3" spans="1:22" ht="15.6">
      <c r="A3" s="1867" t="s">
        <v>685</v>
      </c>
      <c r="B3" s="2598">
        <f ca="1">ROUND(B2*10000/E2,0)</f>
        <v>41027</v>
      </c>
      <c r="C3" s="1869" t="s">
        <v>1657</v>
      </c>
      <c r="D3" s="2706"/>
      <c r="E3" s="2708"/>
      <c r="F3" s="2704"/>
      <c r="G3" s="1486"/>
      <c r="H3" s="1486"/>
      <c r="I3" s="1486"/>
      <c r="J3" s="1486"/>
      <c r="K3" s="1486"/>
      <c r="L3" s="1486"/>
      <c r="M3" s="1486"/>
      <c r="N3" s="1486"/>
      <c r="O3" s="1486"/>
      <c r="P3" s="1486"/>
      <c r="Q3" s="1486"/>
      <c r="R3" s="1486"/>
      <c r="S3" s="1486"/>
    </row>
    <row r="4" spans="1:22" ht="15.6">
      <c r="A4" s="2709"/>
      <c r="B4" s="2706"/>
      <c r="C4" s="2706"/>
      <c r="D4" s="2706"/>
      <c r="E4" s="2708"/>
      <c r="F4" s="2704"/>
      <c r="G4" s="1486"/>
      <c r="H4" s="1486"/>
      <c r="I4" s="1486"/>
      <c r="J4" s="1486"/>
      <c r="K4" s="1486"/>
      <c r="L4" s="1486"/>
      <c r="M4" s="1486"/>
      <c r="N4" s="1486"/>
      <c r="O4" s="1486"/>
      <c r="P4" s="1486"/>
      <c r="Q4" s="1486"/>
      <c r="R4" s="1486"/>
      <c r="S4" s="1486"/>
    </row>
    <row r="5" spans="1:22" ht="14.4">
      <c r="A5" s="2600" t="s">
        <v>1651</v>
      </c>
      <c r="B5" s="3750" t="s">
        <v>1652</v>
      </c>
      <c r="C5" s="3751"/>
      <c r="D5" s="2705"/>
      <c r="E5" s="1871" t="s">
        <v>1653</v>
      </c>
      <c r="F5" s="1872" t="s">
        <v>1654</v>
      </c>
      <c r="G5" s="1486"/>
      <c r="H5" s="1486"/>
      <c r="I5" s="1486"/>
      <c r="J5" s="1486"/>
      <c r="K5" s="1486"/>
      <c r="L5" s="1486"/>
      <c r="M5" s="1486"/>
      <c r="N5" s="1486"/>
      <c r="O5" s="1486"/>
      <c r="P5" s="1486"/>
      <c r="Q5" s="1486"/>
      <c r="R5" s="1486"/>
      <c r="S5" s="1486"/>
    </row>
    <row r="6" spans="1:22" ht="14.4">
      <c r="A6" s="2601" t="str">
        <f>'数据-取费表'!AN6</f>
        <v>收益法-办公</v>
      </c>
      <c r="B6" s="2599">
        <f ca="1">IF(F6="是",'数据-取费表'!AO6,0)</f>
        <v>349586</v>
      </c>
      <c r="C6" s="1869" t="s">
        <v>1649</v>
      </c>
      <c r="D6" s="2706"/>
      <c r="E6" s="2603">
        <f>IF(OR(A6=0,F6="否"),0,'数据-取费表'!K6+'数据-取费表'!S6)</f>
        <v>64998.039999999994</v>
      </c>
      <c r="F6" s="1873" t="s">
        <v>1655</v>
      </c>
      <c r="G6" s="1486"/>
      <c r="H6" s="1486">
        <f ca="1">B6/$I$2</f>
        <v>358242.02518174693</v>
      </c>
      <c r="I6" s="1486">
        <f ca="1">H6/E6</f>
        <v>5.511581967421586</v>
      </c>
      <c r="J6" s="1486"/>
      <c r="K6" s="1486"/>
      <c r="L6" s="1486"/>
      <c r="M6" s="1486"/>
      <c r="N6" s="1486"/>
      <c r="O6" s="1486"/>
      <c r="P6" s="1486"/>
      <c r="Q6" s="1486"/>
      <c r="R6" s="1486"/>
      <c r="S6" s="1486"/>
    </row>
    <row r="7" spans="1:22" ht="14.4">
      <c r="A7" s="2601" t="str">
        <f>'数据-取费表'!AN7</f>
        <v>收益法-商业</v>
      </c>
      <c r="B7" s="2599">
        <f ca="1">IF(F7="是",'数据-取费表'!AO7,0)</f>
        <v>103904</v>
      </c>
      <c r="C7" s="1869" t="s">
        <v>1649</v>
      </c>
      <c r="D7" s="2706"/>
      <c r="E7" s="2603">
        <f>IF(OR(A7=0,F7="否"),0,'数据-取费表'!K7+'数据-取费表'!S7)</f>
        <v>34123.64</v>
      </c>
      <c r="F7" s="1873" t="s">
        <v>1655</v>
      </c>
      <c r="G7" s="1486"/>
      <c r="H7" s="1486">
        <f t="shared" ref="H7:H9" ca="1" si="0">B7/$I$2</f>
        <v>106476.74501977835</v>
      </c>
      <c r="I7" s="1486">
        <f t="shared" ref="I7:I8" ca="1" si="1">H7/E7</f>
        <v>3.1203220119476804</v>
      </c>
      <c r="J7" s="1486"/>
      <c r="K7" s="1486"/>
      <c r="L7" s="1486"/>
      <c r="M7" s="1486"/>
      <c r="N7" s="1486"/>
      <c r="O7" s="1486"/>
      <c r="P7" s="1486"/>
      <c r="Q7" s="1486"/>
      <c r="R7" s="1486"/>
      <c r="S7" s="1486"/>
    </row>
    <row r="8" spans="1:22" ht="14.4">
      <c r="A8" s="2601" t="str">
        <f>'数据-取费表'!AN8</f>
        <v>收益法-车库</v>
      </c>
      <c r="B8" s="2599">
        <f ca="1">IF(F8="是",'数据-取费表'!AO8,0)</f>
        <v>1935</v>
      </c>
      <c r="C8" s="1869" t="s">
        <v>1649</v>
      </c>
      <c r="D8" s="2706"/>
      <c r="E8" s="2603">
        <f>IF(OR(A8=0,F8="否"),0,'数据-取费表'!K8+'数据-取费表'!S8)</f>
        <v>10131.459999999992</v>
      </c>
      <c r="F8" s="1873" t="s">
        <v>1655</v>
      </c>
      <c r="G8" s="1486"/>
      <c r="H8" s="1486">
        <f t="shared" ca="1" si="0"/>
        <v>1982.9121267061046</v>
      </c>
      <c r="I8" s="1486">
        <f t="shared" ca="1" si="1"/>
        <v>0.1957182999001236</v>
      </c>
      <c r="J8" s="1486">
        <f ca="1">H8/'收益法-车库'!F7</f>
        <v>18.026473879146405</v>
      </c>
      <c r="K8" s="1486"/>
      <c r="L8" s="1486"/>
      <c r="M8" s="1486"/>
      <c r="N8" s="1486"/>
      <c r="O8" s="1486"/>
      <c r="P8" s="1486"/>
      <c r="Q8" s="1486"/>
      <c r="R8" s="1486"/>
      <c r="S8" s="1486"/>
    </row>
    <row r="9" spans="1:22" ht="14.4">
      <c r="A9" s="2601" t="str">
        <f>'数据-取费表'!AN9</f>
        <v>收益法-库房</v>
      </c>
      <c r="B9" s="2599">
        <f ca="1">IF(F9="是",'数据-取费表'!AO9,0)</f>
        <v>4668</v>
      </c>
      <c r="C9" s="1869" t="s">
        <v>1649</v>
      </c>
      <c r="D9" s="2706"/>
      <c r="E9" s="2603">
        <f>IF(OR(A9=0,F9="否"),0,'数据-取费表'!K9+'数据-取费表'!S9)</f>
        <v>2891.34</v>
      </c>
      <c r="F9" s="1873" t="s">
        <v>1655</v>
      </c>
      <c r="G9" s="1486"/>
      <c r="H9" s="1486">
        <f t="shared" ca="1" si="0"/>
        <v>4783.5833630305406</v>
      </c>
      <c r="I9" s="1486">
        <f ca="1">H9/E9</f>
        <v>1.6544520405869045</v>
      </c>
      <c r="J9" s="1486"/>
      <c r="K9" s="1486"/>
      <c r="L9" s="1486"/>
      <c r="M9" s="1486"/>
      <c r="N9" s="1486"/>
      <c r="O9" s="1486"/>
      <c r="P9" s="1486"/>
      <c r="Q9" s="1486"/>
      <c r="R9" s="1486"/>
      <c r="S9" s="1486"/>
    </row>
    <row r="10" spans="1:22" ht="14.4">
      <c r="A10" s="2601">
        <f>'数据-取费表'!AN10</f>
        <v>0</v>
      </c>
      <c r="B10" s="2599" t="e">
        <f ca="1">IF(F10="是",'数据-取费表'!AO10,0)</f>
        <v>#REF!</v>
      </c>
      <c r="C10" s="1869" t="s">
        <v>1649</v>
      </c>
      <c r="D10" s="2706"/>
      <c r="E10" s="2603">
        <f>IF(OR(A10=0,F10="否"),0,'数据-取费表'!K10+'数据-取费表'!S10)</f>
        <v>0</v>
      </c>
      <c r="F10" s="1873" t="s">
        <v>1655</v>
      </c>
      <c r="G10" s="1486"/>
      <c r="H10" s="1486"/>
      <c r="I10" s="1486"/>
      <c r="J10" s="1486"/>
      <c r="K10" s="1486"/>
      <c r="L10" s="1486"/>
      <c r="M10" s="1486"/>
      <c r="N10" s="1486"/>
      <c r="O10" s="1486"/>
      <c r="P10" s="1486"/>
      <c r="Q10" s="1486"/>
      <c r="R10" s="1486"/>
      <c r="S10" s="1486"/>
    </row>
    <row r="11" spans="1:22" ht="14.4">
      <c r="A11" s="2601">
        <f>'数据-取费表'!AN11</f>
        <v>0</v>
      </c>
      <c r="B11" s="2599" t="e">
        <f ca="1">IF(F11="是",'数据-取费表'!AO11,0)</f>
        <v>#REF!</v>
      </c>
      <c r="C11" s="1869" t="s">
        <v>1649</v>
      </c>
      <c r="D11" s="2706"/>
      <c r="E11" s="2603">
        <f>IF(OR(A11=0,F11="否"),0,'数据-取费表'!K11+'数据-取费表'!S11)</f>
        <v>0</v>
      </c>
      <c r="F11" s="1873" t="s">
        <v>1655</v>
      </c>
      <c r="G11" s="1486"/>
      <c r="H11" s="1486"/>
      <c r="I11" s="1486"/>
      <c r="J11" s="1486"/>
      <c r="K11" s="1486"/>
      <c r="L11" s="1486"/>
      <c r="M11" s="1486"/>
      <c r="N11" s="1486"/>
      <c r="O11" s="1486"/>
      <c r="P11" s="1486"/>
      <c r="Q11" s="1486"/>
      <c r="R11" s="1486"/>
      <c r="S11" s="1486"/>
    </row>
    <row r="12" spans="1:22" ht="14.4">
      <c r="A12" s="2601">
        <f>'数据-取费表'!AN12</f>
        <v>0</v>
      </c>
      <c r="B12" s="2599" t="e">
        <f ca="1">IF(F12="是",'数据-取费表'!AO12,0)</f>
        <v>#REF!</v>
      </c>
      <c r="C12" s="1869" t="s">
        <v>1649</v>
      </c>
      <c r="D12" s="2706"/>
      <c r="E12" s="2603">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1649</v>
      </c>
      <c r="D13" s="2707"/>
      <c r="E13" s="2603">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I41" sqref="I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876</v>
      </c>
      <c r="B1" s="713"/>
      <c r="C1" s="1376" t="s">
        <v>3437</v>
      </c>
      <c r="D1" s="1359" t="s">
        <v>43</v>
      </c>
      <c r="E1" s="1360" t="s">
        <v>677</v>
      </c>
      <c r="F1" s="1059">
        <f ca="1">J53</f>
        <v>29.81</v>
      </c>
      <c r="G1" s="1375">
        <f>MATCH(C1,'数据-取费表'!A6:A16,0)+5</f>
        <v>9</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4668</v>
      </c>
      <c r="C2" s="1384" t="s">
        <v>804</v>
      </c>
      <c r="D2" s="1384"/>
      <c r="E2" s="1385"/>
      <c r="F2" s="1386"/>
      <c r="G2" s="2703"/>
      <c r="H2" s="2692"/>
      <c r="I2" s="2692"/>
      <c r="J2" s="2692"/>
      <c r="K2" s="2693"/>
      <c r="L2" s="2692"/>
      <c r="M2" s="2692"/>
    </row>
    <row r="3" spans="1:37" ht="18" customHeight="1" thickBot="1">
      <c r="A3" s="3521" t="s">
        <v>805</v>
      </c>
      <c r="B3" s="1388">
        <f ca="1">IF(ISERROR(B2*10000/F43),0,ROUND(B2*10000/F43,0))</f>
        <v>16145</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301</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301</v>
      </c>
      <c r="D6" s="155" t="s">
        <v>2106</v>
      </c>
      <c r="E6" s="302" t="s">
        <v>695</v>
      </c>
      <c r="F6" s="303">
        <f ca="1">INDIRECT("'数据-取费表'!u"&amp;$G$1)</f>
        <v>3</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2891.34</v>
      </c>
      <c r="G7" s="1381"/>
      <c r="H7" s="304"/>
      <c r="I7" s="3753"/>
      <c r="J7" s="306"/>
      <c r="K7" s="307"/>
      <c r="L7" s="302" t="s">
        <v>696</v>
      </c>
      <c r="M7" s="303">
        <f ca="1">F7</f>
        <v>2891.34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0.05</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2038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1446</v>
      </c>
      <c r="D14" s="3486" t="s">
        <v>707</v>
      </c>
      <c r="E14" s="3485"/>
      <c r="F14" s="319"/>
      <c r="G14" s="1381"/>
      <c r="H14" s="979" t="s">
        <v>397</v>
      </c>
      <c r="I14" s="302" t="s">
        <v>708</v>
      </c>
      <c r="J14" s="21">
        <f ca="1">C29</f>
        <v>2080</v>
      </c>
      <c r="K14" s="3478"/>
      <c r="L14" s="804"/>
      <c r="M14" s="805"/>
    </row>
    <row r="15" spans="1:37" s="1394" customFormat="1" ht="18" customHeight="1" thickBot="1">
      <c r="A15" s="979" t="s">
        <v>398</v>
      </c>
      <c r="B15" s="302" t="s">
        <v>709</v>
      </c>
      <c r="C15" s="21">
        <f ca="1">ROUND(C14*F15,0)</f>
        <v>72</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11</v>
      </c>
      <c r="K16" s="1084" t="s">
        <v>714</v>
      </c>
      <c r="L16" s="3488"/>
      <c r="M16" s="1069"/>
    </row>
    <row r="17" spans="1:37" s="1394" customFormat="1" ht="18" customHeight="1">
      <c r="A17" s="979" t="s">
        <v>680</v>
      </c>
      <c r="B17" s="302" t="s">
        <v>715</v>
      </c>
      <c r="C17" s="21">
        <f ca="1">ROUND(F17*(F43+INDIRECT("'数据-取费表'!S"&amp;$G$1))/10000,0)</f>
        <v>58</v>
      </c>
      <c r="D17" s="302" t="s">
        <v>716</v>
      </c>
      <c r="E17" s="302" t="s">
        <v>717</v>
      </c>
      <c r="F17" s="23">
        <f>'数据-取费表'!B35</f>
        <v>200</v>
      </c>
      <c r="G17" s="1393"/>
      <c r="H17" s="979" t="s">
        <v>397</v>
      </c>
      <c r="I17" s="302" t="s">
        <v>718</v>
      </c>
      <c r="J17" s="2313">
        <f ca="1">ROUND(IF(AND(项目基本情况!B11="自然人",项目基本情况!B10="北京市"),J6*M17/(1+'数据-取费表'!C42),J18+J19+J20),2)</f>
        <v>0.48</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22</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1598</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48</v>
      </c>
      <c r="D20" s="2425" t="s">
        <v>728</v>
      </c>
      <c r="E20" s="302" t="s">
        <v>711</v>
      </c>
      <c r="F20" s="322">
        <f>'数据-取费表'!B37</f>
        <v>0.03</v>
      </c>
      <c r="G20" s="1393"/>
      <c r="H20" s="979" t="s">
        <v>679</v>
      </c>
      <c r="I20" s="155" t="s">
        <v>729</v>
      </c>
      <c r="J20" s="22">
        <f ca="1">ROUND(M20*M21/10000,2)</f>
        <v>0.48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268.83</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10.4</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86</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-11</v>
      </c>
      <c r="K25" s="1092" t="s">
        <v>752</v>
      </c>
      <c r="L25" s="1093"/>
      <c r="M25" s="1094"/>
    </row>
    <row r="26" spans="1:37">
      <c r="A26" s="979" t="s">
        <v>396</v>
      </c>
      <c r="B26" s="302" t="s">
        <v>753</v>
      </c>
      <c r="C26" s="21">
        <f ca="1">ROUND((C19+C20)*F26,0)</f>
        <v>165</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2080</v>
      </c>
      <c r="D29" s="1089"/>
      <c r="E29" s="1087"/>
      <c r="F29" s="1090"/>
      <c r="G29" s="1393"/>
      <c r="H29" s="334" t="s">
        <v>395</v>
      </c>
      <c r="I29" s="335" t="s">
        <v>767</v>
      </c>
      <c r="J29" s="336">
        <f ca="1">ROUND(J26/(1+F40)^F41,0)</f>
        <v>0</v>
      </c>
      <c r="K29" s="337" t="s">
        <v>768</v>
      </c>
      <c r="L29" s="338"/>
      <c r="M29" s="339">
        <f ca="1">INDIRECT("'数据-取费表'!k"&amp;$G$1)</f>
        <v>2891.34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65</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50.93</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16.05</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34.4</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0.48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268.83</v>
      </c>
      <c r="G35" s="1381"/>
      <c r="H35" s="2694"/>
      <c r="I35" s="1395"/>
      <c r="J35" s="1396"/>
      <c r="K35" s="2698"/>
      <c r="L35" s="2697"/>
      <c r="M35" s="2697"/>
    </row>
    <row r="36" spans="1:18" ht="18" customHeight="1">
      <c r="A36" s="1099" t="s">
        <v>401</v>
      </c>
      <c r="B36" s="302" t="s">
        <v>737</v>
      </c>
      <c r="C36" s="21">
        <f ca="1">ROUND(C29*F36,2)</f>
        <v>10.4</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2.04</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1.51</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236</v>
      </c>
      <c r="D39" s="1092" t="s">
        <v>752</v>
      </c>
      <c r="E39" s="1093"/>
      <c r="F39" s="1094"/>
      <c r="G39" s="1381"/>
      <c r="H39" s="2697"/>
      <c r="I39" s="1395"/>
      <c r="J39" s="1396"/>
      <c r="K39" s="2701"/>
      <c r="L39" s="2697"/>
      <c r="M39" s="2697"/>
    </row>
    <row r="40" spans="1:18" ht="18" customHeight="1">
      <c r="A40" s="299" t="s">
        <v>394</v>
      </c>
      <c r="B40" s="300" t="s">
        <v>773</v>
      </c>
      <c r="C40" s="301">
        <f ca="1">ROUND(C39*(1-((1+F42)/(1+F40))^F41)/(F40-F42),0)</f>
        <v>4551</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15740</v>
      </c>
      <c r="D43" s="337" t="s">
        <v>776</v>
      </c>
      <c r="E43" s="338" t="s">
        <v>777</v>
      </c>
      <c r="F43" s="339">
        <f ca="1">INDIRECT("'数据-取费表'!k"&amp;$G$1)</f>
        <v>2891.34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8" thickBot="1">
      <c r="A46" s="1401" t="s">
        <v>808</v>
      </c>
      <c r="C46" s="1402">
        <f ca="1">C68-C40</f>
        <v>-4735</v>
      </c>
      <c r="D46" s="1403" t="str">
        <f>C2</f>
        <v>万元</v>
      </c>
      <c r="E46" s="1397"/>
      <c r="F46" s="1397"/>
      <c r="I46" s="1404" t="s">
        <v>809</v>
      </c>
      <c r="J46" s="1405"/>
      <c r="K46" s="1406"/>
      <c r="L46" s="1407">
        <f ca="1">IF(M47="住宅",0,IF(L48&gt;J51,L60,J60))</f>
        <v>117</v>
      </c>
      <c r="O46" s="1408" t="s">
        <v>810</v>
      </c>
      <c r="P46" s="1409" t="s">
        <v>811</v>
      </c>
      <c r="Q46" s="1410" t="s">
        <v>812</v>
      </c>
      <c r="R46" s="1410" t="s">
        <v>813</v>
      </c>
    </row>
    <row r="47" spans="1:18" s="1381" customFormat="1" ht="13.8"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4551</v>
      </c>
      <c r="R47" s="1417" t="s">
        <v>817</v>
      </c>
    </row>
    <row r="48" spans="1:18" s="1381" customFormat="1" ht="40.200000000000003" thickBot="1">
      <c r="A48" s="1107" t="s">
        <v>437</v>
      </c>
      <c r="B48" s="300" t="s">
        <v>691</v>
      </c>
      <c r="C48" s="3491">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117</v>
      </c>
      <c r="R48" s="1417" t="s">
        <v>821</v>
      </c>
    </row>
    <row r="49" spans="1:18" s="1381" customFormat="1" ht="13.8"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2080</v>
      </c>
      <c r="R49" s="1417" t="s">
        <v>817</v>
      </c>
    </row>
    <row r="50" spans="1:18" s="1381" customFormat="1" ht="13.8" thickBot="1">
      <c r="A50" s="973"/>
      <c r="B50" s="976"/>
      <c r="C50" s="1115"/>
      <c r="D50" s="950"/>
      <c r="E50" s="1053" t="s">
        <v>696</v>
      </c>
      <c r="F50" s="1054">
        <f ca="1">F7</f>
        <v>2891.34</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8"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1920</v>
      </c>
      <c r="M51" s="1433"/>
      <c r="O51" s="1425" t="s">
        <v>406</v>
      </c>
      <c r="P51" s="1416" t="s">
        <v>830</v>
      </c>
      <c r="Q51" s="1428">
        <f>J52</f>
        <v>7.5000000000000011E-2</v>
      </c>
      <c r="R51" s="1417"/>
    </row>
    <row r="52" spans="1:18" s="1381" customFormat="1" ht="13.8" thickBot="1">
      <c r="A52" s="974"/>
      <c r="B52" s="976"/>
      <c r="C52" s="977"/>
      <c r="D52" s="950"/>
      <c r="E52" s="978" t="s">
        <v>698</v>
      </c>
      <c r="F52" s="1051"/>
      <c r="I52" s="1434" t="s">
        <v>831</v>
      </c>
      <c r="J52" s="1435">
        <f>'数据-取费表'!J9+0.5%</f>
        <v>7.5000000000000011E-2</v>
      </c>
      <c r="K52" s="1434" t="s">
        <v>832</v>
      </c>
      <c r="L52" s="1435"/>
      <c r="O52" s="1425" t="s">
        <v>407</v>
      </c>
      <c r="P52" s="1416" t="s">
        <v>833</v>
      </c>
      <c r="Q52" s="1417">
        <f ca="1">J53</f>
        <v>29.81</v>
      </c>
      <c r="R52" s="1417" t="s">
        <v>834</v>
      </c>
    </row>
    <row r="53" spans="1:18" s="1381" customFormat="1" ht="36.6"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4668</v>
      </c>
      <c r="R53" s="1417" t="s">
        <v>409</v>
      </c>
    </row>
    <row r="54" spans="1:18" s="1381" customFormat="1" ht="24.6"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8"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37.200000000000003" thickTop="1" thickBot="1">
      <c r="A56" s="954">
        <v>2</v>
      </c>
      <c r="B56" s="955" t="s">
        <v>703</v>
      </c>
      <c r="C56" s="232">
        <f ca="1">C13</f>
        <v>2038</v>
      </c>
      <c r="D56" s="1444"/>
      <c r="E56" s="1445"/>
      <c r="F56" s="1437"/>
      <c r="I56" s="1446" t="s">
        <v>841</v>
      </c>
      <c r="J56" s="1447" t="s">
        <v>3419</v>
      </c>
      <c r="K56" s="1418" t="s">
        <v>842</v>
      </c>
      <c r="L56" s="1421" t="str">
        <f ca="1">IF(L48&lt;J51,"——",L48-J53)</f>
        <v>——</v>
      </c>
      <c r="O56" s="1415" t="s">
        <v>402</v>
      </c>
      <c r="P56" s="1416" t="s">
        <v>816</v>
      </c>
      <c r="Q56" s="1417">
        <f ca="1">C40+J29</f>
        <v>4551</v>
      </c>
      <c r="R56" s="1417" t="s">
        <v>817</v>
      </c>
    </row>
    <row r="57" spans="1:18" s="1381" customFormat="1" ht="24.6" thickBot="1">
      <c r="A57" s="1448"/>
      <c r="B57" s="947" t="s">
        <v>766</v>
      </c>
      <c r="C57" s="238">
        <f ca="1">C29</f>
        <v>2080</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6" thickBot="1">
      <c r="A58" s="315" t="s">
        <v>392</v>
      </c>
      <c r="B58" s="955" t="s">
        <v>713</v>
      </c>
      <c r="C58" s="316">
        <f ca="1">ROUND(C59+C64+C65+C66,0)</f>
        <v>12</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6"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1013</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2"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117</v>
      </c>
      <c r="K60" s="1457" t="s">
        <v>853</v>
      </c>
      <c r="L60" s="1456">
        <f ca="1">IF(OR(M47="住宅",L48&lt;J51),0,ROUND(L57*(L58/L59-1),0))</f>
        <v>0</v>
      </c>
      <c r="O60" s="1425" t="s">
        <v>406</v>
      </c>
      <c r="P60" s="1416" t="s">
        <v>854</v>
      </c>
      <c r="Q60" s="1417" t="e">
        <f ca="1">L58</f>
        <v>#DIV/0!</v>
      </c>
      <c r="R60" s="1417" t="s">
        <v>855</v>
      </c>
    </row>
    <row r="61" spans="1:18" s="1381" customFormat="1" ht="13.8"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8" thickBot="1">
      <c r="A62" s="979" t="s">
        <v>783</v>
      </c>
      <c r="B62" s="946" t="s">
        <v>729</v>
      </c>
      <c r="C62" s="22">
        <f ca="1">IF(项目基本情况!B11="自然人","——",ROUND(F62*F63/10000,2))</f>
        <v>0.48</v>
      </c>
      <c r="D62" s="962" t="s">
        <v>730</v>
      </c>
      <c r="E62" s="947" t="s">
        <v>731</v>
      </c>
      <c r="F62" s="325">
        <f t="shared" si="0"/>
        <v>18</v>
      </c>
      <c r="I62" s="1459" t="s">
        <v>857</v>
      </c>
      <c r="J62" s="1460" t="s">
        <v>858</v>
      </c>
      <c r="K62" s="1460" t="s">
        <v>859</v>
      </c>
      <c r="L62" s="1460" t="s">
        <v>860</v>
      </c>
      <c r="M62" s="1461" t="s">
        <v>861</v>
      </c>
      <c r="O62" s="1415" t="s">
        <v>408</v>
      </c>
      <c r="P62" s="1416" t="s">
        <v>837</v>
      </c>
      <c r="Q62" s="1417">
        <f ca="1">Q56+Q57</f>
        <v>4551</v>
      </c>
      <c r="R62" s="1417" t="s">
        <v>409</v>
      </c>
    </row>
    <row r="63" spans="1:18" s="1381" customFormat="1" ht="13.8" thickBot="1">
      <c r="A63" s="326"/>
      <c r="B63" s="953"/>
      <c r="C63" s="26"/>
      <c r="D63" s="963"/>
      <c r="E63" s="947" t="s">
        <v>735</v>
      </c>
      <c r="F63" s="303">
        <f t="shared" ca="1" si="0"/>
        <v>268.83</v>
      </c>
      <c r="I63" s="1459" t="s">
        <v>863</v>
      </c>
      <c r="J63" s="1460">
        <v>70</v>
      </c>
      <c r="K63" s="1460">
        <v>50</v>
      </c>
      <c r="L63" s="1460">
        <v>80</v>
      </c>
      <c r="M63" s="1462">
        <v>0.02</v>
      </c>
      <c r="O63" s="1400" t="s">
        <v>864</v>
      </c>
      <c r="P63" s="1378"/>
      <c r="Q63" s="1378"/>
      <c r="R63" s="1378"/>
    </row>
    <row r="64" spans="1:18" s="1381" customFormat="1" ht="13.8" thickBot="1">
      <c r="A64" s="979" t="s">
        <v>401</v>
      </c>
      <c r="B64" s="947" t="s">
        <v>789</v>
      </c>
      <c r="C64" s="21">
        <f ca="1">ROUND(C57*F64,2)</f>
        <v>10.4</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8" thickBot="1">
      <c r="A65" s="979" t="s">
        <v>791</v>
      </c>
      <c r="B65" s="947" t="s">
        <v>741</v>
      </c>
      <c r="C65" s="21">
        <f ca="1">ROUND(C56*F65,2)</f>
        <v>2.04</v>
      </c>
      <c r="D65" s="961" t="s">
        <v>742</v>
      </c>
      <c r="E65" s="947" t="s">
        <v>743</v>
      </c>
      <c r="F65" s="330">
        <f t="shared" ca="1" si="0"/>
        <v>1E-3</v>
      </c>
      <c r="I65" s="1459" t="s">
        <v>866</v>
      </c>
      <c r="J65" s="1460">
        <v>40</v>
      </c>
      <c r="K65" s="1460">
        <v>30</v>
      </c>
      <c r="L65" s="1460">
        <v>50</v>
      </c>
      <c r="M65" s="1462">
        <v>0.02</v>
      </c>
      <c r="O65" s="1415" t="s">
        <v>402</v>
      </c>
      <c r="P65" s="1416" t="s">
        <v>867</v>
      </c>
      <c r="Q65" s="1417">
        <f ca="1">C40+J29</f>
        <v>4551</v>
      </c>
      <c r="R65" s="1417" t="s">
        <v>817</v>
      </c>
    </row>
    <row r="66" spans="1:18" s="1381" customFormat="1" ht="16.2"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24.6" thickBot="1">
      <c r="A67" s="954" t="s">
        <v>393</v>
      </c>
      <c r="B67" s="964" t="s">
        <v>751</v>
      </c>
      <c r="C67" s="316">
        <f ca="1">C48-C58</f>
        <v>-12</v>
      </c>
      <c r="D67" s="960" t="s">
        <v>752</v>
      </c>
      <c r="E67" s="965"/>
      <c r="F67" s="966"/>
      <c r="O67" s="1425" t="s">
        <v>404</v>
      </c>
      <c r="P67" s="1416" t="s">
        <v>849</v>
      </c>
      <c r="Q67" s="1463">
        <f ca="1">L51</f>
        <v>1920</v>
      </c>
      <c r="R67" s="1417" t="s">
        <v>869</v>
      </c>
    </row>
    <row r="68" spans="1:18" s="1381" customFormat="1" ht="16.2" thickBot="1">
      <c r="A68" s="944" t="s">
        <v>394</v>
      </c>
      <c r="B68" s="945" t="s">
        <v>773</v>
      </c>
      <c r="C68" s="301">
        <f ca="1">ROUND(C67*(1-((1+F70)/(1+F68))^F69)/(F68-F70),0)</f>
        <v>-184</v>
      </c>
      <c r="D68" s="962" t="s">
        <v>757</v>
      </c>
      <c r="E68" s="947" t="s">
        <v>758</v>
      </c>
      <c r="F68" s="312">
        <f ca="1">F40</f>
        <v>0.05</v>
      </c>
      <c r="O68" s="1425" t="s">
        <v>405</v>
      </c>
      <c r="P68" s="1464" t="s">
        <v>870</v>
      </c>
      <c r="Q68" s="1417">
        <f ca="1">ROUND(Q69-Q70*Q71,0)</f>
        <v>93</v>
      </c>
      <c r="R68" s="1417" t="s">
        <v>413</v>
      </c>
    </row>
    <row r="69" spans="1:18" s="1381" customFormat="1" ht="13.8" thickBot="1">
      <c r="A69" s="948"/>
      <c r="B69" s="949"/>
      <c r="C69" s="306"/>
      <c r="D69" s="967" t="s">
        <v>761</v>
      </c>
      <c r="E69" s="947" t="s">
        <v>762</v>
      </c>
      <c r="F69" s="333">
        <f ca="1">F41</f>
        <v>29.81</v>
      </c>
      <c r="O69" s="1425" t="s">
        <v>410</v>
      </c>
      <c r="P69" s="1464" t="s">
        <v>871</v>
      </c>
      <c r="Q69" s="1417">
        <f ca="1">C39</f>
        <v>236</v>
      </c>
      <c r="R69" s="1417" t="s">
        <v>817</v>
      </c>
    </row>
    <row r="70" spans="1:18" s="1381" customFormat="1" ht="13.8" thickBot="1">
      <c r="A70" s="951"/>
      <c r="B70" s="952"/>
      <c r="C70" s="310"/>
      <c r="D70" s="963"/>
      <c r="E70" s="947" t="s">
        <v>765</v>
      </c>
      <c r="F70" s="1051"/>
      <c r="O70" s="1425" t="s">
        <v>411</v>
      </c>
      <c r="P70" s="1464" t="s">
        <v>872</v>
      </c>
      <c r="Q70" s="1417">
        <f ca="1">C13</f>
        <v>2038</v>
      </c>
      <c r="R70" s="1417" t="s">
        <v>817</v>
      </c>
    </row>
    <row r="71" spans="1:18" s="1381" customFormat="1" ht="13.8" thickBot="1">
      <c r="A71" s="968" t="s">
        <v>395</v>
      </c>
      <c r="B71" s="969" t="s">
        <v>775</v>
      </c>
      <c r="C71" s="336">
        <f ca="1">ROUND(C68*10000/F71,0)</f>
        <v>-636</v>
      </c>
      <c r="D71" s="970" t="s">
        <v>776</v>
      </c>
      <c r="E71" s="971" t="s">
        <v>777</v>
      </c>
      <c r="F71" s="339">
        <f ca="1">F43</f>
        <v>2891.34</v>
      </c>
      <c r="O71" s="1425" t="s">
        <v>412</v>
      </c>
      <c r="P71" s="1464" t="s">
        <v>873</v>
      </c>
      <c r="Q71" s="1428">
        <f ca="1">C76</f>
        <v>7.0000000000000007E-2</v>
      </c>
      <c r="R71" s="1417"/>
    </row>
    <row r="72" spans="1:18" s="1381" customFormat="1" ht="13.8" thickBot="1">
      <c r="B72" s="726"/>
      <c r="C72" s="726"/>
      <c r="O72" s="1425" t="s">
        <v>406</v>
      </c>
      <c r="P72" s="1416" t="s">
        <v>851</v>
      </c>
      <c r="Q72" s="1428">
        <f>L52</f>
        <v>0</v>
      </c>
      <c r="R72" s="1417"/>
    </row>
    <row r="73" spans="1:18" ht="16.2" thickBot="1">
      <c r="A73" s="1381"/>
      <c r="B73" s="726"/>
      <c r="C73" s="726"/>
      <c r="D73" s="1381"/>
      <c r="E73" s="1381"/>
      <c r="F73" s="1381"/>
      <c r="O73" s="1425" t="s">
        <v>407</v>
      </c>
      <c r="P73" s="1416" t="s">
        <v>854</v>
      </c>
      <c r="Q73" s="1417" t="e">
        <f ca="1">L58</f>
        <v>#DIV/0!</v>
      </c>
      <c r="R73" s="1417" t="s">
        <v>855</v>
      </c>
    </row>
    <row r="74" spans="1:18" ht="13.8"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8" thickBot="1">
      <c r="A75" s="1381"/>
      <c r="B75" s="340" t="s">
        <v>794</v>
      </c>
      <c r="C75" s="341">
        <f ca="1">ROUND(C13*C76,0)</f>
        <v>143</v>
      </c>
      <c r="D75" s="1381"/>
      <c r="E75" s="1381"/>
      <c r="F75" s="1381"/>
      <c r="K75" s="1399"/>
      <c r="L75" s="1381"/>
      <c r="O75" s="1415" t="s">
        <v>408</v>
      </c>
      <c r="P75" s="1416" t="s">
        <v>837</v>
      </c>
      <c r="Q75" s="1417">
        <f ca="1">Q65+Q66</f>
        <v>4551</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0.39400000000000002</v>
      </c>
    </row>
    <row r="80" spans="1:18">
      <c r="B80" s="340" t="s">
        <v>799</v>
      </c>
      <c r="C80" s="274">
        <f ca="1">ROUND(C75/C39,3)</f>
        <v>0.60599999999999998</v>
      </c>
    </row>
    <row r="81" spans="2:3">
      <c r="B81" s="270" t="s">
        <v>800</v>
      </c>
      <c r="C81" s="238"/>
    </row>
    <row r="82" spans="2:3">
      <c r="B82" s="273" t="s">
        <v>801</v>
      </c>
      <c r="C82" s="275">
        <f ca="1">1-C83</f>
        <v>0.55200000000000005</v>
      </c>
    </row>
    <row r="83" spans="2:3">
      <c r="B83" s="273" t="s">
        <v>802</v>
      </c>
      <c r="C83" s="274">
        <f ca="1">ROUND(C13/C40,3)</f>
        <v>0.44800000000000001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7" priority="4">
      <formula>$L$48&gt;$J$51</formula>
    </cfRule>
  </conditionalFormatting>
  <conditionalFormatting sqref="I55 I60">
    <cfRule type="expression" dxfId="186" priority="5">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 zoomScale="70" zoomScaleNormal="70" zoomScaleSheetLayoutView="70" workbookViewId="0">
      <selection activeCell="K42" sqref="K4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876</v>
      </c>
      <c r="B1" s="713"/>
      <c r="C1" s="1376" t="s">
        <v>3334</v>
      </c>
      <c r="D1" s="1359" t="s">
        <v>43</v>
      </c>
      <c r="E1" s="1360" t="s">
        <v>677</v>
      </c>
      <c r="F1" s="1059">
        <f ca="1">J53</f>
        <v>29.81</v>
      </c>
      <c r="G1" s="1375">
        <f>MATCH(C1,'数据-取费表'!A6:A16,0)+5</f>
        <v>8</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1935</v>
      </c>
      <c r="C2" s="1384" t="s">
        <v>804</v>
      </c>
      <c r="D2" s="1384"/>
      <c r="E2" s="1385"/>
      <c r="F2" s="1386"/>
      <c r="G2" s="2703"/>
      <c r="H2" s="2692"/>
      <c r="I2" s="2692"/>
      <c r="J2" s="2692"/>
      <c r="K2" s="2693"/>
      <c r="L2" s="2692"/>
      <c r="M2" s="2692"/>
    </row>
    <row r="3" spans="1:37" ht="18" customHeight="1" thickBot="1">
      <c r="A3" s="3521" t="s">
        <v>805</v>
      </c>
      <c r="B3" s="1388">
        <f ca="1">IF(ISERROR(B2*10000/F43),0,ROUND(B2*10000/F43,0))</f>
        <v>1910</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150</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150</v>
      </c>
      <c r="D6" s="155" t="s">
        <v>2106</v>
      </c>
      <c r="E6" s="302" t="s">
        <v>695</v>
      </c>
      <c r="F6" s="303">
        <f ca="1">INDIRECT("'数据-取费表'!u"&amp;$G$1)</f>
        <v>1200</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110</v>
      </c>
      <c r="G7" s="1381"/>
      <c r="H7" s="304"/>
      <c r="I7" s="3753"/>
      <c r="J7" s="306"/>
      <c r="K7" s="307"/>
      <c r="L7" s="302" t="s">
        <v>696</v>
      </c>
      <c r="M7" s="303">
        <f ca="1">F7</f>
        <v>110</v>
      </c>
    </row>
    <row r="8" spans="1:37" ht="18" customHeight="1">
      <c r="A8" s="304"/>
      <c r="B8" s="3753"/>
      <c r="C8" s="306"/>
      <c r="D8" s="307"/>
      <c r="E8" s="302" t="s">
        <v>697</v>
      </c>
      <c r="F8" s="303">
        <f ca="1">INDIRECT("'数据-取费表'!ai"&amp;$G$1)</f>
        <v>12</v>
      </c>
      <c r="G8" s="1381"/>
      <c r="H8" s="304"/>
      <c r="I8" s="3753"/>
      <c r="J8" s="306"/>
      <c r="K8" s="307"/>
      <c r="L8" s="302" t="s">
        <v>697</v>
      </c>
      <c r="M8" s="303">
        <f ca="1">INDIRECT("'数据-取费表'!ai"&amp;$G$1)</f>
        <v>12</v>
      </c>
    </row>
    <row r="9" spans="1:37" ht="18" customHeight="1">
      <c r="A9" s="304"/>
      <c r="B9" s="3754"/>
      <c r="C9" s="306"/>
      <c r="D9" s="307"/>
      <c r="E9" s="302" t="s">
        <v>698</v>
      </c>
      <c r="F9" s="312">
        <f ca="1">INDIRECT("'数据-取费表'!w"&amp;$G$1)</f>
        <v>0.05</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t="s">
        <v>3464</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7138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5066</v>
      </c>
      <c r="D14" s="3486" t="s">
        <v>707</v>
      </c>
      <c r="E14" s="3485"/>
      <c r="F14" s="319"/>
      <c r="G14" s="1381"/>
      <c r="H14" s="979" t="s">
        <v>397</v>
      </c>
      <c r="I14" s="302" t="s">
        <v>708</v>
      </c>
      <c r="J14" s="21">
        <f ca="1">C29</f>
        <v>7284</v>
      </c>
      <c r="K14" s="3478"/>
      <c r="L14" s="804"/>
      <c r="M14" s="805"/>
    </row>
    <row r="15" spans="1:37" s="1394" customFormat="1" ht="18" customHeight="1" thickBot="1">
      <c r="A15" s="979" t="s">
        <v>398</v>
      </c>
      <c r="B15" s="302" t="s">
        <v>709</v>
      </c>
      <c r="C15" s="21">
        <f ca="1">ROUND(C14*F15,0)</f>
        <v>253</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38</v>
      </c>
      <c r="K16" s="1084" t="s">
        <v>714</v>
      </c>
      <c r="L16" s="3488"/>
      <c r="M16" s="1069"/>
    </row>
    <row r="17" spans="1:37" s="1394" customFormat="1" ht="18" customHeight="1">
      <c r="A17" s="979" t="s">
        <v>680</v>
      </c>
      <c r="B17" s="302" t="s">
        <v>715</v>
      </c>
      <c r="C17" s="21">
        <f ca="1">ROUND(F17*(F43+INDIRECT("'数据-取费表'!S"&amp;$G$1))/10000,0)</f>
        <v>203</v>
      </c>
      <c r="D17" s="302" t="s">
        <v>716</v>
      </c>
      <c r="E17" s="302" t="s">
        <v>717</v>
      </c>
      <c r="F17" s="23">
        <f>'数据-取费表'!B35</f>
        <v>200</v>
      </c>
      <c r="G17" s="1393"/>
      <c r="H17" s="979" t="s">
        <v>397</v>
      </c>
      <c r="I17" s="302" t="s">
        <v>718</v>
      </c>
      <c r="J17" s="2313">
        <f ca="1">ROUND(IF(AND(项目基本情况!B11="自然人",项目基本情况!B10="北京市"),J6*M17/(1+'数据-取费表'!C42),J18+J19+J20),2)</f>
        <v>1.7</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76</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5598</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168</v>
      </c>
      <c r="D20" s="2425" t="s">
        <v>728</v>
      </c>
      <c r="E20" s="302" t="s">
        <v>711</v>
      </c>
      <c r="F20" s="322">
        <f>'数据-取费表'!B37</f>
        <v>0.03</v>
      </c>
      <c r="G20" s="1393"/>
      <c r="H20" s="979" t="s">
        <v>679</v>
      </c>
      <c r="I20" s="155" t="s">
        <v>729</v>
      </c>
      <c r="J20" s="22">
        <f ca="1">ROUND(M20*M21/10000,2)</f>
        <v>1.7</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941.99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36.42</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301</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-38</v>
      </c>
      <c r="K25" s="1092" t="s">
        <v>752</v>
      </c>
      <c r="L25" s="1093"/>
      <c r="M25" s="1094"/>
    </row>
    <row r="26" spans="1:37">
      <c r="A26" s="979" t="s">
        <v>396</v>
      </c>
      <c r="B26" s="302" t="s">
        <v>753</v>
      </c>
      <c r="C26" s="21">
        <f ca="1">ROUND((C19+C20)*F26,0)</f>
        <v>577</v>
      </c>
      <c r="D26" s="2425" t="s">
        <v>754</v>
      </c>
      <c r="E26" s="313" t="s">
        <v>755</v>
      </c>
      <c r="F26" s="312">
        <f ca="1">INDIRECT("'数据-取费表'!q"&amp;$G$1)</f>
        <v>0.1</v>
      </c>
      <c r="G26" s="1381"/>
      <c r="H26" s="299" t="s">
        <v>394</v>
      </c>
      <c r="I26" s="300" t="s">
        <v>756</v>
      </c>
      <c r="J26" s="301">
        <f ca="1">IF(J5&lt;&gt;0,ROUND(J25*(1-((1+M28)/(1+M26))^M27)/(M26-M28),0),0)</f>
        <v>0</v>
      </c>
      <c r="K26" s="324" t="s">
        <v>757</v>
      </c>
      <c r="L26" s="302" t="s">
        <v>758</v>
      </c>
      <c r="M26" s="312">
        <f ca="1">INDIRECT("'数据-取费表'!I"&amp;$G$1)</f>
        <v>0.05</v>
      </c>
    </row>
    <row r="27" spans="1:37" ht="18" customHeight="1">
      <c r="A27" s="979" t="s">
        <v>398</v>
      </c>
      <c r="B27" s="302" t="s">
        <v>759</v>
      </c>
      <c r="C27" s="21">
        <f ca="1">ROUND(F21*F26,4)</f>
        <v>3.0000000000000001E-3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7284</v>
      </c>
      <c r="D29" s="1089"/>
      <c r="E29" s="1087"/>
      <c r="F29" s="1090"/>
      <c r="G29" s="1393"/>
      <c r="H29" s="334" t="s">
        <v>395</v>
      </c>
      <c r="I29" s="335" t="s">
        <v>767</v>
      </c>
      <c r="J29" s="336">
        <f ca="1">ROUND(J26/(1+F40)^F41,0)</f>
        <v>0</v>
      </c>
      <c r="K29" s="337" t="s">
        <v>768</v>
      </c>
      <c r="L29" s="338"/>
      <c r="M29" s="339">
        <f ca="1">INDIRECT("'数据-取费表'!k"&amp;$G$1)</f>
        <v>10131.459999999992</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71</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26.84</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8</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17.14</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1.7</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941.99</v>
      </c>
      <c r="G35" s="1381"/>
      <c r="H35" s="2694"/>
      <c r="I35" s="1395"/>
      <c r="J35" s="1396"/>
      <c r="K35" s="2698"/>
      <c r="L35" s="2697"/>
      <c r="M35" s="2697"/>
    </row>
    <row r="36" spans="1:18" ht="18" customHeight="1">
      <c r="A36" s="1099" t="s">
        <v>401</v>
      </c>
      <c r="B36" s="302" t="s">
        <v>737</v>
      </c>
      <c r="C36" s="21">
        <f ca="1">ROUND(C29*F36,2)</f>
        <v>36.42</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7.14</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0.75</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79</v>
      </c>
      <c r="D39" s="1092" t="s">
        <v>752</v>
      </c>
      <c r="E39" s="1093"/>
      <c r="F39" s="1094"/>
      <c r="G39" s="1381"/>
      <c r="H39" s="2697"/>
      <c r="I39" s="1395"/>
      <c r="J39" s="1396"/>
      <c r="K39" s="2701"/>
      <c r="L39" s="2697"/>
      <c r="M39" s="2697"/>
    </row>
    <row r="40" spans="1:18" ht="18" customHeight="1">
      <c r="A40" s="299" t="s">
        <v>394</v>
      </c>
      <c r="B40" s="300" t="s">
        <v>773</v>
      </c>
      <c r="C40" s="301">
        <f ca="1">ROUND(C39*(1-((1+F42)/(1+F40))^F41)/(F40-F42),0)</f>
        <v>1524</v>
      </c>
      <c r="D40" s="324" t="s">
        <v>757</v>
      </c>
      <c r="E40" s="302" t="s">
        <v>758</v>
      </c>
      <c r="F40" s="312">
        <f ca="1">INDIRECT("'数据-取费表'!I"&amp;$G$1)</f>
        <v>0.05</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c r="J41" s="1396"/>
      <c r="K41" s="2541"/>
      <c r="L41" s="1188"/>
      <c r="M41" s="1188"/>
    </row>
    <row r="42" spans="1:18" ht="18" customHeight="1">
      <c r="A42" s="308"/>
      <c r="B42" s="309"/>
      <c r="C42" s="310"/>
      <c r="D42" s="327"/>
      <c r="E42" s="302" t="s">
        <v>765</v>
      </c>
      <c r="F42" s="312">
        <f ca="1">INDIRECT("'数据-取费表'!v"&amp;$G$1)</f>
        <v>0.02</v>
      </c>
      <c r="G42" s="1381"/>
      <c r="H42" s="1188"/>
      <c r="I42" s="1395"/>
      <c r="J42" s="1396"/>
      <c r="K42" s="2541"/>
      <c r="L42" s="1188"/>
      <c r="M42" s="1188"/>
    </row>
    <row r="43" spans="1:18" ht="18" customHeight="1" thickBot="1">
      <c r="A43" s="334" t="s">
        <v>395</v>
      </c>
      <c r="B43" s="335" t="s">
        <v>775</v>
      </c>
      <c r="C43" s="336">
        <f ca="1">ROUND(C40*10000/F43,0)</f>
        <v>1504</v>
      </c>
      <c r="D43" s="337" t="s">
        <v>776</v>
      </c>
      <c r="E43" s="338" t="s">
        <v>777</v>
      </c>
      <c r="F43" s="339">
        <f ca="1">INDIRECT("'数据-取费表'!k"&amp;$G$1)</f>
        <v>10131.459999999992</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8" thickBot="1">
      <c r="A46" s="1401" t="s">
        <v>808</v>
      </c>
      <c r="C46" s="1402">
        <f ca="1">C68-C40</f>
        <v>-2229</v>
      </c>
      <c r="D46" s="1403" t="str">
        <f>C2</f>
        <v>万元</v>
      </c>
      <c r="E46" s="1397"/>
      <c r="F46" s="1397"/>
      <c r="I46" s="1404" t="s">
        <v>809</v>
      </c>
      <c r="J46" s="1405"/>
      <c r="K46" s="1406"/>
      <c r="L46" s="1407">
        <f ca="1">IF(M47="住宅",0,IF(L48&gt;J51,L60,J60))</f>
        <v>411</v>
      </c>
      <c r="O46" s="1408" t="s">
        <v>810</v>
      </c>
      <c r="P46" s="1409" t="s">
        <v>811</v>
      </c>
      <c r="Q46" s="1410" t="s">
        <v>812</v>
      </c>
      <c r="R46" s="1410" t="s">
        <v>813</v>
      </c>
    </row>
    <row r="47" spans="1:18" s="1381" customFormat="1" ht="13.8"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1524</v>
      </c>
      <c r="R47" s="1417" t="s">
        <v>817</v>
      </c>
    </row>
    <row r="48" spans="1:18" s="1381" customFormat="1" ht="40.200000000000003" thickBot="1">
      <c r="A48" s="1107" t="s">
        <v>437</v>
      </c>
      <c r="B48" s="300" t="s">
        <v>691</v>
      </c>
      <c r="C48" s="3491">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411</v>
      </c>
      <c r="R48" s="1417" t="s">
        <v>821</v>
      </c>
    </row>
    <row r="49" spans="1:18" s="1381" customFormat="1" ht="13.8"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7284</v>
      </c>
      <c r="R49" s="1417" t="s">
        <v>817</v>
      </c>
    </row>
    <row r="50" spans="1:18" s="1381" customFormat="1" ht="13.8" thickBot="1">
      <c r="A50" s="973"/>
      <c r="B50" s="976"/>
      <c r="C50" s="1115"/>
      <c r="D50" s="950"/>
      <c r="E50" s="1053" t="s">
        <v>696</v>
      </c>
      <c r="F50" s="1054">
        <f ca="1">F7</f>
        <v>110</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8" thickBot="1">
      <c r="A51" s="974"/>
      <c r="B51" s="976"/>
      <c r="C51" s="977"/>
      <c r="D51" s="950"/>
      <c r="E51" s="978" t="s">
        <v>697</v>
      </c>
      <c r="F51" s="303">
        <f ca="1">F8</f>
        <v>12</v>
      </c>
      <c r="I51" s="1429" t="s">
        <v>828</v>
      </c>
      <c r="J51" s="1430">
        <f>IF(J49="",J50,J49+J50-YEAR('数据-取费表'!B2))</f>
        <v>59</v>
      </c>
      <c r="K51" s="1431" t="s">
        <v>829</v>
      </c>
      <c r="L51" s="1432">
        <f ca="1">ROUND(-PV(INDIRECT("'数据-取费表'!h"&amp;$G$1),J51,(C39-C13*C76),0),0)</f>
        <v>-8652</v>
      </c>
      <c r="M51" s="1433"/>
      <c r="O51" s="1425" t="s">
        <v>406</v>
      </c>
      <c r="P51" s="1416" t="s">
        <v>830</v>
      </c>
      <c r="Q51" s="1428">
        <f>J52</f>
        <v>7.5000000000000011E-2</v>
      </c>
      <c r="R51" s="1417"/>
    </row>
    <row r="52" spans="1:18" s="1381" customFormat="1" ht="13.8" thickBot="1">
      <c r="A52" s="974"/>
      <c r="B52" s="976"/>
      <c r="C52" s="977"/>
      <c r="D52" s="950"/>
      <c r="E52" s="978" t="s">
        <v>698</v>
      </c>
      <c r="F52" s="1051"/>
      <c r="I52" s="1434" t="s">
        <v>831</v>
      </c>
      <c r="J52" s="1435">
        <f>'数据-取费表'!J8+0.5%</f>
        <v>7.5000000000000011E-2</v>
      </c>
      <c r="K52" s="1434" t="s">
        <v>832</v>
      </c>
      <c r="L52" s="1435"/>
      <c r="O52" s="1425" t="s">
        <v>407</v>
      </c>
      <c r="P52" s="1416" t="s">
        <v>833</v>
      </c>
      <c r="Q52" s="1417">
        <f ca="1">J53</f>
        <v>29.81</v>
      </c>
      <c r="R52" s="1417" t="s">
        <v>834</v>
      </c>
    </row>
    <row r="53" spans="1:18" s="1381" customFormat="1" ht="36.6"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1935</v>
      </c>
      <c r="R53" s="1417" t="s">
        <v>409</v>
      </c>
    </row>
    <row r="54" spans="1:18" s="1381" customFormat="1" ht="24.6"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8" thickBot="1">
      <c r="A55" s="1080" t="s">
        <v>436</v>
      </c>
      <c r="B55" s="1366" t="s">
        <v>702</v>
      </c>
      <c r="C55" s="1081"/>
      <c r="D55" s="1363"/>
      <c r="E55" s="3480"/>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37.200000000000003" thickTop="1" thickBot="1">
      <c r="A56" s="954">
        <v>2</v>
      </c>
      <c r="B56" s="955" t="s">
        <v>703</v>
      </c>
      <c r="C56" s="232">
        <f ca="1">C13</f>
        <v>7138</v>
      </c>
      <c r="D56" s="1444"/>
      <c r="E56" s="1445"/>
      <c r="F56" s="1437"/>
      <c r="I56" s="1446" t="s">
        <v>841</v>
      </c>
      <c r="J56" s="1447" t="s">
        <v>3419</v>
      </c>
      <c r="K56" s="1418" t="s">
        <v>842</v>
      </c>
      <c r="L56" s="1421" t="str">
        <f ca="1">IF(L48&lt;J51,"——",L48-J53)</f>
        <v>——</v>
      </c>
      <c r="O56" s="1415" t="s">
        <v>402</v>
      </c>
      <c r="P56" s="1416" t="s">
        <v>816</v>
      </c>
      <c r="Q56" s="1417">
        <f ca="1">C40+J29</f>
        <v>1524</v>
      </c>
      <c r="R56" s="1417" t="s">
        <v>817</v>
      </c>
    </row>
    <row r="57" spans="1:18" s="1381" customFormat="1" ht="24.6" thickBot="1">
      <c r="A57" s="1448"/>
      <c r="B57" s="947" t="s">
        <v>766</v>
      </c>
      <c r="C57" s="238">
        <f ca="1">C29</f>
        <v>7284</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6" thickBot="1">
      <c r="A58" s="315" t="s">
        <v>392</v>
      </c>
      <c r="B58" s="955" t="s">
        <v>713</v>
      </c>
      <c r="C58" s="316">
        <f ca="1">ROUND(C59+C64+C65+C66,0)</f>
        <v>46</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6" thickBot="1">
      <c r="A59" s="979" t="s">
        <v>397</v>
      </c>
      <c r="B59" s="947" t="s">
        <v>718</v>
      </c>
      <c r="C59" s="2313">
        <f ca="1">ROUND(IF(AND(项目基本情况!B11="自然人",项目基本情况!B10="北京市"),C49*F59/(1+'数据-取费表'!C42),C60+C61+C62),0)</f>
        <v>2</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3547</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2"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411</v>
      </c>
      <c r="K60" s="1457" t="s">
        <v>853</v>
      </c>
      <c r="L60" s="1456">
        <f ca="1">IF(OR(M47="住宅",L48&lt;J51),0,ROUND(L57*(L58/L59-1),0))</f>
        <v>0</v>
      </c>
      <c r="O60" s="1425" t="s">
        <v>406</v>
      </c>
      <c r="P60" s="1416" t="s">
        <v>854</v>
      </c>
      <c r="Q60" s="1417" t="e">
        <f ca="1">L58</f>
        <v>#DIV/0!</v>
      </c>
      <c r="R60" s="1417" t="s">
        <v>855</v>
      </c>
    </row>
    <row r="61" spans="1:18" s="1381" customFormat="1" ht="13.8"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8" thickBot="1">
      <c r="A62" s="979" t="s">
        <v>783</v>
      </c>
      <c r="B62" s="946" t="s">
        <v>729</v>
      </c>
      <c r="C62" s="22">
        <f ca="1">IF(项目基本情况!B11="自然人","——",ROUND(F62*F63/10000,2))</f>
        <v>1.7</v>
      </c>
      <c r="D62" s="962" t="s">
        <v>730</v>
      </c>
      <c r="E62" s="947" t="s">
        <v>731</v>
      </c>
      <c r="F62" s="325">
        <f t="shared" si="0"/>
        <v>18</v>
      </c>
      <c r="I62" s="1459" t="s">
        <v>857</v>
      </c>
      <c r="J62" s="1460" t="s">
        <v>858</v>
      </c>
      <c r="K62" s="1460" t="s">
        <v>859</v>
      </c>
      <c r="L62" s="1460" t="s">
        <v>860</v>
      </c>
      <c r="M62" s="1461" t="s">
        <v>861</v>
      </c>
      <c r="O62" s="1415" t="s">
        <v>408</v>
      </c>
      <c r="P62" s="1416" t="s">
        <v>837</v>
      </c>
      <c r="Q62" s="1417">
        <f ca="1">Q56+Q57</f>
        <v>1524</v>
      </c>
      <c r="R62" s="1417" t="s">
        <v>409</v>
      </c>
    </row>
    <row r="63" spans="1:18" s="1381" customFormat="1" ht="13.8" thickBot="1">
      <c r="A63" s="326"/>
      <c r="B63" s="953"/>
      <c r="C63" s="26"/>
      <c r="D63" s="963"/>
      <c r="E63" s="947" t="s">
        <v>735</v>
      </c>
      <c r="F63" s="303">
        <f t="shared" ca="1" si="0"/>
        <v>941.99</v>
      </c>
      <c r="I63" s="1459" t="s">
        <v>863</v>
      </c>
      <c r="J63" s="1460">
        <v>70</v>
      </c>
      <c r="K63" s="1460">
        <v>50</v>
      </c>
      <c r="L63" s="1460">
        <v>80</v>
      </c>
      <c r="M63" s="1462">
        <v>0.02</v>
      </c>
      <c r="O63" s="1400" t="s">
        <v>864</v>
      </c>
      <c r="P63" s="1378"/>
      <c r="Q63" s="1378"/>
      <c r="R63" s="1378"/>
    </row>
    <row r="64" spans="1:18" s="1381" customFormat="1" ht="13.8" thickBot="1">
      <c r="A64" s="979" t="s">
        <v>401</v>
      </c>
      <c r="B64" s="947" t="s">
        <v>789</v>
      </c>
      <c r="C64" s="21">
        <f ca="1">ROUND(C57*F64,2)</f>
        <v>36.42</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8" thickBot="1">
      <c r="A65" s="979" t="s">
        <v>791</v>
      </c>
      <c r="B65" s="947" t="s">
        <v>741</v>
      </c>
      <c r="C65" s="21">
        <f ca="1">ROUND(C56*F65,2)</f>
        <v>7.14</v>
      </c>
      <c r="D65" s="961" t="s">
        <v>742</v>
      </c>
      <c r="E65" s="947" t="s">
        <v>743</v>
      </c>
      <c r="F65" s="330">
        <f t="shared" ca="1" si="0"/>
        <v>1E-3</v>
      </c>
      <c r="I65" s="1459" t="s">
        <v>866</v>
      </c>
      <c r="J65" s="1460">
        <v>40</v>
      </c>
      <c r="K65" s="1460">
        <v>30</v>
      </c>
      <c r="L65" s="1460">
        <v>50</v>
      </c>
      <c r="M65" s="1462">
        <v>0.02</v>
      </c>
      <c r="O65" s="1415" t="s">
        <v>402</v>
      </c>
      <c r="P65" s="1416" t="s">
        <v>867</v>
      </c>
      <c r="Q65" s="1417">
        <f ca="1">C40+J29</f>
        <v>1524</v>
      </c>
      <c r="R65" s="1417" t="s">
        <v>817</v>
      </c>
    </row>
    <row r="66" spans="1:18" s="1381" customFormat="1" ht="16.2"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24.6" thickBot="1">
      <c r="A67" s="954" t="s">
        <v>393</v>
      </c>
      <c r="B67" s="964" t="s">
        <v>751</v>
      </c>
      <c r="C67" s="316">
        <f ca="1">C48-C58</f>
        <v>-46</v>
      </c>
      <c r="D67" s="960" t="s">
        <v>752</v>
      </c>
      <c r="E67" s="965"/>
      <c r="F67" s="966"/>
      <c r="O67" s="1425" t="s">
        <v>404</v>
      </c>
      <c r="P67" s="1416" t="s">
        <v>849</v>
      </c>
      <c r="Q67" s="1463">
        <f ca="1">L51</f>
        <v>-8652</v>
      </c>
      <c r="R67" s="1417" t="s">
        <v>869</v>
      </c>
    </row>
    <row r="68" spans="1:18" s="1381" customFormat="1" ht="16.2" thickBot="1">
      <c r="A68" s="944" t="s">
        <v>394</v>
      </c>
      <c r="B68" s="945" t="s">
        <v>773</v>
      </c>
      <c r="C68" s="301">
        <f ca="1">ROUND(C67*(1-((1+F70)/(1+F68))^F69)/(F68-F70),0)</f>
        <v>-705</v>
      </c>
      <c r="D68" s="962" t="s">
        <v>757</v>
      </c>
      <c r="E68" s="947" t="s">
        <v>758</v>
      </c>
      <c r="F68" s="312">
        <f ca="1">F40</f>
        <v>0.05</v>
      </c>
      <c r="O68" s="1425" t="s">
        <v>405</v>
      </c>
      <c r="P68" s="1464" t="s">
        <v>870</v>
      </c>
      <c r="Q68" s="1417">
        <f ca="1">ROUND(Q69-Q70*Q71,0)</f>
        <v>-421</v>
      </c>
      <c r="R68" s="1417" t="s">
        <v>413</v>
      </c>
    </row>
    <row r="69" spans="1:18" s="1381" customFormat="1" ht="13.8" thickBot="1">
      <c r="A69" s="948"/>
      <c r="B69" s="949"/>
      <c r="C69" s="306"/>
      <c r="D69" s="967" t="s">
        <v>761</v>
      </c>
      <c r="E69" s="947" t="s">
        <v>762</v>
      </c>
      <c r="F69" s="333">
        <f ca="1">F41</f>
        <v>29.81</v>
      </c>
      <c r="O69" s="1425" t="s">
        <v>410</v>
      </c>
      <c r="P69" s="1464" t="s">
        <v>871</v>
      </c>
      <c r="Q69" s="1417">
        <f ca="1">C39</f>
        <v>79</v>
      </c>
      <c r="R69" s="1417" t="s">
        <v>817</v>
      </c>
    </row>
    <row r="70" spans="1:18" s="1381" customFormat="1" ht="13.8" thickBot="1">
      <c r="A70" s="951"/>
      <c r="B70" s="952"/>
      <c r="C70" s="310"/>
      <c r="D70" s="963"/>
      <c r="E70" s="947" t="s">
        <v>765</v>
      </c>
      <c r="F70" s="1051"/>
      <c r="O70" s="1425" t="s">
        <v>411</v>
      </c>
      <c r="P70" s="1464" t="s">
        <v>872</v>
      </c>
      <c r="Q70" s="1417">
        <f ca="1">C13</f>
        <v>7138</v>
      </c>
      <c r="R70" s="1417" t="s">
        <v>817</v>
      </c>
    </row>
    <row r="71" spans="1:18" s="1381" customFormat="1" ht="13.8" thickBot="1">
      <c r="A71" s="968" t="s">
        <v>395</v>
      </c>
      <c r="B71" s="969" t="s">
        <v>775</v>
      </c>
      <c r="C71" s="336">
        <f ca="1">ROUND(C68*10000/F71,0)</f>
        <v>-696</v>
      </c>
      <c r="D71" s="970" t="s">
        <v>776</v>
      </c>
      <c r="E71" s="971" t="s">
        <v>777</v>
      </c>
      <c r="F71" s="339">
        <f ca="1">F43</f>
        <v>10131.459999999992</v>
      </c>
      <c r="O71" s="1425" t="s">
        <v>412</v>
      </c>
      <c r="P71" s="1464" t="s">
        <v>873</v>
      </c>
      <c r="Q71" s="1428">
        <f ca="1">C76</f>
        <v>7.0000000000000007E-2</v>
      </c>
      <c r="R71" s="1417"/>
    </row>
    <row r="72" spans="1:18" s="1381" customFormat="1" ht="13.8" thickBot="1">
      <c r="B72" s="726"/>
      <c r="C72" s="726"/>
      <c r="O72" s="1425" t="s">
        <v>406</v>
      </c>
      <c r="P72" s="1416" t="s">
        <v>851</v>
      </c>
      <c r="Q72" s="1428">
        <f>L52</f>
        <v>0</v>
      </c>
      <c r="R72" s="1417"/>
    </row>
    <row r="73" spans="1:18" ht="16.2" thickBot="1">
      <c r="A73" s="1381"/>
      <c r="B73" s="726"/>
      <c r="C73" s="726"/>
      <c r="D73" s="1381"/>
      <c r="E73" s="1381"/>
      <c r="F73" s="1381"/>
      <c r="O73" s="1425" t="s">
        <v>407</v>
      </c>
      <c r="P73" s="1416" t="s">
        <v>854</v>
      </c>
      <c r="Q73" s="1417" t="e">
        <f ca="1">L58</f>
        <v>#DIV/0!</v>
      </c>
      <c r="R73" s="1417" t="s">
        <v>855</v>
      </c>
    </row>
    <row r="74" spans="1:18" ht="13.8"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8" thickBot="1">
      <c r="A75" s="1381"/>
      <c r="B75" s="340" t="s">
        <v>794</v>
      </c>
      <c r="C75" s="341">
        <f ca="1">ROUND(C13*C76,0)</f>
        <v>500</v>
      </c>
      <c r="D75" s="1381"/>
      <c r="E75" s="1381"/>
      <c r="F75" s="1381"/>
      <c r="K75" s="1399"/>
      <c r="L75" s="1381"/>
      <c r="O75" s="1415" t="s">
        <v>408</v>
      </c>
      <c r="P75" s="1416" t="s">
        <v>837</v>
      </c>
      <c r="Q75" s="1417">
        <f ca="1">Q65+Q66</f>
        <v>1524</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-5.3289999999999997</v>
      </c>
    </row>
    <row r="80" spans="1:18">
      <c r="B80" s="340" t="s">
        <v>799</v>
      </c>
      <c r="C80" s="274">
        <f ca="1">ROUND(C75/C39,3)</f>
        <v>6.3289999999999997</v>
      </c>
    </row>
    <row r="81" spans="2:3">
      <c r="B81" s="270" t="s">
        <v>800</v>
      </c>
      <c r="C81" s="238"/>
    </row>
    <row r="82" spans="2:3">
      <c r="B82" s="273" t="s">
        <v>801</v>
      </c>
      <c r="C82" s="275">
        <f ca="1">1-C83</f>
        <v>-3.6840000000000002</v>
      </c>
    </row>
    <row r="83" spans="2:3">
      <c r="B83" s="273" t="s">
        <v>802</v>
      </c>
      <c r="C83" s="274">
        <f ca="1">ROUND(C13/C40,3)</f>
        <v>4.6840000000000002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25" zoomScale="70" zoomScaleNormal="70" zoomScaleSheetLayoutView="70" workbookViewId="0">
      <selection activeCell="I43" sqref="I4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876</v>
      </c>
      <c r="B1" s="713"/>
      <c r="C1" s="1376" t="s">
        <v>672</v>
      </c>
      <c r="D1" s="1359" t="s">
        <v>43</v>
      </c>
      <c r="E1" s="1360" t="s">
        <v>677</v>
      </c>
      <c r="F1" s="1059">
        <f ca="1">J53</f>
        <v>19.8</v>
      </c>
      <c r="G1" s="1375">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3520" t="s">
        <v>803</v>
      </c>
      <c r="B2" s="1383">
        <f ca="1">C40+J29+L46</f>
        <v>103904</v>
      </c>
      <c r="C2" s="1384" t="s">
        <v>804</v>
      </c>
      <c r="D2" s="1384"/>
      <c r="E2" s="1385"/>
      <c r="F2" s="1386"/>
      <c r="G2" s="2703"/>
      <c r="H2" s="2692"/>
      <c r="I2" s="2692"/>
      <c r="J2" s="2692"/>
      <c r="K2" s="2693"/>
      <c r="L2" s="2692"/>
      <c r="M2" s="2692"/>
    </row>
    <row r="3" spans="1:37" ht="18" customHeight="1" thickBot="1">
      <c r="A3" s="3521" t="s">
        <v>805</v>
      </c>
      <c r="B3" s="1388">
        <f ca="1">IF(ISERROR(B2*10000/F43),0,ROUND(B2*10000/F43,0))</f>
        <v>30449</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8844</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8833</v>
      </c>
      <c r="D6" s="155" t="s">
        <v>2106</v>
      </c>
      <c r="E6" s="302" t="s">
        <v>695</v>
      </c>
      <c r="F6" s="303">
        <f ca="1">INDIRECT("'数据-取费表'!u"&amp;$G$1)</f>
        <v>7.88</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3479" t="s">
        <v>696</v>
      </c>
      <c r="F7" s="303">
        <f ca="1">IF(INDIRECT("'数据-取费表'!ah"&amp;$G$1)="",INDIRECT("'数据-取费表'!k"&amp;$G$1),INDIRECT("'数据-取费表'!ah"&amp;$G$1))</f>
        <v>34123.64</v>
      </c>
      <c r="G7" s="1381"/>
      <c r="H7" s="304"/>
      <c r="I7" s="3753"/>
      <c r="J7" s="306"/>
      <c r="K7" s="307"/>
      <c r="L7" s="302" t="s">
        <v>696</v>
      </c>
      <c r="M7" s="303">
        <f ca="1">F7</f>
        <v>34123.64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0.1</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11</v>
      </c>
      <c r="D10" s="1363" t="s">
        <v>2113</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32568</v>
      </c>
      <c r="D13" s="3476" t="s">
        <v>704</v>
      </c>
      <c r="E13" s="3476"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20474</v>
      </c>
      <c r="D14" s="3486" t="s">
        <v>707</v>
      </c>
      <c r="E14" s="3485"/>
      <c r="F14" s="319"/>
      <c r="G14" s="1381"/>
      <c r="H14" s="979" t="s">
        <v>397</v>
      </c>
      <c r="I14" s="302" t="s">
        <v>708</v>
      </c>
      <c r="J14" s="21">
        <f ca="1">C29</f>
        <v>33233</v>
      </c>
      <c r="K14" s="3478"/>
      <c r="L14" s="804"/>
      <c r="M14" s="805"/>
    </row>
    <row r="15" spans="1:37" s="1394" customFormat="1" ht="18" customHeight="1" thickBot="1">
      <c r="A15" s="979" t="s">
        <v>398</v>
      </c>
      <c r="B15" s="302" t="s">
        <v>709</v>
      </c>
      <c r="C15" s="21">
        <f ca="1">ROUND(C14*F15,0)</f>
        <v>1024</v>
      </c>
      <c r="D15" s="3477" t="s">
        <v>710</v>
      </c>
      <c r="E15" s="3477"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172</v>
      </c>
      <c r="K16" s="1084" t="s">
        <v>714</v>
      </c>
      <c r="L16" s="3488"/>
      <c r="M16" s="1069"/>
    </row>
    <row r="17" spans="1:37" s="1394" customFormat="1" ht="18" customHeight="1">
      <c r="A17" s="979" t="s">
        <v>680</v>
      </c>
      <c r="B17" s="302" t="s">
        <v>715</v>
      </c>
      <c r="C17" s="21">
        <f ca="1">ROUND(F17*(F43+INDIRECT("'数据-取费表'!S"&amp;$G$1))/10000,0)</f>
        <v>682</v>
      </c>
      <c r="D17" s="302" t="s">
        <v>716</v>
      </c>
      <c r="E17" s="302" t="s">
        <v>717</v>
      </c>
      <c r="F17" s="23">
        <f>'数据-取费表'!B35</f>
        <v>200</v>
      </c>
      <c r="G17" s="1393"/>
      <c r="H17" s="979" t="s">
        <v>397</v>
      </c>
      <c r="I17" s="302" t="s">
        <v>718</v>
      </c>
      <c r="J17" s="2313">
        <f ca="1">ROUND(IF(AND(项目基本情况!B11="自然人",项目基本情况!B10="北京市"),J6*M17/(1+'数据-取费表'!C42),J18+J19+J20),2)</f>
        <v>5.71</v>
      </c>
      <c r="K17" s="3486" t="s">
        <v>719</v>
      </c>
      <c r="L17" s="3487"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307</v>
      </c>
      <c r="D18" s="302" t="s">
        <v>710</v>
      </c>
      <c r="E18" s="302" t="s">
        <v>711</v>
      </c>
      <c r="F18" s="322">
        <f>'数据-取费表'!B36</f>
        <v>1.4999999999999999E-2</v>
      </c>
      <c r="G18" s="1393"/>
      <c r="H18" s="979" t="s">
        <v>396</v>
      </c>
      <c r="I18" s="302" t="s">
        <v>722</v>
      </c>
      <c r="J18" s="21">
        <f ca="1">ROUND(J6*M18/(1+'数据-取费表'!C42),2)</f>
        <v>0</v>
      </c>
      <c r="K18" s="3487"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22487</v>
      </c>
      <c r="D19" s="131" t="s">
        <v>725</v>
      </c>
      <c r="E19" s="3492"/>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675</v>
      </c>
      <c r="D20" s="2425" t="s">
        <v>728</v>
      </c>
      <c r="E20" s="302" t="s">
        <v>711</v>
      </c>
      <c r="F20" s="322">
        <f>'数据-取费表'!B37</f>
        <v>0.03</v>
      </c>
      <c r="G20" s="1393"/>
      <c r="H20" s="979" t="s">
        <v>679</v>
      </c>
      <c r="I20" s="155" t="s">
        <v>729</v>
      </c>
      <c r="J20" s="22">
        <f ca="1">ROUND(M20*M21/10000,2)</f>
        <v>5.71</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2425" t="s">
        <v>733</v>
      </c>
      <c r="E21" s="302" t="s">
        <v>734</v>
      </c>
      <c r="F21" s="322">
        <f>'数据-取费表'!B38</f>
        <v>0.03</v>
      </c>
      <c r="G21" s="1393"/>
      <c r="H21" s="326"/>
      <c r="I21" s="311"/>
      <c r="J21" s="26"/>
      <c r="K21" s="327"/>
      <c r="L21" s="302" t="s">
        <v>735</v>
      </c>
      <c r="M21" s="303">
        <f ca="1">INDIRECT("'数据-取费表'!r"&amp;$G$1)</f>
        <v>3172.69</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3492"/>
      <c r="F22" s="23"/>
      <c r="G22" s="1381"/>
      <c r="H22" s="979" t="s">
        <v>401</v>
      </c>
      <c r="I22" s="302" t="s">
        <v>737</v>
      </c>
      <c r="J22" s="21">
        <f ca="1">ROUND(J14*M22,2)</f>
        <v>166.17</v>
      </c>
      <c r="K22" s="3487"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1209</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3487"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398</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682</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3492"/>
      <c r="F25" s="23"/>
      <c r="G25" s="1381"/>
      <c r="H25" s="1076" t="s">
        <v>393</v>
      </c>
      <c r="I25" s="1091" t="s">
        <v>751</v>
      </c>
      <c r="J25" s="310">
        <f ca="1">J5-J16</f>
        <v>-172</v>
      </c>
      <c r="K25" s="1092" t="s">
        <v>752</v>
      </c>
      <c r="L25" s="1093"/>
      <c r="M25" s="1094"/>
    </row>
    <row r="26" spans="1:37">
      <c r="A26" s="979" t="s">
        <v>396</v>
      </c>
      <c r="B26" s="302" t="s">
        <v>753</v>
      </c>
      <c r="C26" s="21">
        <f ca="1">ROUND((C19+C20)*F26,0)</f>
        <v>5791</v>
      </c>
      <c r="D26" s="2425" t="s">
        <v>754</v>
      </c>
      <c r="E26" s="313" t="s">
        <v>755</v>
      </c>
      <c r="F26" s="312">
        <f ca="1">INDIRECT("'数据-取费表'!q"&amp;$G$1)</f>
        <v>0.25</v>
      </c>
      <c r="G26" s="1381"/>
      <c r="H26" s="299" t="s">
        <v>394</v>
      </c>
      <c r="I26" s="300" t="s">
        <v>756</v>
      </c>
      <c r="J26" s="301">
        <f ca="1">IF(J5&lt;&gt;0,ROUND(J25*(1-((1+M28)/(1+M26))^M27)/(M26-M28),0),0)</f>
        <v>0</v>
      </c>
      <c r="K26" s="324" t="s">
        <v>757</v>
      </c>
      <c r="L26" s="302" t="s">
        <v>758</v>
      </c>
      <c r="M26" s="312">
        <f ca="1">INDIRECT("'数据-取费表'!I"&amp;$G$1)</f>
        <v>0.06</v>
      </c>
    </row>
    <row r="27" spans="1:37" ht="18" customHeight="1">
      <c r="A27" s="979" t="s">
        <v>398</v>
      </c>
      <c r="B27" s="302" t="s">
        <v>759</v>
      </c>
      <c r="C27" s="21">
        <f ca="1">ROUND(F21*F26,4)</f>
        <v>7.4999999999999997E-3</v>
      </c>
      <c r="D27" s="2425" t="s">
        <v>760</v>
      </c>
      <c r="E27" s="3477"/>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2425"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33233</v>
      </c>
      <c r="D29" s="1089"/>
      <c r="E29" s="1087"/>
      <c r="F29" s="1090"/>
      <c r="G29" s="1393"/>
      <c r="H29" s="334" t="s">
        <v>395</v>
      </c>
      <c r="I29" s="335" t="s">
        <v>767</v>
      </c>
      <c r="J29" s="336">
        <f ca="1">ROUND(J26/(1+F40)^F41,0)</f>
        <v>0</v>
      </c>
      <c r="K29" s="337" t="s">
        <v>768</v>
      </c>
      <c r="L29" s="338"/>
      <c r="M29" s="339">
        <f ca="1">INDIRECT("'数据-取费表'!k"&amp;$G$1)</f>
        <v>34123.64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1729</v>
      </c>
      <c r="D30" s="1084" t="s">
        <v>714</v>
      </c>
      <c r="E30" s="3488"/>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1486.29</v>
      </c>
      <c r="D31" s="3486" t="s">
        <v>719</v>
      </c>
      <c r="E31" s="3487"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471.09</v>
      </c>
      <c r="D32" s="3487"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1009.49</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5.71</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3172.69</v>
      </c>
      <c r="G35" s="1381"/>
      <c r="H35" s="2694"/>
      <c r="I35" s="1395"/>
      <c r="J35" s="1396"/>
      <c r="K35" s="2698"/>
      <c r="L35" s="2697"/>
      <c r="M35" s="2697"/>
    </row>
    <row r="36" spans="1:18" ht="18" customHeight="1">
      <c r="A36" s="1099" t="s">
        <v>401</v>
      </c>
      <c r="B36" s="302" t="s">
        <v>737</v>
      </c>
      <c r="C36" s="21">
        <f ca="1">ROUND(C29*F36,2)</f>
        <v>166.17</v>
      </c>
      <c r="D36" s="3487"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32.57</v>
      </c>
      <c r="D37" s="3487" t="s">
        <v>742</v>
      </c>
      <c r="E37" s="302" t="s">
        <v>743</v>
      </c>
      <c r="F37" s="330">
        <f ca="1">INDIRECT("'数据-取费表'!Al"&amp;$G$1)</f>
        <v>1E-3</v>
      </c>
      <c r="G37" s="1381"/>
      <c r="H37" s="2697"/>
      <c r="I37" s="1395"/>
      <c r="J37" s="1396"/>
      <c r="K37" s="2541"/>
      <c r="L37" s="2697"/>
      <c r="M37" s="2697"/>
    </row>
    <row r="38" spans="1:18" ht="18" customHeight="1" thickBot="1">
      <c r="A38" s="1086" t="s">
        <v>682</v>
      </c>
      <c r="B38" s="1087" t="s">
        <v>727</v>
      </c>
      <c r="C38" s="1088">
        <f ca="1">ROUND(C5*F38,2)</f>
        <v>44.22</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751</v>
      </c>
      <c r="C39" s="310">
        <f ca="1">C5-C30</f>
        <v>7115</v>
      </c>
      <c r="D39" s="1092" t="s">
        <v>752</v>
      </c>
      <c r="E39" s="1093"/>
      <c r="F39" s="1094"/>
      <c r="G39" s="1381"/>
      <c r="H39" s="2697"/>
      <c r="I39" s="1395"/>
      <c r="J39" s="1396"/>
      <c r="K39" s="2701"/>
      <c r="L39" s="2697"/>
      <c r="M39" s="2697"/>
    </row>
    <row r="40" spans="1:18" ht="18" customHeight="1">
      <c r="A40" s="299" t="s">
        <v>394</v>
      </c>
      <c r="B40" s="300" t="s">
        <v>773</v>
      </c>
      <c r="C40" s="301">
        <f ca="1">ROUND(C39*(1-((1+F42)/(1+F40))^F41)/(F40-F42),0)</f>
        <v>98721</v>
      </c>
      <c r="D40" s="324" t="s">
        <v>757</v>
      </c>
      <c r="E40" s="302" t="s">
        <v>758</v>
      </c>
      <c r="F40" s="312">
        <f ca="1">INDIRECT("'数据-取费表'!I"&amp;$G$1)</f>
        <v>0.06</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19.8</v>
      </c>
      <c r="G41" s="1381"/>
      <c r="H41" s="1188"/>
      <c r="I41" s="1395"/>
      <c r="J41" s="1396"/>
      <c r="K41" s="2541"/>
      <c r="L41" s="1188"/>
      <c r="M41" s="1188"/>
    </row>
    <row r="42" spans="1:18" ht="18" customHeight="1">
      <c r="A42" s="308"/>
      <c r="B42" s="309"/>
      <c r="C42" s="310"/>
      <c r="D42" s="327"/>
      <c r="E42" s="302" t="s">
        <v>765</v>
      </c>
      <c r="F42" s="312">
        <f ca="1">INDIRECT("'数据-取费表'!v"&amp;$G$1)</f>
        <v>2.5000000000000001E-2</v>
      </c>
      <c r="G42" s="1381"/>
      <c r="H42" s="1188"/>
      <c r="I42" s="1395"/>
      <c r="J42" s="1396"/>
      <c r="K42" s="2541"/>
      <c r="L42" s="1188"/>
      <c r="M42" s="1188"/>
    </row>
    <row r="43" spans="1:18" ht="18" customHeight="1" thickBot="1">
      <c r="A43" s="334" t="s">
        <v>395</v>
      </c>
      <c r="B43" s="335" t="s">
        <v>775</v>
      </c>
      <c r="C43" s="336">
        <f ca="1">ROUND(C40*10000/F43,0)</f>
        <v>28930</v>
      </c>
      <c r="D43" s="337" t="s">
        <v>776</v>
      </c>
      <c r="E43" s="338" t="s">
        <v>777</v>
      </c>
      <c r="F43" s="339">
        <f ca="1">INDIRECT("'数据-取费表'!k"&amp;$G$1)</f>
        <v>34123.64</v>
      </c>
      <c r="G43" s="1381"/>
      <c r="H43" s="1188"/>
      <c r="I43" s="1188">
        <f ca="1">'收益法-商业'!C43/0.6</f>
        <v>48216.666666666672</v>
      </c>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8" thickBot="1">
      <c r="A46" s="1401" t="s">
        <v>808</v>
      </c>
      <c r="C46" s="1402">
        <f ca="1">C68-C40</f>
        <v>-101060</v>
      </c>
      <c r="D46" s="1403" t="str">
        <f>C2</f>
        <v>万元</v>
      </c>
      <c r="E46" s="1397"/>
      <c r="F46" s="1397"/>
      <c r="I46" s="1404" t="s">
        <v>809</v>
      </c>
      <c r="J46" s="1405"/>
      <c r="K46" s="1406"/>
      <c r="L46" s="1407">
        <f ca="1">IF(M47="住宅",0,IF(L48&gt;J51,L60,J60))</f>
        <v>5183</v>
      </c>
      <c r="O46" s="1408" t="s">
        <v>810</v>
      </c>
      <c r="P46" s="1409" t="s">
        <v>811</v>
      </c>
      <c r="Q46" s="1410" t="s">
        <v>812</v>
      </c>
      <c r="R46" s="1410" t="s">
        <v>813</v>
      </c>
    </row>
    <row r="47" spans="1:18" s="1381" customFormat="1" ht="13.8" thickBot="1">
      <c r="A47" s="943" t="s">
        <v>686</v>
      </c>
      <c r="B47" s="975" t="s">
        <v>687</v>
      </c>
      <c r="C47" s="1114" t="s">
        <v>688</v>
      </c>
      <c r="D47" s="975" t="s">
        <v>689</v>
      </c>
      <c r="E47" s="1055" t="s">
        <v>690</v>
      </c>
      <c r="F47" s="1056"/>
      <c r="G47" s="722"/>
      <c r="I47" s="1411" t="s">
        <v>814</v>
      </c>
      <c r="J47" s="1412" t="s">
        <v>3462</v>
      </c>
      <c r="K47" s="1413" t="s">
        <v>815</v>
      </c>
      <c r="L47" s="1414">
        <f ca="1">INDIRECT("'数据-取费表'!d"&amp;$G$1)</f>
        <v>40</v>
      </c>
      <c r="M47" s="1377" t="str">
        <f>IF(ISNUMBER(FIND("住宅",C1)),"住宅","非住宅")</f>
        <v>非住宅</v>
      </c>
      <c r="O47" s="1415" t="s">
        <v>402</v>
      </c>
      <c r="P47" s="1416" t="s">
        <v>816</v>
      </c>
      <c r="Q47" s="1417">
        <f ca="1">C40+J29</f>
        <v>98721</v>
      </c>
      <c r="R47" s="1417" t="s">
        <v>817</v>
      </c>
    </row>
    <row r="48" spans="1:18" s="1381" customFormat="1" ht="40.200000000000003" thickBot="1">
      <c r="A48" s="1107" t="s">
        <v>437</v>
      </c>
      <c r="B48" s="300" t="s">
        <v>691</v>
      </c>
      <c r="C48" s="3491">
        <f ca="1">C49+C53+C55</f>
        <v>0</v>
      </c>
      <c r="D48" s="1109"/>
      <c r="E48" s="1110"/>
      <c r="F48" s="959"/>
      <c r="G48" s="722"/>
      <c r="H48" s="723"/>
      <c r="I48" s="1418" t="s">
        <v>818</v>
      </c>
      <c r="J48" s="1419" t="s">
        <v>3463</v>
      </c>
      <c r="K48" s="1420" t="s">
        <v>819</v>
      </c>
      <c r="L48" s="1421">
        <f ca="1">INDIRECT("'数据-取费表'!f"&amp;$G$1)</f>
        <v>19.8</v>
      </c>
      <c r="O48" s="1415" t="s">
        <v>403</v>
      </c>
      <c r="P48" s="1416" t="s">
        <v>820</v>
      </c>
      <c r="Q48" s="1417">
        <f ca="1">J60</f>
        <v>5183</v>
      </c>
      <c r="R48" s="1417" t="s">
        <v>821</v>
      </c>
    </row>
    <row r="49" spans="1:18" s="1381" customFormat="1" ht="13.8" thickBot="1">
      <c r="A49" s="972" t="s">
        <v>438</v>
      </c>
      <c r="B49" s="1368" t="s">
        <v>778</v>
      </c>
      <c r="C49" s="1111">
        <f ca="1">ROUND(F49*F51*F50*(1-F52)/10000,0)</f>
        <v>0</v>
      </c>
      <c r="D49" s="1052" t="s">
        <v>2105</v>
      </c>
      <c r="E49" s="1369" t="s">
        <v>779</v>
      </c>
      <c r="F49" s="1057"/>
      <c r="G49" s="1422"/>
      <c r="H49" s="723"/>
      <c r="I49" s="1418" t="s">
        <v>822</v>
      </c>
      <c r="J49" s="1423">
        <v>2023</v>
      </c>
      <c r="K49" s="1420" t="s">
        <v>823</v>
      </c>
      <c r="L49" s="1424"/>
      <c r="O49" s="1425" t="s">
        <v>404</v>
      </c>
      <c r="P49" s="1416" t="s">
        <v>824</v>
      </c>
      <c r="Q49" s="1417">
        <f ca="1">C29</f>
        <v>33233</v>
      </c>
      <c r="R49" s="1417" t="s">
        <v>817</v>
      </c>
    </row>
    <row r="50" spans="1:18" s="1381" customFormat="1" ht="13.8" thickBot="1">
      <c r="A50" s="973"/>
      <c r="B50" s="976"/>
      <c r="C50" s="1115"/>
      <c r="D50" s="950"/>
      <c r="E50" s="1053" t="s">
        <v>696</v>
      </c>
      <c r="F50" s="1054">
        <f ca="1">F7</f>
        <v>34123.64</v>
      </c>
      <c r="H50" s="723"/>
      <c r="I50" s="1418" t="s">
        <v>825</v>
      </c>
      <c r="J50" s="1426">
        <f>SUMPRODUCT((I63:I65=J47)*(J62:L62=J48)*(J63:L65))</f>
        <v>60</v>
      </c>
      <c r="K50" s="1420" t="s">
        <v>826</v>
      </c>
      <c r="L50" s="1424"/>
      <c r="M50" s="1427"/>
      <c r="O50" s="1425" t="s">
        <v>405</v>
      </c>
      <c r="P50" s="1416" t="s">
        <v>827</v>
      </c>
      <c r="Q50" s="1428">
        <f ca="1">J58</f>
        <v>0.65300000000000002</v>
      </c>
      <c r="R50" s="1417"/>
    </row>
    <row r="51" spans="1:18" s="1381" customFormat="1" ht="13.8"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84180</v>
      </c>
      <c r="M51" s="1433"/>
      <c r="O51" s="1425" t="s">
        <v>406</v>
      </c>
      <c r="P51" s="1416" t="s">
        <v>830</v>
      </c>
      <c r="Q51" s="1428">
        <f>J52</f>
        <v>7.5000000000000011E-2</v>
      </c>
      <c r="R51" s="1417"/>
    </row>
    <row r="52" spans="1:18" s="1381" customFormat="1" ht="13.8" thickBot="1">
      <c r="A52" s="974"/>
      <c r="B52" s="976"/>
      <c r="C52" s="977"/>
      <c r="D52" s="950"/>
      <c r="E52" s="978" t="s">
        <v>698</v>
      </c>
      <c r="F52" s="1051"/>
      <c r="I52" s="1434" t="s">
        <v>831</v>
      </c>
      <c r="J52" s="1435">
        <f>'数据-取费表'!J7+0.5%</f>
        <v>7.5000000000000011E-2</v>
      </c>
      <c r="K52" s="1434" t="s">
        <v>832</v>
      </c>
      <c r="L52" s="1435"/>
      <c r="O52" s="1425" t="s">
        <v>407</v>
      </c>
      <c r="P52" s="1416" t="s">
        <v>833</v>
      </c>
      <c r="Q52" s="1417">
        <f ca="1">J53</f>
        <v>19.8</v>
      </c>
      <c r="R52" s="1417" t="s">
        <v>834</v>
      </c>
    </row>
    <row r="53" spans="1:18" s="1381" customFormat="1" ht="36.6"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19.8</v>
      </c>
      <c r="K53" s="3755" t="s">
        <v>836</v>
      </c>
      <c r="L53" s="3756"/>
      <c r="O53" s="1415" t="s">
        <v>408</v>
      </c>
      <c r="P53" s="1416" t="s">
        <v>837</v>
      </c>
      <c r="Q53" s="1417">
        <f ca="1">Q47+Q48</f>
        <v>103904</v>
      </c>
      <c r="R53" s="1417" t="s">
        <v>409</v>
      </c>
    </row>
    <row r="54" spans="1:18" s="1381" customFormat="1" ht="24.6" thickBot="1">
      <c r="A54" s="1150"/>
      <c r="B54" s="1364" t="s">
        <v>678</v>
      </c>
      <c r="C54" s="956"/>
      <c r="D54" s="1363"/>
      <c r="E54" s="3480"/>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8" thickBot="1">
      <c r="A55" s="1080" t="s">
        <v>436</v>
      </c>
      <c r="B55" s="1366" t="s">
        <v>702</v>
      </c>
      <c r="C55" s="1081"/>
      <c r="D55" s="1363"/>
      <c r="E55" s="3480"/>
      <c r="F55" s="1437"/>
      <c r="I55" s="1440" t="s">
        <v>839</v>
      </c>
      <c r="J55" s="1441">
        <f ca="1">ROUND(IF(J47="钢混",J57/J50,1-(1-2%)*(J50-J57)/J50),3)</f>
        <v>0.65300000000000002</v>
      </c>
      <c r="K55" s="1442" t="s">
        <v>840</v>
      </c>
      <c r="L55" s="1443"/>
      <c r="O55" s="1408" t="s">
        <v>810</v>
      </c>
      <c r="P55" s="1409" t="s">
        <v>811</v>
      </c>
      <c r="Q55" s="1410" t="s">
        <v>812</v>
      </c>
      <c r="R55" s="1410" t="s">
        <v>813</v>
      </c>
    </row>
    <row r="56" spans="1:18" s="1381" customFormat="1" ht="37.200000000000003" thickTop="1" thickBot="1">
      <c r="A56" s="954">
        <v>2</v>
      </c>
      <c r="B56" s="955" t="s">
        <v>703</v>
      </c>
      <c r="C56" s="232">
        <f ca="1">C13</f>
        <v>32568</v>
      </c>
      <c r="D56" s="1444"/>
      <c r="E56" s="1445"/>
      <c r="F56" s="1437"/>
      <c r="I56" s="1446" t="s">
        <v>841</v>
      </c>
      <c r="J56" s="1447" t="s">
        <v>3419</v>
      </c>
      <c r="K56" s="1418" t="s">
        <v>842</v>
      </c>
      <c r="L56" s="1421" t="str">
        <f ca="1">IF(L48&lt;J51,"——",L48-J53)</f>
        <v>——</v>
      </c>
      <c r="O56" s="1415" t="s">
        <v>402</v>
      </c>
      <c r="P56" s="1416" t="s">
        <v>816</v>
      </c>
      <c r="Q56" s="1417">
        <f ca="1">C40+J29</f>
        <v>98721</v>
      </c>
      <c r="R56" s="1417" t="s">
        <v>817</v>
      </c>
    </row>
    <row r="57" spans="1:18" s="1381" customFormat="1" ht="24.6" thickBot="1">
      <c r="A57" s="1448"/>
      <c r="B57" s="947" t="s">
        <v>766</v>
      </c>
      <c r="C57" s="238">
        <f ca="1">C29</f>
        <v>33233</v>
      </c>
      <c r="D57" s="1449"/>
      <c r="E57" s="1450"/>
      <c r="F57" s="1451"/>
      <c r="I57" s="1452" t="s">
        <v>843</v>
      </c>
      <c r="J57" s="1453">
        <f ca="1">IF(OR(M47="住宅",J51&lt;L48,J56="是"),"——",J51-L48)</f>
        <v>39.200000000000003</v>
      </c>
      <c r="K57" s="1418" t="s">
        <v>844</v>
      </c>
      <c r="L57" s="1421" t="str">
        <f ca="1">IF(L48&lt;J51,"——",IF(L55="比较法",L49,IF(L55="基准地价",L50,L51)))</f>
        <v>——</v>
      </c>
      <c r="O57" s="1415" t="s">
        <v>403</v>
      </c>
      <c r="P57" s="1416" t="s">
        <v>845</v>
      </c>
      <c r="Q57" s="1417">
        <f ca="1">L60</f>
        <v>0</v>
      </c>
      <c r="R57" s="1417" t="s">
        <v>846</v>
      </c>
    </row>
    <row r="58" spans="1:18" s="1381" customFormat="1" ht="24.6" thickBot="1">
      <c r="A58" s="315" t="s">
        <v>392</v>
      </c>
      <c r="B58" s="955" t="s">
        <v>713</v>
      </c>
      <c r="C58" s="316">
        <f ca="1">ROUND(C59+C64+C65+C66,0)</f>
        <v>205</v>
      </c>
      <c r="D58" s="957" t="s">
        <v>714</v>
      </c>
      <c r="E58" s="958"/>
      <c r="F58" s="959"/>
      <c r="I58" s="1452" t="s">
        <v>847</v>
      </c>
      <c r="J58" s="1454">
        <f ca="1">IF(J55&lt;0.4,0.4,J55)</f>
        <v>0.65300000000000002</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6" thickBot="1">
      <c r="A59" s="979" t="s">
        <v>397</v>
      </c>
      <c r="B59" s="947" t="s">
        <v>718</v>
      </c>
      <c r="C59" s="2313">
        <f ca="1">ROUND(IF(AND(项目基本情况!B11="自然人",项目基本情况!B10="北京市"),C49*F59/(1+'数据-取费表'!C42),C60+C61+C62),0)</f>
        <v>6</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21701</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2"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5183</v>
      </c>
      <c r="K60" s="1457" t="s">
        <v>853</v>
      </c>
      <c r="L60" s="1456">
        <f ca="1">IF(OR(M47="住宅",L48&lt;J51),0,ROUND(L57*(L58/L59-1),0))</f>
        <v>0</v>
      </c>
      <c r="O60" s="1425" t="s">
        <v>406</v>
      </c>
      <c r="P60" s="1416" t="s">
        <v>854</v>
      </c>
      <c r="Q60" s="1417" t="e">
        <f ca="1">L58</f>
        <v>#DIV/0!</v>
      </c>
      <c r="R60" s="1417" t="s">
        <v>855</v>
      </c>
    </row>
    <row r="61" spans="1:18" s="1381" customFormat="1" ht="13.8"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711</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8" thickBot="1">
      <c r="A62" s="979" t="s">
        <v>783</v>
      </c>
      <c r="B62" s="946" t="s">
        <v>729</v>
      </c>
      <c r="C62" s="22">
        <f ca="1">IF(项目基本情况!B11="自然人","——",ROUND(F62*F63/10000,2))</f>
        <v>5.71</v>
      </c>
      <c r="D62" s="962" t="s">
        <v>730</v>
      </c>
      <c r="E62" s="947" t="s">
        <v>731</v>
      </c>
      <c r="F62" s="325">
        <f t="shared" si="0"/>
        <v>18</v>
      </c>
      <c r="I62" s="1459" t="s">
        <v>857</v>
      </c>
      <c r="J62" s="1460" t="s">
        <v>858</v>
      </c>
      <c r="K62" s="1460" t="s">
        <v>859</v>
      </c>
      <c r="L62" s="1460" t="s">
        <v>860</v>
      </c>
      <c r="M62" s="1461" t="s">
        <v>861</v>
      </c>
      <c r="O62" s="1415" t="s">
        <v>408</v>
      </c>
      <c r="P62" s="1416" t="s">
        <v>837</v>
      </c>
      <c r="Q62" s="1417">
        <f ca="1">Q56+Q57</f>
        <v>98721</v>
      </c>
      <c r="R62" s="1417" t="s">
        <v>409</v>
      </c>
    </row>
    <row r="63" spans="1:18" s="1381" customFormat="1" ht="13.8" thickBot="1">
      <c r="A63" s="326"/>
      <c r="B63" s="953"/>
      <c r="C63" s="26"/>
      <c r="D63" s="963"/>
      <c r="E63" s="947" t="s">
        <v>735</v>
      </c>
      <c r="F63" s="303">
        <f t="shared" ca="1" si="0"/>
        <v>3172.69</v>
      </c>
      <c r="I63" s="1459" t="s">
        <v>863</v>
      </c>
      <c r="J63" s="1460">
        <v>70</v>
      </c>
      <c r="K63" s="1460">
        <v>50</v>
      </c>
      <c r="L63" s="1460">
        <v>80</v>
      </c>
      <c r="M63" s="1462">
        <v>0.02</v>
      </c>
      <c r="O63" s="1400" t="s">
        <v>864</v>
      </c>
      <c r="P63" s="1378"/>
      <c r="Q63" s="1378"/>
      <c r="R63" s="1378"/>
    </row>
    <row r="64" spans="1:18" s="1381" customFormat="1" ht="13.8" thickBot="1">
      <c r="A64" s="979" t="s">
        <v>401</v>
      </c>
      <c r="B64" s="947" t="s">
        <v>789</v>
      </c>
      <c r="C64" s="21">
        <f ca="1">ROUND(C57*F64,2)</f>
        <v>166.17</v>
      </c>
      <c r="D64" s="961" t="s">
        <v>770</v>
      </c>
      <c r="E64" s="947" t="s">
        <v>711</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8" thickBot="1">
      <c r="A65" s="979" t="s">
        <v>791</v>
      </c>
      <c r="B65" s="947" t="s">
        <v>741</v>
      </c>
      <c r="C65" s="21">
        <f ca="1">ROUND(C56*F65,2)</f>
        <v>32.57</v>
      </c>
      <c r="D65" s="961" t="s">
        <v>742</v>
      </c>
      <c r="E65" s="947" t="s">
        <v>743</v>
      </c>
      <c r="F65" s="330">
        <f t="shared" ca="1" si="0"/>
        <v>1E-3</v>
      </c>
      <c r="I65" s="1459" t="s">
        <v>866</v>
      </c>
      <c r="J65" s="1460">
        <v>40</v>
      </c>
      <c r="K65" s="1460">
        <v>30</v>
      </c>
      <c r="L65" s="1460">
        <v>50</v>
      </c>
      <c r="M65" s="1462">
        <v>0.02</v>
      </c>
      <c r="O65" s="1415" t="s">
        <v>402</v>
      </c>
      <c r="P65" s="1416" t="s">
        <v>867</v>
      </c>
      <c r="Q65" s="1417">
        <f ca="1">C40+J29</f>
        <v>98721</v>
      </c>
      <c r="R65" s="1417" t="s">
        <v>817</v>
      </c>
    </row>
    <row r="66" spans="1:18" s="1381" customFormat="1" ht="16.2" thickBot="1">
      <c r="A66" s="979" t="s">
        <v>792</v>
      </c>
      <c r="B66" s="947" t="s">
        <v>727</v>
      </c>
      <c r="C66" s="21">
        <f ca="1">ROUND(C48*F66,2)</f>
        <v>0</v>
      </c>
      <c r="D66" s="961" t="s">
        <v>747</v>
      </c>
      <c r="E66" s="947" t="s">
        <v>711</v>
      </c>
      <c r="F66" s="312">
        <f t="shared" ca="1" si="0"/>
        <v>5.0000000000000001E-3</v>
      </c>
      <c r="O66" s="1415" t="s">
        <v>403</v>
      </c>
      <c r="P66" s="1416" t="s">
        <v>845</v>
      </c>
      <c r="Q66" s="1417">
        <f ca="1">L60</f>
        <v>0</v>
      </c>
      <c r="R66" s="1417" t="s">
        <v>868</v>
      </c>
    </row>
    <row r="67" spans="1:18" s="1381" customFormat="1" ht="24.6" thickBot="1">
      <c r="A67" s="954" t="s">
        <v>393</v>
      </c>
      <c r="B67" s="964" t="s">
        <v>751</v>
      </c>
      <c r="C67" s="316">
        <f ca="1">C48-C58</f>
        <v>-205</v>
      </c>
      <c r="D67" s="960" t="s">
        <v>752</v>
      </c>
      <c r="E67" s="965"/>
      <c r="F67" s="966"/>
      <c r="O67" s="1425" t="s">
        <v>404</v>
      </c>
      <c r="P67" s="1416" t="s">
        <v>849</v>
      </c>
      <c r="Q67" s="1463">
        <f ca="1">L51</f>
        <v>84180</v>
      </c>
      <c r="R67" s="1417" t="s">
        <v>869</v>
      </c>
    </row>
    <row r="68" spans="1:18" s="1381" customFormat="1" ht="16.2" thickBot="1">
      <c r="A68" s="944" t="s">
        <v>394</v>
      </c>
      <c r="B68" s="945" t="s">
        <v>773</v>
      </c>
      <c r="C68" s="301">
        <f ca="1">ROUND(C67*(1-((1+F70)/(1+F68))^F69)/(F68-F70),0)</f>
        <v>-2339</v>
      </c>
      <c r="D68" s="962" t="s">
        <v>757</v>
      </c>
      <c r="E68" s="947" t="s">
        <v>758</v>
      </c>
      <c r="F68" s="312">
        <f ca="1">F40</f>
        <v>0.06</v>
      </c>
      <c r="O68" s="1425" t="s">
        <v>405</v>
      </c>
      <c r="P68" s="1464" t="s">
        <v>870</v>
      </c>
      <c r="Q68" s="1417">
        <f ca="1">ROUND(Q69-Q70*Q71,0)</f>
        <v>4835</v>
      </c>
      <c r="R68" s="1417" t="s">
        <v>413</v>
      </c>
    </row>
    <row r="69" spans="1:18" s="1381" customFormat="1" ht="13.8" thickBot="1">
      <c r="A69" s="948"/>
      <c r="B69" s="949"/>
      <c r="C69" s="306"/>
      <c r="D69" s="967" t="s">
        <v>761</v>
      </c>
      <c r="E69" s="947" t="s">
        <v>762</v>
      </c>
      <c r="F69" s="333">
        <f ca="1">F41</f>
        <v>19.8</v>
      </c>
      <c r="O69" s="1425" t="s">
        <v>410</v>
      </c>
      <c r="P69" s="1464" t="s">
        <v>871</v>
      </c>
      <c r="Q69" s="1417">
        <f ca="1">C39</f>
        <v>7115</v>
      </c>
      <c r="R69" s="1417" t="s">
        <v>817</v>
      </c>
    </row>
    <row r="70" spans="1:18" s="1381" customFormat="1" ht="13.8" thickBot="1">
      <c r="A70" s="951"/>
      <c r="B70" s="952"/>
      <c r="C70" s="310"/>
      <c r="D70" s="963"/>
      <c r="E70" s="947" t="s">
        <v>765</v>
      </c>
      <c r="F70" s="1051"/>
      <c r="O70" s="1425" t="s">
        <v>411</v>
      </c>
      <c r="P70" s="1464" t="s">
        <v>872</v>
      </c>
      <c r="Q70" s="1417">
        <f ca="1">C13</f>
        <v>32568</v>
      </c>
      <c r="R70" s="1417" t="s">
        <v>817</v>
      </c>
    </row>
    <row r="71" spans="1:18" s="1381" customFormat="1" ht="13.8" thickBot="1">
      <c r="A71" s="968" t="s">
        <v>395</v>
      </c>
      <c r="B71" s="969" t="s">
        <v>775</v>
      </c>
      <c r="C71" s="336">
        <f ca="1">ROUND(C68*10000/F71,0)</f>
        <v>-685</v>
      </c>
      <c r="D71" s="970" t="s">
        <v>776</v>
      </c>
      <c r="E71" s="971" t="s">
        <v>777</v>
      </c>
      <c r="F71" s="339">
        <f ca="1">F43</f>
        <v>34123.64</v>
      </c>
      <c r="O71" s="1425" t="s">
        <v>412</v>
      </c>
      <c r="P71" s="1464" t="s">
        <v>873</v>
      </c>
      <c r="Q71" s="1428">
        <f ca="1">C76</f>
        <v>7.0000000000000007E-2</v>
      </c>
      <c r="R71" s="1417"/>
    </row>
    <row r="72" spans="1:18" s="1381" customFormat="1" ht="13.8" thickBot="1">
      <c r="B72" s="726"/>
      <c r="C72" s="726"/>
      <c r="O72" s="1425" t="s">
        <v>406</v>
      </c>
      <c r="P72" s="1416" t="s">
        <v>851</v>
      </c>
      <c r="Q72" s="1428">
        <f>L52</f>
        <v>0</v>
      </c>
      <c r="R72" s="1417"/>
    </row>
    <row r="73" spans="1:18" ht="16.2" thickBot="1">
      <c r="A73" s="1381"/>
      <c r="B73" s="726"/>
      <c r="C73" s="726"/>
      <c r="D73" s="1381"/>
      <c r="E73" s="1381"/>
      <c r="F73" s="1381"/>
      <c r="O73" s="1425" t="s">
        <v>407</v>
      </c>
      <c r="P73" s="1416" t="s">
        <v>854</v>
      </c>
      <c r="Q73" s="1417" t="e">
        <f ca="1">L58</f>
        <v>#DIV/0!</v>
      </c>
      <c r="R73" s="1417" t="s">
        <v>855</v>
      </c>
    </row>
    <row r="74" spans="1:18" ht="13.8"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8" thickBot="1">
      <c r="A75" s="1381"/>
      <c r="B75" s="340" t="s">
        <v>794</v>
      </c>
      <c r="C75" s="341">
        <f ca="1">ROUND(C13*C76,0)</f>
        <v>2280</v>
      </c>
      <c r="D75" s="1381"/>
      <c r="E75" s="1381"/>
      <c r="F75" s="1381"/>
      <c r="K75" s="1399"/>
      <c r="L75" s="1381"/>
      <c r="O75" s="1415" t="s">
        <v>408</v>
      </c>
      <c r="P75" s="1416" t="s">
        <v>837</v>
      </c>
      <c r="Q75" s="1417">
        <f ca="1">Q65+Q66</f>
        <v>98721</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0.67999999999999994</v>
      </c>
    </row>
    <row r="80" spans="1:18">
      <c r="B80" s="340" t="s">
        <v>799</v>
      </c>
      <c r="C80" s="274">
        <f ca="1">ROUND(C75/C39,3)</f>
        <v>0.32</v>
      </c>
    </row>
    <row r="81" spans="2:3">
      <c r="B81" s="270" t="s">
        <v>800</v>
      </c>
      <c r="C81" s="238"/>
    </row>
    <row r="82" spans="2:3">
      <c r="B82" s="273" t="s">
        <v>801</v>
      </c>
      <c r="C82" s="275">
        <f ca="1">1-C83</f>
        <v>0.66999999999999993</v>
      </c>
    </row>
    <row r="83" spans="2:3">
      <c r="B83" s="273" t="s">
        <v>802</v>
      </c>
      <c r="C83" s="274">
        <f ca="1">ROUND(C13/C40,3)</f>
        <v>0.33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77" priority="4">
      <formula>$L$48&gt;$J$51</formula>
    </cfRule>
  </conditionalFormatting>
  <conditionalFormatting sqref="I55 I60">
    <cfRule type="expression" dxfId="176" priority="5">
      <formula>$J$51&gt;$L$48</formula>
    </cfRule>
  </conditionalFormatting>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5" zoomScale="70" zoomScaleNormal="70" zoomScaleSheetLayoutView="70" workbookViewId="0">
      <selection activeCell="I38" sqref="I38"/>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876</v>
      </c>
      <c r="B1" s="713"/>
      <c r="C1" s="1376" t="s">
        <v>21</v>
      </c>
      <c r="D1" s="1359" t="s">
        <v>43</v>
      </c>
      <c r="E1" s="1360" t="s">
        <v>677</v>
      </c>
      <c r="F1" s="1059">
        <f ca="1">J53</f>
        <v>29.81</v>
      </c>
      <c r="G1" s="1375">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803</v>
      </c>
      <c r="B2" s="1383">
        <f ca="1">C40+J29+L46</f>
        <v>349586</v>
      </c>
      <c r="C2" s="1384" t="s">
        <v>804</v>
      </c>
      <c r="D2" s="1384"/>
      <c r="E2" s="1385"/>
      <c r="F2" s="1386"/>
      <c r="G2" s="2703"/>
      <c r="H2" s="2692"/>
      <c r="I2" s="2692"/>
      <c r="J2" s="2692"/>
      <c r="K2" s="2693"/>
      <c r="L2" s="2692"/>
      <c r="M2" s="2692"/>
    </row>
    <row r="3" spans="1:37" ht="18" customHeight="1" thickBot="1">
      <c r="A3" s="1387" t="s">
        <v>805</v>
      </c>
      <c r="B3" s="1388">
        <f ca="1">IF(ISERROR(B2*10000/F43),0,ROUND(B2*10000/F43,0))</f>
        <v>53784</v>
      </c>
      <c r="C3" s="1384" t="s">
        <v>806</v>
      </c>
      <c r="D3" s="1384"/>
      <c r="E3" s="1385"/>
      <c r="F3" s="1386"/>
      <c r="G3" s="2703"/>
      <c r="H3" s="683" t="s">
        <v>875</v>
      </c>
      <c r="I3" s="1379"/>
      <c r="J3" s="1379"/>
      <c r="K3" s="1380"/>
      <c r="L3" s="1379"/>
      <c r="M3" s="1379"/>
    </row>
    <row r="4" spans="1:37" ht="18" customHeight="1">
      <c r="A4" s="295" t="s">
        <v>686</v>
      </c>
      <c r="B4" s="296" t="s">
        <v>687</v>
      </c>
      <c r="C4" s="296" t="s">
        <v>688</v>
      </c>
      <c r="D4" s="296" t="s">
        <v>689</v>
      </c>
      <c r="E4" s="297" t="s">
        <v>690</v>
      </c>
      <c r="F4" s="298"/>
      <c r="G4" s="1381"/>
      <c r="H4" s="295" t="s">
        <v>686</v>
      </c>
      <c r="I4" s="296" t="s">
        <v>687</v>
      </c>
      <c r="J4" s="296" t="s">
        <v>688</v>
      </c>
      <c r="K4" s="296" t="s">
        <v>689</v>
      </c>
      <c r="L4" s="297" t="s">
        <v>690</v>
      </c>
      <c r="M4" s="298"/>
    </row>
    <row r="5" spans="1:37" ht="18" customHeight="1">
      <c r="A5" s="299">
        <v>1</v>
      </c>
      <c r="B5" s="300" t="s">
        <v>691</v>
      </c>
      <c r="C5" s="1067">
        <f ca="1">C6+C10+C12</f>
        <v>22234</v>
      </c>
      <c r="D5" s="1361" t="s">
        <v>692</v>
      </c>
      <c r="E5" s="1068"/>
      <c r="F5" s="1069"/>
      <c r="G5" s="1381"/>
      <c r="H5" s="299">
        <v>1</v>
      </c>
      <c r="I5" s="300" t="s">
        <v>691</v>
      </c>
      <c r="J5" s="1067">
        <f ca="1">J6+J10+J12</f>
        <v>0</v>
      </c>
      <c r="K5" s="1361" t="s">
        <v>692</v>
      </c>
      <c r="L5" s="1068"/>
      <c r="M5" s="1069"/>
    </row>
    <row r="6" spans="1:37" ht="18" customHeight="1">
      <c r="A6" s="1066" t="s">
        <v>397</v>
      </c>
      <c r="B6" s="3752" t="s">
        <v>693</v>
      </c>
      <c r="C6" s="1071">
        <f ca="1">ROUND(F6*F8*F7*(1-F9)/10000,0)</f>
        <v>22206</v>
      </c>
      <c r="D6" s="155" t="s">
        <v>2106</v>
      </c>
      <c r="E6" s="302" t="s">
        <v>695</v>
      </c>
      <c r="F6" s="303">
        <f ca="1">INDIRECT("'数据-取费表'!u"&amp;$G$1)</f>
        <v>10.4</v>
      </c>
      <c r="G6" s="1381"/>
      <c r="H6" s="1066" t="s">
        <v>397</v>
      </c>
      <c r="I6" s="3752" t="s">
        <v>693</v>
      </c>
      <c r="J6" s="301">
        <f ca="1">ROUND(M6*M8*M7*(1-M9)/10000,0)</f>
        <v>0</v>
      </c>
      <c r="K6" s="155" t="s">
        <v>2105</v>
      </c>
      <c r="L6" s="302" t="s">
        <v>695</v>
      </c>
      <c r="M6" s="303">
        <f ca="1">INDIRECT("'数据-取费表'!z"&amp;$G$1)</f>
        <v>0</v>
      </c>
    </row>
    <row r="7" spans="1:37" ht="18" customHeight="1">
      <c r="A7" s="1070"/>
      <c r="B7" s="3753"/>
      <c r="C7" s="1072"/>
      <c r="D7" s="307"/>
      <c r="E7" s="1073" t="s">
        <v>696</v>
      </c>
      <c r="F7" s="303">
        <f ca="1">IF(INDIRECT("'数据-取费表'!ah"&amp;$G$1)="",INDIRECT("'数据-取费表'!k"&amp;$G$1),INDIRECT("'数据-取费表'!ah"&amp;$G$1))</f>
        <v>64998.039999999994</v>
      </c>
      <c r="G7" s="1381"/>
      <c r="H7" s="304"/>
      <c r="I7" s="3753"/>
      <c r="J7" s="306"/>
      <c r="K7" s="307"/>
      <c r="L7" s="302" t="s">
        <v>696</v>
      </c>
      <c r="M7" s="303">
        <f ca="1">F7</f>
        <v>64998.039999999994</v>
      </c>
    </row>
    <row r="8" spans="1:37" ht="18" customHeight="1">
      <c r="A8" s="304"/>
      <c r="B8" s="3753"/>
      <c r="C8" s="306"/>
      <c r="D8" s="307"/>
      <c r="E8" s="302" t="s">
        <v>697</v>
      </c>
      <c r="F8" s="303">
        <f ca="1">INDIRECT("'数据-取费表'!ai"&amp;$G$1)</f>
        <v>365</v>
      </c>
      <c r="G8" s="1381"/>
      <c r="H8" s="304"/>
      <c r="I8" s="3753"/>
      <c r="J8" s="306"/>
      <c r="K8" s="307"/>
      <c r="L8" s="302" t="s">
        <v>697</v>
      </c>
      <c r="M8" s="303">
        <f ca="1">INDIRECT("'数据-取费表'!ai"&amp;$G$1)</f>
        <v>365</v>
      </c>
    </row>
    <row r="9" spans="1:37" ht="18" customHeight="1">
      <c r="A9" s="304"/>
      <c r="B9" s="3754"/>
      <c r="C9" s="306"/>
      <c r="D9" s="307"/>
      <c r="E9" s="302" t="s">
        <v>698</v>
      </c>
      <c r="F9" s="312">
        <f ca="1">INDIRECT("'数据-取费表'!w"&amp;$G$1)</f>
        <v>0.1</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28</v>
      </c>
      <c r="D10" s="1363" t="s">
        <v>2114</v>
      </c>
      <c r="E10" s="313" t="s">
        <v>700</v>
      </c>
      <c r="F10" s="1113" t="s">
        <v>3461</v>
      </c>
      <c r="G10" s="1381"/>
      <c r="H10" s="1066" t="s">
        <v>401</v>
      </c>
      <c r="I10" s="1362" t="s">
        <v>699</v>
      </c>
      <c r="J10" s="301">
        <f ca="1">ROUND(IF(M10="押一",J6/12*M11,IF(M10="押二",J6/12*2*M11,IF(M10="押三",J6/12*3*M11,J11*M11))),0)</f>
        <v>0</v>
      </c>
      <c r="K10" s="1363" t="s">
        <v>2113</v>
      </c>
      <c r="L10" s="313" t="s">
        <v>700</v>
      </c>
      <c r="M10" s="1113"/>
    </row>
    <row r="11" spans="1:37" ht="18" customHeight="1">
      <c r="A11" s="308"/>
      <c r="B11" s="1364" t="s">
        <v>678</v>
      </c>
      <c r="C11" s="956"/>
      <c r="D11" s="1365"/>
      <c r="E11" s="313" t="s">
        <v>701</v>
      </c>
      <c r="F11" s="314">
        <f ca="1">'数据-取费表'!B39</f>
        <v>1.4999999999999999E-2</v>
      </c>
      <c r="G11" s="1381"/>
      <c r="H11" s="1074"/>
      <c r="I11" s="1364" t="s">
        <v>678</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67046</v>
      </c>
      <c r="D13" s="1078" t="s">
        <v>704</v>
      </c>
      <c r="E13" s="1078" t="s">
        <v>705</v>
      </c>
      <c r="F13" s="1079">
        <f ca="1">INDIRECT("'数据-取费表'!y"&amp;$G$1)</f>
        <v>0.98</v>
      </c>
      <c r="G13" s="1381"/>
      <c r="H13" s="1076">
        <v>2</v>
      </c>
      <c r="I13" s="1077" t="s">
        <v>703</v>
      </c>
      <c r="J13" s="1065">
        <f ca="1">ROUND(J14*J15,0)</f>
        <v>0</v>
      </c>
      <c r="K13" s="1084" t="s">
        <v>704</v>
      </c>
      <c r="L13" s="1389"/>
      <c r="M13" s="1390"/>
    </row>
    <row r="14" spans="1:37" ht="18" customHeight="1">
      <c r="A14" s="979" t="s">
        <v>396</v>
      </c>
      <c r="B14" s="302" t="s">
        <v>706</v>
      </c>
      <c r="C14" s="318">
        <f ca="1">INDIRECT("'数据-取费表'!m"&amp;$G$1)+INDIRECT("'数据-取费表'!t"&amp;$G$1)</f>
        <v>42249</v>
      </c>
      <c r="D14" s="1342" t="s">
        <v>707</v>
      </c>
      <c r="E14" s="1339"/>
      <c r="F14" s="319"/>
      <c r="G14" s="1381"/>
      <c r="H14" s="979" t="s">
        <v>397</v>
      </c>
      <c r="I14" s="302" t="s">
        <v>708</v>
      </c>
      <c r="J14" s="21">
        <f ca="1">C29</f>
        <v>68414</v>
      </c>
      <c r="K14" s="12"/>
      <c r="L14" s="804"/>
      <c r="M14" s="805"/>
    </row>
    <row r="15" spans="1:37" s="1394" customFormat="1" ht="18" customHeight="1" thickBot="1">
      <c r="A15" s="979" t="s">
        <v>398</v>
      </c>
      <c r="B15" s="302" t="s">
        <v>709</v>
      </c>
      <c r="C15" s="21">
        <f ca="1">ROUND(C14*F15,0)</f>
        <v>2112</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ROUND(INDIRECT("'数据-取费表'!m"&amp;$G$1)*F16,0)</f>
        <v>0</v>
      </c>
      <c r="D16" s="302" t="s">
        <v>710</v>
      </c>
      <c r="E16" s="302" t="s">
        <v>711</v>
      </c>
      <c r="F16" s="322">
        <f ca="1">IF(INDIRECT("'数据-取费表'!c"&amp;$G$1)="住宅",'数据-取费表'!B34,0)</f>
        <v>0</v>
      </c>
      <c r="G16" s="1381"/>
      <c r="H16" s="1076" t="s">
        <v>392</v>
      </c>
      <c r="I16" s="1077" t="s">
        <v>713</v>
      </c>
      <c r="J16" s="310">
        <f ca="1">ROUND(J17+J22+J23+J24,0)</f>
        <v>353</v>
      </c>
      <c r="K16" s="1084" t="s">
        <v>714</v>
      </c>
      <c r="L16" s="1085"/>
      <c r="M16" s="1069"/>
    </row>
    <row r="17" spans="1:37" s="1394" customFormat="1" ht="18" customHeight="1">
      <c r="A17" s="979" t="s">
        <v>680</v>
      </c>
      <c r="B17" s="302" t="s">
        <v>715</v>
      </c>
      <c r="C17" s="21">
        <f ca="1">ROUND(F17*(F43+INDIRECT("'数据-取费表'!S"&amp;$G$1))/10000,0)</f>
        <v>1300</v>
      </c>
      <c r="D17" s="302" t="s">
        <v>716</v>
      </c>
      <c r="E17" s="302" t="s">
        <v>717</v>
      </c>
      <c r="F17" s="23">
        <f>'数据-取费表'!B35</f>
        <v>200</v>
      </c>
      <c r="G17" s="1393"/>
      <c r="H17" s="979" t="s">
        <v>397</v>
      </c>
      <c r="I17" s="302" t="s">
        <v>718</v>
      </c>
      <c r="J17" s="2313">
        <f ca="1">ROUND(IF(AND(项目基本情况!B11="自然人",项目基本情况!B10="北京市"),J6*M17/(1+'数据-取费表'!C42),J18+J19+J20),2)</f>
        <v>10.88</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634</v>
      </c>
      <c r="D18" s="302" t="s">
        <v>710</v>
      </c>
      <c r="E18" s="302" t="s">
        <v>711</v>
      </c>
      <c r="F18" s="322">
        <f>'数据-取费表'!B36</f>
        <v>1.4999999999999999E-2</v>
      </c>
      <c r="G18" s="1393"/>
      <c r="H18" s="979" t="s">
        <v>396</v>
      </c>
      <c r="I18" s="302" t="s">
        <v>722</v>
      </c>
      <c r="J18" s="21">
        <f ca="1">ROUND(J6*M18/(1+'数据-取费表'!C42),2)</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46295</v>
      </c>
      <c r="D19" s="131" t="s">
        <v>725</v>
      </c>
      <c r="E19" s="1357"/>
      <c r="F19" s="23"/>
      <c r="G19" s="1381"/>
      <c r="H19" s="979" t="s">
        <v>398</v>
      </c>
      <c r="I19" s="302" t="s">
        <v>726</v>
      </c>
      <c r="J19" s="21">
        <f ca="1">IF(K19="按租金收入计税",ROUND(J6*M19/(1+'数据-取费表'!C42),2),ROUND(C29*M19*0.7,2))</f>
        <v>0</v>
      </c>
      <c r="K19" s="1367" t="s">
        <v>3337</v>
      </c>
      <c r="L19" s="302" t="s">
        <v>711</v>
      </c>
      <c r="M19" s="322">
        <f>IF(K19="按租金收入计税",'数据-取费表'!B51,'数据-取费表'!B50)</f>
        <v>0.12</v>
      </c>
    </row>
    <row r="20" spans="1:37" s="1394" customFormat="1" ht="18" customHeight="1">
      <c r="A20" s="979" t="s">
        <v>401</v>
      </c>
      <c r="B20" s="302" t="s">
        <v>727</v>
      </c>
      <c r="C20" s="21">
        <f ca="1">ROUND(C19*F20,0)</f>
        <v>1389</v>
      </c>
      <c r="D20" s="323" t="s">
        <v>728</v>
      </c>
      <c r="E20" s="302" t="s">
        <v>711</v>
      </c>
      <c r="F20" s="322">
        <f>'数据-取费表'!B37</f>
        <v>0.03</v>
      </c>
      <c r="G20" s="1393"/>
      <c r="H20" s="979" t="s">
        <v>679</v>
      </c>
      <c r="I20" s="155" t="s">
        <v>729</v>
      </c>
      <c r="J20" s="22">
        <f ca="1">ROUND(M20*M21/10000,2)</f>
        <v>10.88</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15</v>
      </c>
      <c r="D21" s="323" t="s">
        <v>733</v>
      </c>
      <c r="E21" s="302" t="s">
        <v>734</v>
      </c>
      <c r="F21" s="322">
        <f>'数据-取费表'!B38</f>
        <v>0.03</v>
      </c>
      <c r="G21" s="1393"/>
      <c r="H21" s="326"/>
      <c r="I21" s="311"/>
      <c r="J21" s="26"/>
      <c r="K21" s="327"/>
      <c r="L21" s="302" t="s">
        <v>735</v>
      </c>
      <c r="M21" s="303">
        <f ca="1">INDIRECT("'数据-取费表'!r"&amp;$G$1)</f>
        <v>6043.28</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ROUND(J14*M22,2)</f>
        <v>342.07</v>
      </c>
      <c r="K22" s="1341" t="s">
        <v>738</v>
      </c>
      <c r="L22" s="302" t="s">
        <v>711</v>
      </c>
      <c r="M22" s="328">
        <f ca="1">INDIRECT("'数据-取费表'!Ak"&amp;$G$1)</f>
        <v>5.0000000000000001E-3</v>
      </c>
    </row>
    <row r="23" spans="1:37" s="1394" customFormat="1" ht="18" customHeight="1">
      <c r="A23" s="979" t="s">
        <v>396</v>
      </c>
      <c r="B23" s="302" t="s">
        <v>739</v>
      </c>
      <c r="C23" s="21">
        <f ca="1">IF('数据-取费表'!B22&lt;=1,ROUND(C19*F24*F23/2,0)+ROUND(C20*F24*F23/2,0),ROUND(C19*(POWER((1+F24),F23/2)-1),0)+ROUND(C20*(POWER((1+F24),F23/2)-1),0))</f>
        <v>2488</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ROUND(J13*M23,2)</f>
        <v>0</v>
      </c>
      <c r="K23" s="1341" t="s">
        <v>742</v>
      </c>
      <c r="L23" s="302" t="s">
        <v>743</v>
      </c>
      <c r="M23" s="330">
        <f ca="1">INDIRECT("'数据-取费表'!Al"&amp;$G$1)</f>
        <v>1E-3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683</v>
      </c>
      <c r="I24" s="1087" t="s">
        <v>727</v>
      </c>
      <c r="J24" s="1088">
        <f ca="1">ROUND(J5*M24,2)</f>
        <v>0</v>
      </c>
      <c r="K24" s="1089" t="s">
        <v>747</v>
      </c>
      <c r="L24" s="1087" t="s">
        <v>743</v>
      </c>
      <c r="M24" s="1083">
        <f ca="1">INDIRECT("'数据-取费表'!Am"&amp;$G$1)</f>
        <v>5.0000000000000001E-3</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79" t="s">
        <v>748</v>
      </c>
      <c r="B25" s="302" t="s">
        <v>749</v>
      </c>
      <c r="C25" s="21"/>
      <c r="D25" s="131" t="s">
        <v>750</v>
      </c>
      <c r="E25" s="1357"/>
      <c r="F25" s="23"/>
      <c r="G25" s="1381"/>
      <c r="H25" s="1076" t="s">
        <v>393</v>
      </c>
      <c r="I25" s="1091" t="s">
        <v>751</v>
      </c>
      <c r="J25" s="310">
        <f ca="1">J5-J16</f>
        <v>-353</v>
      </c>
      <c r="K25" s="1092" t="s">
        <v>752</v>
      </c>
      <c r="L25" s="1093"/>
      <c r="M25" s="1094"/>
    </row>
    <row r="26" spans="1:37">
      <c r="A26" s="979" t="s">
        <v>396</v>
      </c>
      <c r="B26" s="302" t="s">
        <v>753</v>
      </c>
      <c r="C26" s="21">
        <f ca="1">ROUND((C19+C20)*F26,0)</f>
        <v>11921</v>
      </c>
      <c r="D26" s="323" t="s">
        <v>754</v>
      </c>
      <c r="E26" s="313" t="s">
        <v>755</v>
      </c>
      <c r="F26" s="312">
        <f ca="1">INDIRECT("'数据-取费表'!q"&amp;$G$1)</f>
        <v>0.25</v>
      </c>
      <c r="G26" s="1381"/>
      <c r="H26" s="299" t="s">
        <v>394</v>
      </c>
      <c r="I26" s="300" t="s">
        <v>756</v>
      </c>
      <c r="J26" s="301">
        <f ca="1">IF(J5&lt;&gt;0,ROUND(J25*(1-((1+M28)/(1+M26))^M27)/(M26-M28),0),0)</f>
        <v>0</v>
      </c>
      <c r="K26" s="324" t="s">
        <v>757</v>
      </c>
      <c r="L26" s="302" t="s">
        <v>758</v>
      </c>
      <c r="M26" s="312">
        <f ca="1">INDIRECT("'数据-取费表'!I"&amp;$G$1)</f>
        <v>5.5E-2</v>
      </c>
    </row>
    <row r="27" spans="1:37" ht="18" customHeight="1">
      <c r="A27" s="979" t="s">
        <v>398</v>
      </c>
      <c r="B27" s="302" t="s">
        <v>759</v>
      </c>
      <c r="C27" s="21">
        <f ca="1">ROUND(F21*F26,4)</f>
        <v>7.4999999999999997E-3</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68414</v>
      </c>
      <c r="D29" s="1089"/>
      <c r="E29" s="1087"/>
      <c r="F29" s="1090"/>
      <c r="G29" s="1393"/>
      <c r="H29" s="334" t="s">
        <v>395</v>
      </c>
      <c r="I29" s="335" t="s">
        <v>767</v>
      </c>
      <c r="J29" s="336">
        <f ca="1">ROUND(J26/(1+F40)^F41,0)</f>
        <v>0</v>
      </c>
      <c r="K29" s="337" t="s">
        <v>768</v>
      </c>
      <c r="L29" s="338"/>
      <c r="M29" s="339">
        <f ca="1">INDIRECT("'数据-取费表'!k"&amp;$G$1)</f>
        <v>64998.039999999994</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4253</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ROUND(IF(AND(项目基本情况!B11="自然人",项目基本情况!B10="北京市"),C6*F31/(1+'数据-取费表'!C42),C32+C33+C34),2)</f>
        <v>3733.03</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IF(项目基本情况!B11="自然人","——",ROUND(C6*F32/(1+'数据-取费表'!C42),2))</f>
        <v>1184.32</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IF(项目基本情况!B11="自然人","——",IF(D33="按租金收入计税",ROUND(C6*F33/(1+'数据-取费表'!C42),2),IF(D33="按房产原值计税",ROUND(C29*F33*0.7,2),INDIRECT("'数据-取费表'!Aj"&amp;$G$1))))</f>
        <v>2537.83</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IF(项目基本情况!B11="自然人","——",ROUND(F34*F35/10000,2))</f>
        <v>10.88</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6043.28</v>
      </c>
      <c r="G35" s="1381"/>
      <c r="H35" s="2694"/>
      <c r="I35" s="1395"/>
      <c r="J35" s="1396"/>
      <c r="K35" s="2698"/>
      <c r="L35" s="2697"/>
      <c r="M35" s="2697"/>
    </row>
    <row r="36" spans="1:18" ht="18" customHeight="1">
      <c r="A36" s="1099" t="s">
        <v>401</v>
      </c>
      <c r="B36" s="302" t="s">
        <v>737</v>
      </c>
      <c r="C36" s="21">
        <f ca="1">ROUND(C29*F36,2)</f>
        <v>342.07</v>
      </c>
      <c r="D36" s="1341" t="s">
        <v>770</v>
      </c>
      <c r="E36" s="302" t="s">
        <v>711</v>
      </c>
      <c r="F36" s="328">
        <f ca="1">INDIRECT("'数据-取费表'!Ak"&amp;$G$1)</f>
        <v>5.0000000000000001E-3</v>
      </c>
      <c r="G36" s="1381"/>
      <c r="H36" s="2697"/>
      <c r="I36" s="1395"/>
      <c r="J36" s="1396"/>
      <c r="K36" s="2541"/>
      <c r="L36" s="2697"/>
      <c r="M36" s="2697"/>
    </row>
    <row r="37" spans="1:18" ht="18" customHeight="1">
      <c r="A37" s="979" t="s">
        <v>436</v>
      </c>
      <c r="B37" s="302" t="s">
        <v>741</v>
      </c>
      <c r="C37" s="21">
        <f ca="1">ROUND(C13*F37,2)</f>
        <v>67.05</v>
      </c>
      <c r="D37" s="1341" t="s">
        <v>742</v>
      </c>
      <c r="E37" s="302" t="s">
        <v>743</v>
      </c>
      <c r="F37" s="330">
        <f ca="1">INDIRECT("'数据-取费表'!Al"&amp;$G$1)</f>
        <v>1E-3</v>
      </c>
      <c r="G37" s="1381"/>
      <c r="H37" s="2697"/>
      <c r="I37" s="1395"/>
      <c r="J37" s="1396"/>
      <c r="K37" s="2541"/>
      <c r="L37" s="2697"/>
      <c r="M37" s="2697"/>
    </row>
    <row r="38" spans="1:18" ht="18" customHeight="1" thickBot="1">
      <c r="A38" s="1086" t="s">
        <v>683</v>
      </c>
      <c r="B38" s="1087" t="s">
        <v>727</v>
      </c>
      <c r="C38" s="1088">
        <f ca="1">ROUND(C5*F38,2)</f>
        <v>111.17</v>
      </c>
      <c r="D38" s="1089" t="s">
        <v>747</v>
      </c>
      <c r="E38" s="1087" t="s">
        <v>743</v>
      </c>
      <c r="F38" s="1083">
        <f ca="1">INDIRECT("'数据-取费表'!Am"&amp;$G$1)</f>
        <v>5.0000000000000001E-3</v>
      </c>
      <c r="G38" s="1381"/>
      <c r="H38" s="2697"/>
      <c r="I38" s="1395"/>
      <c r="J38" s="1396"/>
      <c r="K38" s="2701"/>
      <c r="L38" s="2697"/>
      <c r="M38" s="2697"/>
    </row>
    <row r="39" spans="1:18" ht="24.6" customHeight="1" thickTop="1">
      <c r="A39" s="1076" t="s">
        <v>393</v>
      </c>
      <c r="B39" s="1091" t="s">
        <v>771</v>
      </c>
      <c r="C39" s="310">
        <f ca="1">C5-C30</f>
        <v>17981</v>
      </c>
      <c r="D39" s="1092" t="s">
        <v>772</v>
      </c>
      <c r="E39" s="1093"/>
      <c r="F39" s="1094"/>
      <c r="G39" s="1381"/>
      <c r="H39" s="2697"/>
      <c r="I39" s="1395"/>
      <c r="J39" s="1396"/>
      <c r="K39" s="2701"/>
      <c r="L39" s="2697"/>
      <c r="M39" s="2697"/>
    </row>
    <row r="40" spans="1:18" ht="18" customHeight="1">
      <c r="A40" s="299" t="s">
        <v>394</v>
      </c>
      <c r="B40" s="300" t="s">
        <v>773</v>
      </c>
      <c r="C40" s="301">
        <f ca="1">ROUND(C39*(1-((1+F42)/(1+F40))^F41)/(F40-F42),0)</f>
        <v>345728</v>
      </c>
      <c r="D40" s="324" t="s">
        <v>757</v>
      </c>
      <c r="E40" s="302" t="s">
        <v>758</v>
      </c>
      <c r="F40" s="312">
        <f ca="1">INDIRECT("'数据-取费表'!I"&amp;$G$1)</f>
        <v>5.5E-2</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29.81</v>
      </c>
      <c r="G41" s="1381"/>
      <c r="H41" s="1188"/>
      <c r="I41" s="1395">
        <f ca="1">C43/0.95</f>
        <v>55990.526315789473</v>
      </c>
      <c r="J41" s="1396"/>
      <c r="K41" s="2541"/>
      <c r="L41" s="1188"/>
      <c r="M41" s="1188"/>
    </row>
    <row r="42" spans="1:18" ht="18" customHeight="1">
      <c r="A42" s="308"/>
      <c r="B42" s="309"/>
      <c r="C42" s="310"/>
      <c r="D42" s="327"/>
      <c r="E42" s="302" t="s">
        <v>765</v>
      </c>
      <c r="F42" s="312">
        <f ca="1">INDIRECT("'数据-取费表'!v"&amp;$G$1)</f>
        <v>2.5000000000000001E-2</v>
      </c>
      <c r="G42" s="1381"/>
      <c r="H42" s="1188"/>
      <c r="I42" s="1395"/>
      <c r="J42" s="1396"/>
      <c r="K42" s="2541"/>
      <c r="L42" s="1188"/>
      <c r="M42" s="1188"/>
    </row>
    <row r="43" spans="1:18" ht="18" customHeight="1" thickBot="1">
      <c r="A43" s="334" t="s">
        <v>395</v>
      </c>
      <c r="B43" s="335" t="s">
        <v>775</v>
      </c>
      <c r="C43" s="336">
        <f ca="1">ROUND(C40*10000/F43,0)</f>
        <v>53191</v>
      </c>
      <c r="D43" s="337" t="s">
        <v>776</v>
      </c>
      <c r="E43" s="338" t="s">
        <v>777</v>
      </c>
      <c r="F43" s="339">
        <f ca="1">INDIRECT("'数据-取费表'!k"&amp;$G$1)</f>
        <v>64998.039999999994</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6"/>
      <c r="O45" s="2702" t="s">
        <v>807</v>
      </c>
      <c r="P45" s="1458"/>
      <c r="Q45" s="1458"/>
      <c r="R45" s="1458"/>
    </row>
    <row r="46" spans="1:18" s="1381" customFormat="1" ht="13.8" thickBot="1">
      <c r="A46" s="1401" t="s">
        <v>808</v>
      </c>
      <c r="C46" s="1402">
        <f ca="1">C68-C40</f>
        <v>-351817</v>
      </c>
      <c r="D46" s="1403" t="str">
        <f>C2</f>
        <v>万元</v>
      </c>
      <c r="E46" s="1397"/>
      <c r="F46" s="1397"/>
      <c r="I46" s="1404" t="s">
        <v>809</v>
      </c>
      <c r="J46" s="1405"/>
      <c r="K46" s="1406"/>
      <c r="L46" s="1407">
        <f ca="1">IF(M47="住宅",0,IF(L48&gt;J51,L60,J60))</f>
        <v>3858</v>
      </c>
      <c r="O46" s="1408" t="s">
        <v>810</v>
      </c>
      <c r="P46" s="1409" t="s">
        <v>811</v>
      </c>
      <c r="Q46" s="1410" t="s">
        <v>812</v>
      </c>
      <c r="R46" s="1410" t="s">
        <v>813</v>
      </c>
    </row>
    <row r="47" spans="1:18" s="1381" customFormat="1" ht="13.8" thickBot="1">
      <c r="A47" s="943" t="s">
        <v>686</v>
      </c>
      <c r="B47" s="975" t="s">
        <v>687</v>
      </c>
      <c r="C47" s="1114" t="s">
        <v>688</v>
      </c>
      <c r="D47" s="975" t="s">
        <v>689</v>
      </c>
      <c r="E47" s="1055" t="s">
        <v>690</v>
      </c>
      <c r="F47" s="1056"/>
      <c r="G47" s="722"/>
      <c r="I47" s="1411" t="s">
        <v>814</v>
      </c>
      <c r="J47" s="1412" t="s">
        <v>3462</v>
      </c>
      <c r="K47" s="1413" t="s">
        <v>815</v>
      </c>
      <c r="L47" s="1414">
        <f ca="1">INDIRECT("'数据-取费表'!d"&amp;$G$1)</f>
        <v>50</v>
      </c>
      <c r="M47" s="1377" t="str">
        <f>IF(ISNUMBER(FIND("住宅",C1)),"住宅","非住宅")</f>
        <v>非住宅</v>
      </c>
      <c r="O47" s="1415" t="s">
        <v>402</v>
      </c>
      <c r="P47" s="1416" t="s">
        <v>816</v>
      </c>
      <c r="Q47" s="1417">
        <f ca="1">C40+J29</f>
        <v>345728</v>
      </c>
      <c r="R47" s="1417" t="s">
        <v>817</v>
      </c>
    </row>
    <row r="48" spans="1:18" s="1381" customFormat="1" ht="40.200000000000003" thickBot="1">
      <c r="A48" s="1107" t="s">
        <v>437</v>
      </c>
      <c r="B48" s="300" t="s">
        <v>691</v>
      </c>
      <c r="C48" s="1356">
        <f ca="1">C49+C53+C55</f>
        <v>0</v>
      </c>
      <c r="D48" s="1109"/>
      <c r="E48" s="1110"/>
      <c r="F48" s="959"/>
      <c r="G48" s="722"/>
      <c r="H48" s="723"/>
      <c r="I48" s="1418" t="s">
        <v>818</v>
      </c>
      <c r="J48" s="1419" t="s">
        <v>3463</v>
      </c>
      <c r="K48" s="1420" t="s">
        <v>819</v>
      </c>
      <c r="L48" s="1421">
        <f ca="1">INDIRECT("'数据-取费表'!f"&amp;$G$1)</f>
        <v>29.81</v>
      </c>
      <c r="O48" s="1415" t="s">
        <v>403</v>
      </c>
      <c r="P48" s="1416" t="s">
        <v>820</v>
      </c>
      <c r="Q48" s="1417">
        <f ca="1">J60</f>
        <v>3858</v>
      </c>
      <c r="R48" s="1417" t="s">
        <v>821</v>
      </c>
    </row>
    <row r="49" spans="1:18" s="1381" customFormat="1" ht="13.8" thickBot="1">
      <c r="A49" s="972" t="s">
        <v>438</v>
      </c>
      <c r="B49" s="1368" t="s">
        <v>778</v>
      </c>
      <c r="C49" s="1111">
        <f ca="1">ROUND(F49*F51*F50*(1-F52)/10000,0)</f>
        <v>0</v>
      </c>
      <c r="D49" s="1052" t="s">
        <v>2107</v>
      </c>
      <c r="E49" s="1369" t="s">
        <v>779</v>
      </c>
      <c r="F49" s="1057"/>
      <c r="G49" s="1422"/>
      <c r="H49" s="723"/>
      <c r="I49" s="1418" t="s">
        <v>822</v>
      </c>
      <c r="J49" s="1423">
        <v>2023</v>
      </c>
      <c r="K49" s="1420" t="s">
        <v>823</v>
      </c>
      <c r="L49" s="1424"/>
      <c r="O49" s="1425" t="s">
        <v>404</v>
      </c>
      <c r="P49" s="1416" t="s">
        <v>824</v>
      </c>
      <c r="Q49" s="1417">
        <f ca="1">C29</f>
        <v>68414</v>
      </c>
      <c r="R49" s="1417" t="s">
        <v>817</v>
      </c>
    </row>
    <row r="50" spans="1:18" s="1381" customFormat="1" ht="13.8" thickBot="1">
      <c r="A50" s="973"/>
      <c r="B50" s="976"/>
      <c r="C50" s="1115"/>
      <c r="D50" s="950"/>
      <c r="E50" s="1053" t="s">
        <v>696</v>
      </c>
      <c r="F50" s="1054">
        <f ca="1">F7</f>
        <v>64998.039999999994</v>
      </c>
      <c r="H50" s="723"/>
      <c r="I50" s="1418" t="s">
        <v>825</v>
      </c>
      <c r="J50" s="1426">
        <f>SUMPRODUCT((I63:I65=J47)*(J62:L62=J48)*(J63:L65))</f>
        <v>60</v>
      </c>
      <c r="K50" s="1420" t="s">
        <v>826</v>
      </c>
      <c r="L50" s="1424"/>
      <c r="M50" s="1427"/>
      <c r="O50" s="1425" t="s">
        <v>405</v>
      </c>
      <c r="P50" s="1416" t="s">
        <v>827</v>
      </c>
      <c r="Q50" s="1428">
        <f ca="1">J58</f>
        <v>0.48699999999999999</v>
      </c>
      <c r="R50" s="1417"/>
    </row>
    <row r="51" spans="1:18" s="1381" customFormat="1" ht="13.8" thickBot="1">
      <c r="A51" s="974"/>
      <c r="B51" s="976"/>
      <c r="C51" s="977"/>
      <c r="D51" s="950"/>
      <c r="E51" s="978" t="s">
        <v>697</v>
      </c>
      <c r="F51" s="303">
        <f ca="1">F8</f>
        <v>365</v>
      </c>
      <c r="I51" s="1429" t="s">
        <v>828</v>
      </c>
      <c r="J51" s="1430">
        <f>IF(J49="",J50,J49+J50-YEAR('数据-取费表'!B2))</f>
        <v>59</v>
      </c>
      <c r="K51" s="1431" t="s">
        <v>829</v>
      </c>
      <c r="L51" s="1432">
        <f ca="1">ROUND(-PV(INDIRECT("'数据-取费表'!h"&amp;$G$1),J51,(C39-C13*C76),0),0)</f>
        <v>250817</v>
      </c>
      <c r="M51" s="1433"/>
      <c r="O51" s="1425" t="s">
        <v>406</v>
      </c>
      <c r="P51" s="1416" t="s">
        <v>830</v>
      </c>
      <c r="Q51" s="1428">
        <f>J52</f>
        <v>7.5000000000000011E-2</v>
      </c>
      <c r="R51" s="1417"/>
    </row>
    <row r="52" spans="1:18" s="1381" customFormat="1" ht="13.8" thickBot="1">
      <c r="A52" s="974"/>
      <c r="B52" s="976"/>
      <c r="C52" s="977"/>
      <c r="D52" s="950"/>
      <c r="E52" s="978" t="s">
        <v>698</v>
      </c>
      <c r="F52" s="1051"/>
      <c r="I52" s="1434" t="s">
        <v>831</v>
      </c>
      <c r="J52" s="1435">
        <f>'数据-取费表'!J6+0.5%</f>
        <v>7.5000000000000011E-2</v>
      </c>
      <c r="K52" s="1434" t="s">
        <v>832</v>
      </c>
      <c r="L52" s="1435"/>
      <c r="O52" s="1425" t="s">
        <v>407</v>
      </c>
      <c r="P52" s="1416" t="s">
        <v>833</v>
      </c>
      <c r="Q52" s="1417">
        <f ca="1">J53</f>
        <v>29.81</v>
      </c>
      <c r="R52" s="1417" t="s">
        <v>834</v>
      </c>
    </row>
    <row r="53" spans="1:18" s="1381" customFormat="1" ht="36.6" thickBot="1">
      <c r="A53" s="1149" t="s">
        <v>439</v>
      </c>
      <c r="B53" s="1370" t="s">
        <v>699</v>
      </c>
      <c r="C53" s="316">
        <f ca="1">ROUND(IF(F53="押一",C49/12*F11,IF(F53="押二",C49/12*2*F11,IF(F53="押三",C49/12*3*F11,C54*F11))),0)</f>
        <v>0</v>
      </c>
      <c r="D53" s="1363" t="s">
        <v>2113</v>
      </c>
      <c r="E53" s="313" t="s">
        <v>700</v>
      </c>
      <c r="F53" s="1113"/>
      <c r="I53" s="1436" t="s">
        <v>835</v>
      </c>
      <c r="J53" s="2165">
        <f ca="1">IF(M47="住宅",IF(D1="——",MAX(J51,L48),MAX(J51,L48-'数据-取费表'!B24)),IF(D1="——",MIN(J51,L48),MIN(J51,L48-'数据-取费表'!B24)))</f>
        <v>29.81</v>
      </c>
      <c r="K53" s="3755" t="s">
        <v>836</v>
      </c>
      <c r="L53" s="3756"/>
      <c r="O53" s="1415" t="s">
        <v>408</v>
      </c>
      <c r="P53" s="1416" t="s">
        <v>837</v>
      </c>
      <c r="Q53" s="1417">
        <f ca="1">Q47+Q48</f>
        <v>349586</v>
      </c>
      <c r="R53" s="1417" t="s">
        <v>409</v>
      </c>
    </row>
    <row r="54" spans="1:18" s="1381" customFormat="1" ht="24.6" thickBot="1">
      <c r="A54" s="1150"/>
      <c r="B54" s="1364" t="s">
        <v>678</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838</v>
      </c>
      <c r="P54" s="1378"/>
      <c r="Q54" s="1378"/>
      <c r="R54" s="1378"/>
    </row>
    <row r="55" spans="1:18" s="1381" customFormat="1" ht="13.8" thickBot="1">
      <c r="A55" s="1080" t="s">
        <v>436</v>
      </c>
      <c r="B55" s="1366" t="s">
        <v>702</v>
      </c>
      <c r="C55" s="1081"/>
      <c r="D55" s="1363"/>
      <c r="E55" s="1371"/>
      <c r="F55" s="1437"/>
      <c r="I55" s="1440" t="s">
        <v>839</v>
      </c>
      <c r="J55" s="1441">
        <f ca="1">ROUND(IF(J47="钢混",J57/J50,1-(1-2%)*(J50-J57)/J50),3)</f>
        <v>0.48699999999999999</v>
      </c>
      <c r="K55" s="1442" t="s">
        <v>840</v>
      </c>
      <c r="L55" s="1443"/>
      <c r="O55" s="1408" t="s">
        <v>810</v>
      </c>
      <c r="P55" s="1409" t="s">
        <v>811</v>
      </c>
      <c r="Q55" s="1410" t="s">
        <v>812</v>
      </c>
      <c r="R55" s="1410" t="s">
        <v>813</v>
      </c>
    </row>
    <row r="56" spans="1:18" s="1381" customFormat="1" ht="37.200000000000003" thickTop="1" thickBot="1">
      <c r="A56" s="954">
        <v>2</v>
      </c>
      <c r="B56" s="955" t="s">
        <v>703</v>
      </c>
      <c r="C56" s="232">
        <f ca="1">C13</f>
        <v>67046</v>
      </c>
      <c r="D56" s="1444"/>
      <c r="E56" s="1445"/>
      <c r="F56" s="1437"/>
      <c r="I56" s="1446" t="s">
        <v>841</v>
      </c>
      <c r="J56" s="1447" t="s">
        <v>3419</v>
      </c>
      <c r="K56" s="1418" t="s">
        <v>842</v>
      </c>
      <c r="L56" s="1421" t="str">
        <f ca="1">IF(L48&lt;J51,"——",L48-J53)</f>
        <v>——</v>
      </c>
      <c r="O56" s="1415" t="s">
        <v>402</v>
      </c>
      <c r="P56" s="1416" t="s">
        <v>816</v>
      </c>
      <c r="Q56" s="1417">
        <f ca="1">C40+J29</f>
        <v>345728</v>
      </c>
      <c r="R56" s="1417" t="s">
        <v>817</v>
      </c>
    </row>
    <row r="57" spans="1:18" s="1381" customFormat="1" ht="24.6" thickBot="1">
      <c r="A57" s="1448"/>
      <c r="B57" s="947" t="s">
        <v>766</v>
      </c>
      <c r="C57" s="238">
        <f ca="1">C29</f>
        <v>68414</v>
      </c>
      <c r="D57" s="1449"/>
      <c r="E57" s="1450"/>
      <c r="F57" s="1451"/>
      <c r="I57" s="1452" t="s">
        <v>843</v>
      </c>
      <c r="J57" s="1453">
        <f ca="1">IF(OR(M47="住宅",J51&lt;L48,J56="是"),"——",J51-L48)</f>
        <v>29.19</v>
      </c>
      <c r="K57" s="1418" t="s">
        <v>844</v>
      </c>
      <c r="L57" s="1421" t="str">
        <f ca="1">IF(L48&lt;J51,"——",IF(L55="比较法",L49,IF(L55="基准地价",L50,L51)))</f>
        <v>——</v>
      </c>
      <c r="O57" s="1415" t="s">
        <v>403</v>
      </c>
      <c r="P57" s="1416" t="s">
        <v>845</v>
      </c>
      <c r="Q57" s="1417">
        <f ca="1">L60</f>
        <v>0</v>
      </c>
      <c r="R57" s="1417" t="s">
        <v>846</v>
      </c>
    </row>
    <row r="58" spans="1:18" s="1381" customFormat="1" ht="24.6" thickBot="1">
      <c r="A58" s="315" t="s">
        <v>392</v>
      </c>
      <c r="B58" s="955" t="s">
        <v>713</v>
      </c>
      <c r="C58" s="316">
        <f ca="1">ROUND(C59+C64+C65+C66,0)</f>
        <v>420</v>
      </c>
      <c r="D58" s="957" t="s">
        <v>714</v>
      </c>
      <c r="E58" s="958"/>
      <c r="F58" s="959"/>
      <c r="I58" s="1452" t="s">
        <v>847</v>
      </c>
      <c r="J58" s="1454">
        <f ca="1">IF(J55&lt;0.4,0.4,J55)</f>
        <v>0.48699999999999999</v>
      </c>
      <c r="K58" s="1431" t="s">
        <v>848</v>
      </c>
      <c r="L58" s="1421" t="e">
        <f ca="1">ROUND(POWER(1+L52,L47-L48)*(POWER(1+L52,L48)-1)/(POWER(1+L52,L47)-1),4)</f>
        <v>#DIV/0!</v>
      </c>
      <c r="O58" s="1425" t="s">
        <v>404</v>
      </c>
      <c r="P58" s="1416" t="s">
        <v>849</v>
      </c>
      <c r="Q58" s="1417">
        <f>IF(L55="比较法",L49,IF(L55="基准地价",L50,0))</f>
        <v>0</v>
      </c>
      <c r="R58" s="1417" t="s">
        <v>817</v>
      </c>
    </row>
    <row r="59" spans="1:18" s="1381" customFormat="1" ht="24.6" thickBot="1">
      <c r="A59" s="979" t="s">
        <v>397</v>
      </c>
      <c r="B59" s="947" t="s">
        <v>718</v>
      </c>
      <c r="C59" s="2313">
        <f ca="1">ROUND(IF(AND(项目基本情况!B11="自然人",项目基本情况!B10="北京市"),C49*F59/(1+'数据-取费表'!C42),C60+C61+C62),0)</f>
        <v>11</v>
      </c>
      <c r="D59" s="960" t="s">
        <v>719</v>
      </c>
      <c r="E59" s="961" t="s">
        <v>720</v>
      </c>
      <c r="F59" s="2312" t="str">
        <f>IF(项目基本情况!B11="企业","——",IF('数据-取费表'!B10="住宅",IF(F49*F50*F51/12/(1+'数据-取费表'!F30)&gt;100000,4%,2.5%),IF(F49*F50*F51/12/(1+'数据-取费表'!F30)&gt;100000,12%,7%)))</f>
        <v>——</v>
      </c>
      <c r="I59" s="1452" t="s">
        <v>850</v>
      </c>
      <c r="J59" s="1453">
        <f ca="1">IF(OR(M47="住宅",J51&lt;L48,J56="是"),"——",ROUND(C29*J58,0))</f>
        <v>33318</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405</v>
      </c>
      <c r="P59" s="1416" t="s">
        <v>851</v>
      </c>
      <c r="Q59" s="1428">
        <f>L52</f>
        <v>0</v>
      </c>
      <c r="R59" s="1417"/>
    </row>
    <row r="60" spans="1:18" s="1381" customFormat="1" ht="16.2" thickBot="1">
      <c r="A60" s="979" t="s">
        <v>396</v>
      </c>
      <c r="B60" s="947" t="s">
        <v>722</v>
      </c>
      <c r="C60" s="21">
        <f ca="1">IF(项目基本情况!B11="自然人","——",ROUND(C48*F60/(1+'数据-取费表'!C42),2))</f>
        <v>0</v>
      </c>
      <c r="D60" s="961" t="s">
        <v>723</v>
      </c>
      <c r="E60" s="947" t="s">
        <v>711</v>
      </c>
      <c r="F60" s="331">
        <f t="shared" ref="F60:F66" si="0">F32</f>
        <v>5.6000000000000001E-2</v>
      </c>
      <c r="I60" s="1455" t="s">
        <v>852</v>
      </c>
      <c r="J60" s="1456">
        <f ca="1">IF(OR(M47="住宅",J51&lt;L48,J56="是"),"0",ROUND(J59/(1+J52)^J53,0))</f>
        <v>3858</v>
      </c>
      <c r="K60" s="1457" t="s">
        <v>853</v>
      </c>
      <c r="L60" s="1456">
        <f ca="1">IF(OR(M47="住宅",L48&lt;J51),0,ROUND(L57*(L58/L59-1),0))</f>
        <v>0</v>
      </c>
      <c r="O60" s="1425" t="s">
        <v>406</v>
      </c>
      <c r="P60" s="1416" t="s">
        <v>854</v>
      </c>
      <c r="Q60" s="1417" t="e">
        <f ca="1">L58</f>
        <v>#DIV/0!</v>
      </c>
      <c r="R60" s="1417" t="s">
        <v>855</v>
      </c>
    </row>
    <row r="61" spans="1:18" s="1381" customFormat="1" ht="13.8" thickBot="1">
      <c r="A61" s="979" t="s">
        <v>780</v>
      </c>
      <c r="B61" s="947" t="s">
        <v>781</v>
      </c>
      <c r="C61" s="21">
        <f ca="1">IF(项目基本情况!B11="自然人","——",IF(D61="按租金收入计税",ROUND(C49*F61/(1+'数据-取费表'!C42),2),IF(D61="按房产原值计税",ROUND(C57*F61*0.7,2),INDIRECT("'数据-取费表'!Aj"&amp;$G$1))))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8" thickBot="1">
      <c r="A62" s="979" t="s">
        <v>783</v>
      </c>
      <c r="B62" s="946" t="s">
        <v>784</v>
      </c>
      <c r="C62" s="22">
        <f ca="1">IF(项目基本情况!B11="自然人","——",ROUND(F62*F63/10000,2))</f>
        <v>10.88</v>
      </c>
      <c r="D62" s="962" t="s">
        <v>785</v>
      </c>
      <c r="E62" s="947" t="s">
        <v>786</v>
      </c>
      <c r="F62" s="325">
        <f t="shared" si="0"/>
        <v>18</v>
      </c>
      <c r="I62" s="1459" t="s">
        <v>857</v>
      </c>
      <c r="J62" s="1460" t="s">
        <v>858</v>
      </c>
      <c r="K62" s="1460" t="s">
        <v>859</v>
      </c>
      <c r="L62" s="1460" t="s">
        <v>860</v>
      </c>
      <c r="M62" s="1461" t="s">
        <v>861</v>
      </c>
      <c r="O62" s="1415" t="s">
        <v>408</v>
      </c>
      <c r="P62" s="1416" t="s">
        <v>862</v>
      </c>
      <c r="Q62" s="1417">
        <f ca="1">Q56+Q57</f>
        <v>345728</v>
      </c>
      <c r="R62" s="1417" t="s">
        <v>409</v>
      </c>
    </row>
    <row r="63" spans="1:18" s="1381" customFormat="1" ht="13.8" thickBot="1">
      <c r="A63" s="326"/>
      <c r="B63" s="953"/>
      <c r="C63" s="26"/>
      <c r="D63" s="963"/>
      <c r="E63" s="947" t="s">
        <v>787</v>
      </c>
      <c r="F63" s="303">
        <f t="shared" ca="1" si="0"/>
        <v>6043.28</v>
      </c>
      <c r="I63" s="1459" t="s">
        <v>863</v>
      </c>
      <c r="J63" s="1460">
        <v>70</v>
      </c>
      <c r="K63" s="1460">
        <v>50</v>
      </c>
      <c r="L63" s="1460">
        <v>80</v>
      </c>
      <c r="M63" s="1462">
        <v>0.02</v>
      </c>
      <c r="O63" s="1400" t="s">
        <v>864</v>
      </c>
      <c r="P63" s="1378"/>
      <c r="Q63" s="1378"/>
      <c r="R63" s="1378"/>
    </row>
    <row r="64" spans="1:18" s="1381" customFormat="1" ht="13.8" thickBot="1">
      <c r="A64" s="979" t="s">
        <v>788</v>
      </c>
      <c r="B64" s="947" t="s">
        <v>789</v>
      </c>
      <c r="C64" s="21">
        <f ca="1">ROUND(C57*F64,2)</f>
        <v>342.07</v>
      </c>
      <c r="D64" s="961" t="s">
        <v>790</v>
      </c>
      <c r="E64" s="947" t="s">
        <v>782</v>
      </c>
      <c r="F64" s="328">
        <f t="shared" ca="1" si="0"/>
        <v>5.0000000000000001E-3</v>
      </c>
      <c r="I64" s="1459" t="s">
        <v>865</v>
      </c>
      <c r="J64" s="1460">
        <v>50</v>
      </c>
      <c r="K64" s="1460">
        <v>35</v>
      </c>
      <c r="L64" s="1460">
        <v>60</v>
      </c>
      <c r="M64" s="1461">
        <v>0</v>
      </c>
      <c r="O64" s="1408" t="s">
        <v>810</v>
      </c>
      <c r="P64" s="1409" t="s">
        <v>811</v>
      </c>
      <c r="Q64" s="1410" t="s">
        <v>812</v>
      </c>
      <c r="R64" s="1410" t="s">
        <v>813</v>
      </c>
    </row>
    <row r="65" spans="1:18" s="1381" customFormat="1" ht="13.8" thickBot="1">
      <c r="A65" s="979" t="s">
        <v>791</v>
      </c>
      <c r="B65" s="947" t="s">
        <v>741</v>
      </c>
      <c r="C65" s="21">
        <f ca="1">ROUND(C56*F65,2)</f>
        <v>67.05</v>
      </c>
      <c r="D65" s="961" t="s">
        <v>742</v>
      </c>
      <c r="E65" s="947" t="s">
        <v>743</v>
      </c>
      <c r="F65" s="330">
        <f t="shared" ca="1" si="0"/>
        <v>1E-3</v>
      </c>
      <c r="I65" s="1459" t="s">
        <v>866</v>
      </c>
      <c r="J65" s="1460">
        <v>40</v>
      </c>
      <c r="K65" s="1460">
        <v>30</v>
      </c>
      <c r="L65" s="1460">
        <v>50</v>
      </c>
      <c r="M65" s="1462">
        <v>0.02</v>
      </c>
      <c r="O65" s="1415" t="s">
        <v>402</v>
      </c>
      <c r="P65" s="1416" t="s">
        <v>867</v>
      </c>
      <c r="Q65" s="1417">
        <f ca="1">C40+J29</f>
        <v>345728</v>
      </c>
      <c r="R65" s="1417" t="s">
        <v>817</v>
      </c>
    </row>
    <row r="66" spans="1:18" s="1381" customFormat="1" ht="16.2" thickBot="1">
      <c r="A66" s="979" t="s">
        <v>792</v>
      </c>
      <c r="B66" s="947" t="s">
        <v>727</v>
      </c>
      <c r="C66" s="21">
        <f ca="1">ROUND(C48*F66,2)</f>
        <v>0</v>
      </c>
      <c r="D66" s="961" t="s">
        <v>793</v>
      </c>
      <c r="E66" s="947" t="s">
        <v>711</v>
      </c>
      <c r="F66" s="312">
        <f t="shared" ca="1" si="0"/>
        <v>5.0000000000000001E-3</v>
      </c>
      <c r="O66" s="1415" t="s">
        <v>403</v>
      </c>
      <c r="P66" s="1416" t="s">
        <v>845</v>
      </c>
      <c r="Q66" s="1417">
        <f ca="1">L60</f>
        <v>0</v>
      </c>
      <c r="R66" s="1417" t="s">
        <v>868</v>
      </c>
    </row>
    <row r="67" spans="1:18" s="1381" customFormat="1" ht="24.6" thickBot="1">
      <c r="A67" s="954" t="s">
        <v>393</v>
      </c>
      <c r="B67" s="964" t="s">
        <v>751</v>
      </c>
      <c r="C67" s="316">
        <f ca="1">C48-C58</f>
        <v>-420</v>
      </c>
      <c r="D67" s="960" t="s">
        <v>752</v>
      </c>
      <c r="E67" s="965"/>
      <c r="F67" s="966"/>
      <c r="O67" s="1425" t="s">
        <v>404</v>
      </c>
      <c r="P67" s="1416" t="s">
        <v>849</v>
      </c>
      <c r="Q67" s="1463">
        <f ca="1">L51</f>
        <v>250817</v>
      </c>
      <c r="R67" s="1417" t="s">
        <v>869</v>
      </c>
    </row>
    <row r="68" spans="1:18" s="1381" customFormat="1" ht="16.2" thickBot="1">
      <c r="A68" s="944" t="s">
        <v>394</v>
      </c>
      <c r="B68" s="945" t="s">
        <v>773</v>
      </c>
      <c r="C68" s="301">
        <f ca="1">ROUND(C67*(1-((1+F70)/(1+F68))^F69)/(F68-F70),0)</f>
        <v>-6089</v>
      </c>
      <c r="D68" s="962" t="s">
        <v>757</v>
      </c>
      <c r="E68" s="947" t="s">
        <v>758</v>
      </c>
      <c r="F68" s="312">
        <f ca="1">F40</f>
        <v>5.5E-2</v>
      </c>
      <c r="O68" s="1425" t="s">
        <v>405</v>
      </c>
      <c r="P68" s="1464" t="s">
        <v>870</v>
      </c>
      <c r="Q68" s="1417">
        <f ca="1">ROUND(Q69-Q70*Q71,0)</f>
        <v>13288</v>
      </c>
      <c r="R68" s="1417" t="s">
        <v>413</v>
      </c>
    </row>
    <row r="69" spans="1:18" s="1381" customFormat="1" ht="13.8" thickBot="1">
      <c r="A69" s="948"/>
      <c r="B69" s="949"/>
      <c r="C69" s="306"/>
      <c r="D69" s="967" t="s">
        <v>761</v>
      </c>
      <c r="E69" s="947" t="s">
        <v>762</v>
      </c>
      <c r="F69" s="333">
        <f ca="1">F41</f>
        <v>29.81</v>
      </c>
      <c r="O69" s="1425" t="s">
        <v>410</v>
      </c>
      <c r="P69" s="1464" t="s">
        <v>871</v>
      </c>
      <c r="Q69" s="1417">
        <f ca="1">C39</f>
        <v>17981</v>
      </c>
      <c r="R69" s="1417" t="s">
        <v>817</v>
      </c>
    </row>
    <row r="70" spans="1:18" s="1381" customFormat="1" ht="13.8" thickBot="1">
      <c r="A70" s="951"/>
      <c r="B70" s="952"/>
      <c r="C70" s="310"/>
      <c r="D70" s="963"/>
      <c r="E70" s="947" t="s">
        <v>765</v>
      </c>
      <c r="F70" s="1051"/>
      <c r="O70" s="1425" t="s">
        <v>411</v>
      </c>
      <c r="P70" s="1464" t="s">
        <v>872</v>
      </c>
      <c r="Q70" s="1417">
        <f ca="1">C13</f>
        <v>67046</v>
      </c>
      <c r="R70" s="1417" t="s">
        <v>817</v>
      </c>
    </row>
    <row r="71" spans="1:18" s="1381" customFormat="1" ht="13.8" thickBot="1">
      <c r="A71" s="968" t="s">
        <v>395</v>
      </c>
      <c r="B71" s="969" t="s">
        <v>775</v>
      </c>
      <c r="C71" s="336">
        <f ca="1">ROUND(C68*10000/F71,0)</f>
        <v>-937</v>
      </c>
      <c r="D71" s="970" t="s">
        <v>776</v>
      </c>
      <c r="E71" s="971" t="s">
        <v>777</v>
      </c>
      <c r="F71" s="339">
        <f ca="1">F43</f>
        <v>64998.039999999994</v>
      </c>
      <c r="O71" s="1425" t="s">
        <v>412</v>
      </c>
      <c r="P71" s="1464" t="s">
        <v>873</v>
      </c>
      <c r="Q71" s="1428">
        <f ca="1">C76</f>
        <v>7.0000000000000007E-2</v>
      </c>
      <c r="R71" s="1417"/>
    </row>
    <row r="72" spans="1:18" s="1381" customFormat="1" ht="13.8" thickBot="1">
      <c r="B72" s="726"/>
      <c r="C72" s="726"/>
      <c r="O72" s="1425" t="s">
        <v>406</v>
      </c>
      <c r="P72" s="1416" t="s">
        <v>851</v>
      </c>
      <c r="Q72" s="1428">
        <f>L52</f>
        <v>0</v>
      </c>
      <c r="R72" s="1417"/>
    </row>
    <row r="73" spans="1:18" ht="16.2" thickBot="1">
      <c r="A73" s="1381"/>
      <c r="B73" s="726"/>
      <c r="C73" s="726"/>
      <c r="D73" s="1381"/>
      <c r="E73" s="1381"/>
      <c r="F73" s="1381"/>
      <c r="O73" s="1425" t="s">
        <v>407</v>
      </c>
      <c r="P73" s="1416" t="s">
        <v>854</v>
      </c>
      <c r="Q73" s="1417" t="e">
        <f ca="1">L58</f>
        <v>#DIV/0!</v>
      </c>
      <c r="R73" s="1417" t="s">
        <v>855</v>
      </c>
    </row>
    <row r="74" spans="1:18" ht="13.8"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8" thickBot="1">
      <c r="A75" s="1381"/>
      <c r="B75" s="340" t="s">
        <v>794</v>
      </c>
      <c r="C75" s="341">
        <f ca="1">ROUND(C13*C76,0)</f>
        <v>4693</v>
      </c>
      <c r="D75" s="1381"/>
      <c r="E75" s="1381"/>
      <c r="F75" s="1381"/>
      <c r="K75" s="1399"/>
      <c r="L75" s="1381"/>
      <c r="O75" s="1415" t="s">
        <v>408</v>
      </c>
      <c r="P75" s="1416" t="s">
        <v>837</v>
      </c>
      <c r="Q75" s="1417">
        <f ca="1">Q65+Q66</f>
        <v>345728</v>
      </c>
      <c r="R75" s="1417" t="s">
        <v>409</v>
      </c>
    </row>
    <row r="76" spans="1:18">
      <c r="B76" s="342" t="s">
        <v>795</v>
      </c>
      <c r="C76" s="343">
        <f ca="1">INDIRECT("'数据-取费表'!j"&amp;$G$1)</f>
        <v>7.0000000000000007E-2</v>
      </c>
      <c r="I76" s="1381"/>
      <c r="J76" s="1381"/>
      <c r="K76" s="1399"/>
      <c r="L76" s="1381"/>
    </row>
    <row r="77" spans="1:18">
      <c r="B77" s="344" t="s">
        <v>796</v>
      </c>
      <c r="C77" s="345"/>
      <c r="I77" s="1381"/>
      <c r="J77" s="1381"/>
      <c r="K77" s="1399"/>
      <c r="L77" s="1381"/>
    </row>
    <row r="78" spans="1:18">
      <c r="B78" s="270" t="s">
        <v>797</v>
      </c>
      <c r="C78" s="346"/>
    </row>
    <row r="79" spans="1:18">
      <c r="B79" s="340" t="s">
        <v>798</v>
      </c>
      <c r="C79" s="274">
        <f ca="1">1-C80</f>
        <v>0.73899999999999999</v>
      </c>
    </row>
    <row r="80" spans="1:18">
      <c r="B80" s="340" t="s">
        <v>799</v>
      </c>
      <c r="C80" s="274">
        <f ca="1">ROUND(C75/C39,3)</f>
        <v>0.26100000000000001</v>
      </c>
    </row>
    <row r="81" spans="2:3">
      <c r="B81" s="270" t="s">
        <v>800</v>
      </c>
      <c r="C81" s="238"/>
    </row>
    <row r="82" spans="2:3">
      <c r="B82" s="273" t="s">
        <v>801</v>
      </c>
      <c r="C82" s="275">
        <f ca="1">1-C83</f>
        <v>0.80600000000000005</v>
      </c>
    </row>
    <row r="83" spans="2:3">
      <c r="B83" s="273" t="s">
        <v>802</v>
      </c>
      <c r="C83" s="274">
        <f ca="1">ROUND(C13/C40,3)</f>
        <v>0.19400000000000001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2" priority="56">
      <formula>$L$48&gt;$J$51</formula>
    </cfRule>
  </conditionalFormatting>
  <conditionalFormatting sqref="I55 I60">
    <cfRule type="expression" dxfId="171" priority="57">
      <formula>$J$51&gt;$L$48</formula>
    </cfRule>
  </conditionalFormatting>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E2" sqref="E2"/>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5" customWidth="1"/>
    <col min="12" max="12" width="16.33203125" style="258" customWidth="1"/>
    <col min="13" max="13" width="13" style="258" customWidth="1"/>
    <col min="14" max="14" width="13.77734375" style="1381" customWidth="1"/>
    <col min="15" max="15" width="5.109375" style="1381" customWidth="1"/>
    <col min="16" max="16" width="25.77734375" style="1381" customWidth="1"/>
    <col min="17" max="17" width="13.77734375" style="1381" customWidth="1"/>
    <col min="18" max="18" width="20.44140625" style="1381" customWidth="1"/>
    <col min="19" max="19" width="13.21875" style="1381" customWidth="1"/>
    <col min="20" max="37" width="9" style="1381"/>
    <col min="38" max="16384" width="9" style="258"/>
  </cols>
  <sheetData>
    <row r="1" spans="1:37" s="293" customFormat="1" ht="21.6">
      <c r="A1" s="1372" t="s">
        <v>876</v>
      </c>
      <c r="B1" s="713"/>
      <c r="C1" s="1376"/>
      <c r="D1" s="1359" t="s">
        <v>43</v>
      </c>
      <c r="E1" s="1360" t="s">
        <v>677</v>
      </c>
      <c r="F1" s="1059">
        <f ca="1">J53</f>
        <v>0</v>
      </c>
      <c r="G1" s="1375">
        <f>MATCH(C1,'数据-取费表'!A6:A16,0)+5</f>
        <v>10</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2" t="s">
        <v>877</v>
      </c>
      <c r="B2" s="3422" t="e">
        <f ca="1">ROUND(D2/10000,4)</f>
        <v>#DIV/0!</v>
      </c>
      <c r="C2" s="1384" t="s">
        <v>878</v>
      </c>
      <c r="D2" s="1468" t="e">
        <f ca="1">C40+J29+L46</f>
        <v>#DIV/0!</v>
      </c>
      <c r="E2" s="1385" t="s">
        <v>879</v>
      </c>
      <c r="F2" s="1386"/>
      <c r="G2" s="2703"/>
      <c r="H2" s="2692"/>
      <c r="I2" s="2692"/>
      <c r="J2" s="2692"/>
      <c r="K2" s="2693"/>
      <c r="L2" s="2692"/>
      <c r="M2" s="2692"/>
    </row>
    <row r="3" spans="1:37" ht="18" customHeight="1" thickBot="1">
      <c r="A3" s="1387" t="s">
        <v>880</v>
      </c>
      <c r="B3" s="1388">
        <f ca="1">IF(ISERROR(D2/F43),0,ROUND(D2/F43,0))</f>
        <v>0</v>
      </c>
      <c r="C3" s="1384" t="s">
        <v>881</v>
      </c>
      <c r="D3" s="1384"/>
      <c r="E3" s="1385"/>
      <c r="F3" s="1386"/>
      <c r="G3" s="2703"/>
      <c r="H3" s="683" t="s">
        <v>875</v>
      </c>
      <c r="I3" s="1379"/>
      <c r="J3" s="1379"/>
      <c r="K3" s="1380"/>
      <c r="L3" s="1379"/>
      <c r="M3" s="1379"/>
    </row>
    <row r="4" spans="1:37" ht="18" customHeight="1">
      <c r="A4" s="295" t="s">
        <v>882</v>
      </c>
      <c r="B4" s="296" t="s">
        <v>883</v>
      </c>
      <c r="C4" s="296" t="s">
        <v>884</v>
      </c>
      <c r="D4" s="296" t="s">
        <v>885</v>
      </c>
      <c r="E4" s="297" t="s">
        <v>886</v>
      </c>
      <c r="F4" s="298"/>
      <c r="G4" s="1381"/>
      <c r="H4" s="295" t="s">
        <v>882</v>
      </c>
      <c r="I4" s="296" t="s">
        <v>883</v>
      </c>
      <c r="J4" s="296" t="s">
        <v>884</v>
      </c>
      <c r="K4" s="296" t="s">
        <v>885</v>
      </c>
      <c r="L4" s="297" t="s">
        <v>886</v>
      </c>
      <c r="M4" s="298"/>
    </row>
    <row r="5" spans="1:37" ht="18" customHeight="1">
      <c r="A5" s="299">
        <v>1</v>
      </c>
      <c r="B5" s="300" t="s">
        <v>887</v>
      </c>
      <c r="C5" s="1067">
        <f ca="1">C6+C10+C12</f>
        <v>0</v>
      </c>
      <c r="D5" s="1361" t="s">
        <v>888</v>
      </c>
      <c r="E5" s="1068"/>
      <c r="F5" s="1069"/>
      <c r="G5" s="1381"/>
      <c r="H5" s="299">
        <v>1</v>
      </c>
      <c r="I5" s="300" t="s">
        <v>887</v>
      </c>
      <c r="J5" s="1067">
        <f ca="1">J6+J10+J12</f>
        <v>0</v>
      </c>
      <c r="K5" s="1361" t="s">
        <v>888</v>
      </c>
      <c r="L5" s="1068"/>
      <c r="M5" s="1069"/>
    </row>
    <row r="6" spans="1:37" ht="18" customHeight="1">
      <c r="A6" s="1066" t="s">
        <v>397</v>
      </c>
      <c r="B6" s="3752" t="s">
        <v>693</v>
      </c>
      <c r="C6" s="1071">
        <f ca="1">ROUND(F6*F8*F7*(1-F9),0)</f>
        <v>0</v>
      </c>
      <c r="D6" s="155" t="s">
        <v>2103</v>
      </c>
      <c r="E6" s="302" t="s">
        <v>695</v>
      </c>
      <c r="F6" s="303">
        <f ca="1">INDIRECT("'数据-取费表'!u"&amp;$G$1)</f>
        <v>0</v>
      </c>
      <c r="G6" s="1381"/>
      <c r="H6" s="1066" t="s">
        <v>397</v>
      </c>
      <c r="I6" s="3752" t="s">
        <v>693</v>
      </c>
      <c r="J6" s="301">
        <f ca="1">ROUND(M6*M8*M7*(1-M9),0)</f>
        <v>0</v>
      </c>
      <c r="K6" s="1373" t="s">
        <v>2104</v>
      </c>
      <c r="L6" s="302" t="s">
        <v>695</v>
      </c>
      <c r="M6" s="303">
        <f ca="1">INDIRECT("'数据-取费表'!z"&amp;$G$1)</f>
        <v>0</v>
      </c>
    </row>
    <row r="7" spans="1:37" ht="18" customHeight="1">
      <c r="A7" s="1070"/>
      <c r="B7" s="3753"/>
      <c r="C7" s="1072"/>
      <c r="D7" s="307"/>
      <c r="E7" s="1073" t="s">
        <v>696</v>
      </c>
      <c r="F7" s="303">
        <f ca="1">IF(INDIRECT("'数据-取费表'!ah"&amp;$G$1)="",INDIRECT("'数据-取费表'!k"&amp;$G$1),INDIRECT("'数据-取费表'!ah"&amp;$G$1))</f>
        <v>0</v>
      </c>
      <c r="G7" s="1381"/>
      <c r="H7" s="304"/>
      <c r="I7" s="3753"/>
      <c r="J7" s="306"/>
      <c r="K7" s="307"/>
      <c r="L7" s="302" t="s">
        <v>696</v>
      </c>
      <c r="M7" s="303">
        <f ca="1">F7</f>
        <v>0</v>
      </c>
    </row>
    <row r="8" spans="1:37" ht="18" customHeight="1">
      <c r="A8" s="304"/>
      <c r="B8" s="3753"/>
      <c r="C8" s="306"/>
      <c r="D8" s="307"/>
      <c r="E8" s="302" t="s">
        <v>697</v>
      </c>
      <c r="F8" s="303">
        <f ca="1">INDIRECT("'数据-取费表'!ai"&amp;$G$1)</f>
        <v>0</v>
      </c>
      <c r="G8" s="1381"/>
      <c r="H8" s="304"/>
      <c r="I8" s="3753"/>
      <c r="J8" s="306"/>
      <c r="K8" s="307"/>
      <c r="L8" s="302" t="s">
        <v>697</v>
      </c>
      <c r="M8" s="303">
        <f ca="1">INDIRECT("'数据-取费表'!ai"&amp;$G$1)</f>
        <v>0</v>
      </c>
    </row>
    <row r="9" spans="1:37" ht="18" customHeight="1">
      <c r="A9" s="304"/>
      <c r="B9" s="3754"/>
      <c r="C9" s="306"/>
      <c r="D9" s="307"/>
      <c r="E9" s="302" t="s">
        <v>698</v>
      </c>
      <c r="F9" s="312">
        <f ca="1">INDIRECT("'数据-取费表'!w"&amp;$G$1)</f>
        <v>0</v>
      </c>
      <c r="G9" s="1381"/>
      <c r="H9" s="304"/>
      <c r="I9" s="3754"/>
      <c r="J9" s="306"/>
      <c r="K9" s="307"/>
      <c r="L9" s="313" t="s">
        <v>698</v>
      </c>
      <c r="M9" s="314">
        <f ca="1">INDIRECT("'数据-取费表'!ab"&amp;$G$1)</f>
        <v>0</v>
      </c>
    </row>
    <row r="10" spans="1:37" ht="18" customHeight="1">
      <c r="A10" s="1066" t="s">
        <v>401</v>
      </c>
      <c r="B10" s="1362" t="s">
        <v>699</v>
      </c>
      <c r="C10" s="316">
        <f ca="1">ROUND(IF(F10="押一",C6/12*F11,IF(F10="押二",C6/12*2*F11,IF(F10="押三",C6/12*3*F11,C11*F11))),0)</f>
        <v>0</v>
      </c>
      <c r="D10" s="1363" t="s">
        <v>2113</v>
      </c>
      <c r="E10" s="313" t="s">
        <v>700</v>
      </c>
      <c r="F10" s="1113"/>
      <c r="G10" s="1381"/>
      <c r="H10" s="1066" t="s">
        <v>401</v>
      </c>
      <c r="I10" s="1362" t="s">
        <v>699</v>
      </c>
      <c r="J10" s="301">
        <f ca="1">ROUND(IF(M10="押一",J6/12*M11,IF(M10="押二",J6/12*2*M11,IF(M10="押三",J6/12*3*M11,J11*M11))),0)</f>
        <v>0</v>
      </c>
      <c r="K10" s="1374" t="s">
        <v>2115</v>
      </c>
      <c r="L10" s="313" t="s">
        <v>700</v>
      </c>
      <c r="M10" s="1113"/>
    </row>
    <row r="11" spans="1:37" ht="18" customHeight="1">
      <c r="A11" s="308"/>
      <c r="B11" s="1364" t="s">
        <v>889</v>
      </c>
      <c r="C11" s="956"/>
      <c r="D11" s="307"/>
      <c r="E11" s="313" t="s">
        <v>701</v>
      </c>
      <c r="F11" s="314">
        <f ca="1">'数据-取费表'!B39</f>
        <v>1.4999999999999999E-2</v>
      </c>
      <c r="G11" s="1381"/>
      <c r="H11" s="1074"/>
      <c r="I11" s="1364" t="s">
        <v>890</v>
      </c>
      <c r="J11" s="956"/>
      <c r="K11" s="684"/>
      <c r="L11" s="313" t="s">
        <v>701</v>
      </c>
      <c r="M11" s="859">
        <f ca="1">'数据-取费表'!B39</f>
        <v>1.4999999999999999E-2</v>
      </c>
    </row>
    <row r="12" spans="1:37" ht="18" customHeight="1" thickBot="1">
      <c r="A12" s="1080" t="s">
        <v>436</v>
      </c>
      <c r="B12" s="1366" t="s">
        <v>702</v>
      </c>
      <c r="C12" s="1081"/>
      <c r="D12" s="1082"/>
      <c r="E12" s="1087"/>
      <c r="F12" s="1083"/>
      <c r="G12" s="1381"/>
      <c r="H12" s="1080" t="s">
        <v>436</v>
      </c>
      <c r="I12" s="1366" t="s">
        <v>702</v>
      </c>
      <c r="J12" s="1081"/>
      <c r="K12" s="1095"/>
      <c r="L12" s="1087"/>
      <c r="M12" s="1096"/>
    </row>
    <row r="13" spans="1:37" ht="18" customHeight="1" thickTop="1">
      <c r="A13" s="1076">
        <v>2</v>
      </c>
      <c r="B13" s="1077" t="s">
        <v>703</v>
      </c>
      <c r="C13" s="310">
        <f ca="1">ROUND(C29*F13,0)</f>
        <v>0</v>
      </c>
      <c r="D13" s="1078" t="s">
        <v>704</v>
      </c>
      <c r="E13" s="1078" t="s">
        <v>705</v>
      </c>
      <c r="F13" s="1079">
        <f ca="1">INDIRECT("'数据-取费表'!y"&amp;$G$1)</f>
        <v>0</v>
      </c>
      <c r="G13" s="1381"/>
      <c r="H13" s="1076">
        <v>2</v>
      </c>
      <c r="I13" s="1077" t="s">
        <v>703</v>
      </c>
      <c r="J13" s="1065">
        <f ca="1">ROUND(J14*J15,0)</f>
        <v>0</v>
      </c>
      <c r="K13" s="1084" t="s">
        <v>704</v>
      </c>
      <c r="L13" s="1389"/>
      <c r="M13" s="1390"/>
    </row>
    <row r="14" spans="1:37" ht="18" customHeight="1">
      <c r="A14" s="979" t="s">
        <v>396</v>
      </c>
      <c r="B14" s="302" t="s">
        <v>706</v>
      </c>
      <c r="C14" s="318">
        <f ca="1">ROUND(INDIRECT("'数据-取费表'!l"&amp;$G$1)*F43+'数据-取费表'!L14*INDIRECT("'数据-取费表'!S"&amp;$G$1),0)</f>
        <v>0</v>
      </c>
      <c r="D14" s="1342" t="s">
        <v>707</v>
      </c>
      <c r="E14" s="1339"/>
      <c r="F14" s="319"/>
      <c r="G14" s="1381"/>
      <c r="H14" s="979" t="s">
        <v>397</v>
      </c>
      <c r="I14" s="302" t="s">
        <v>708</v>
      </c>
      <c r="J14" s="21">
        <f ca="1">C29</f>
        <v>0</v>
      </c>
      <c r="K14" s="12"/>
      <c r="L14" s="804"/>
      <c r="M14" s="805"/>
    </row>
    <row r="15" spans="1:37" s="1394" customFormat="1" ht="18" customHeight="1" thickBot="1">
      <c r="A15" s="979" t="s">
        <v>398</v>
      </c>
      <c r="B15" s="302" t="s">
        <v>709</v>
      </c>
      <c r="C15" s="21">
        <f ca="1">ROUND(C14*F15,0)</f>
        <v>0</v>
      </c>
      <c r="D15" s="320" t="s">
        <v>710</v>
      </c>
      <c r="E15" s="320" t="s">
        <v>711</v>
      </c>
      <c r="F15" s="321">
        <f>'数据-取费表'!B33</f>
        <v>0.05</v>
      </c>
      <c r="G15" s="1393"/>
      <c r="H15" s="1086" t="s">
        <v>401</v>
      </c>
      <c r="I15" s="1087" t="s">
        <v>705</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79" t="s">
        <v>679</v>
      </c>
      <c r="B16" s="302" t="s">
        <v>712</v>
      </c>
      <c r="C16" s="21">
        <f ca="1">ROUND(INDIRECT("'数据-取费表'!l"&amp;$G$1)*F43*F16,0)</f>
        <v>0</v>
      </c>
      <c r="D16" s="302" t="s">
        <v>710</v>
      </c>
      <c r="E16" s="302" t="s">
        <v>711</v>
      </c>
      <c r="F16" s="322">
        <f ca="1">IF(INDIRECT("'数据-取费表'!c"&amp;$G$1)="住宅",'数据-取费表'!B34,0)</f>
        <v>0</v>
      </c>
      <c r="G16" s="1381"/>
      <c r="H16" s="1076" t="s">
        <v>392</v>
      </c>
      <c r="I16" s="1077" t="s">
        <v>713</v>
      </c>
      <c r="J16" s="310">
        <f ca="1">ROUND(J17+J22+J23+J24,0)</f>
        <v>0</v>
      </c>
      <c r="K16" s="1084" t="s">
        <v>714</v>
      </c>
      <c r="L16" s="1085"/>
      <c r="M16" s="1069"/>
    </row>
    <row r="17" spans="1:37" s="1394" customFormat="1" ht="18" customHeight="1">
      <c r="A17" s="979" t="s">
        <v>680</v>
      </c>
      <c r="B17" s="302" t="s">
        <v>715</v>
      </c>
      <c r="C17" s="21">
        <f ca="1">ROUND(F17*(F43+INDIRECT("'数据-取费表'!S"&amp;$G$1)),0)</f>
        <v>0</v>
      </c>
      <c r="D17" s="302" t="s">
        <v>716</v>
      </c>
      <c r="E17" s="302" t="s">
        <v>717</v>
      </c>
      <c r="F17" s="23">
        <f>'数据-取费表'!B35</f>
        <v>200</v>
      </c>
      <c r="G17" s="1393"/>
      <c r="H17" s="979" t="s">
        <v>397</v>
      </c>
      <c r="I17" s="302" t="s">
        <v>718</v>
      </c>
      <c r="J17" s="2313">
        <f ca="1">ROUND(IF(AND(项目基本情况!B11="自然人",项目基本情况!B10="北京市"),J6*M17/(1+'数据-取费表'!C42),J18+J19+J20),0)</f>
        <v>0</v>
      </c>
      <c r="K17" s="1342" t="s">
        <v>719</v>
      </c>
      <c r="L17" s="1341" t="s">
        <v>720</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79" t="s">
        <v>681</v>
      </c>
      <c r="B18" s="302" t="s">
        <v>721</v>
      </c>
      <c r="C18" s="21">
        <f ca="1">ROUND(C14*F18,0)</f>
        <v>0</v>
      </c>
      <c r="D18" s="302" t="s">
        <v>710</v>
      </c>
      <c r="E18" s="302" t="s">
        <v>711</v>
      </c>
      <c r="F18" s="322">
        <f>'数据-取费表'!B36</f>
        <v>1.4999999999999999E-2</v>
      </c>
      <c r="G18" s="1393"/>
      <c r="H18" s="979" t="s">
        <v>396</v>
      </c>
      <c r="I18" s="302" t="s">
        <v>722</v>
      </c>
      <c r="J18" s="21">
        <f ca="1">ROUND(J6*M18/(1+'数据-取费表'!C42),0)</f>
        <v>0</v>
      </c>
      <c r="K18" s="1341" t="s">
        <v>723</v>
      </c>
      <c r="L18" s="302" t="s">
        <v>711</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79" t="s">
        <v>397</v>
      </c>
      <c r="B19" s="302" t="s">
        <v>724</v>
      </c>
      <c r="C19" s="21">
        <f ca="1">SUM(C14:C18)</f>
        <v>0</v>
      </c>
      <c r="D19" s="131" t="s">
        <v>725</v>
      </c>
      <c r="E19" s="1357"/>
      <c r="F19" s="23"/>
      <c r="G19" s="1381"/>
      <c r="H19" s="979" t="s">
        <v>398</v>
      </c>
      <c r="I19" s="302" t="s">
        <v>726</v>
      </c>
      <c r="J19" s="21">
        <f ca="1">IF(K19="按租金收入计税",ROUND(J6*M19/(1+'数据-取费表'!C42),0),ROUND(C29*M19*0.7,0))</f>
        <v>0</v>
      </c>
      <c r="K19" s="1367" t="s">
        <v>3337</v>
      </c>
      <c r="L19" s="302" t="s">
        <v>711</v>
      </c>
      <c r="M19" s="322">
        <f>IF(K19="按租金收入计税",'数据-取费表'!B51,'数据-取费表'!B50)</f>
        <v>0.12</v>
      </c>
    </row>
    <row r="20" spans="1:37" s="1394" customFormat="1" ht="18" customHeight="1">
      <c r="A20" s="979" t="s">
        <v>401</v>
      </c>
      <c r="B20" s="302" t="s">
        <v>727</v>
      </c>
      <c r="C20" s="21">
        <f ca="1">ROUND(C19*F20,0)</f>
        <v>0</v>
      </c>
      <c r="D20" s="323" t="s">
        <v>728</v>
      </c>
      <c r="E20" s="302" t="s">
        <v>711</v>
      </c>
      <c r="F20" s="322">
        <f>'数据-取费表'!B37</f>
        <v>0.03</v>
      </c>
      <c r="G20" s="1393"/>
      <c r="H20" s="979" t="s">
        <v>679</v>
      </c>
      <c r="I20" s="155" t="s">
        <v>729</v>
      </c>
      <c r="J20" s="22">
        <f ca="1">ROUND(M20*M21,0)</f>
        <v>0</v>
      </c>
      <c r="K20" s="324" t="s">
        <v>730</v>
      </c>
      <c r="L20" s="302" t="s">
        <v>731</v>
      </c>
      <c r="M20" s="325">
        <f>'数据-取费表'!B52</f>
        <v>18</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79" t="s">
        <v>436</v>
      </c>
      <c r="B21" s="302" t="s">
        <v>732</v>
      </c>
      <c r="C21" s="21" t="s">
        <v>0</v>
      </c>
      <c r="D21" s="323" t="s">
        <v>733</v>
      </c>
      <c r="E21" s="302" t="s">
        <v>734</v>
      </c>
      <c r="F21" s="322">
        <f>'数据-取费表'!B38</f>
        <v>0.03</v>
      </c>
      <c r="G21" s="1393"/>
      <c r="H21" s="326"/>
      <c r="I21" s="311"/>
      <c r="J21" s="26"/>
      <c r="K21" s="327"/>
      <c r="L21" s="302" t="s">
        <v>735</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79" t="s">
        <v>682</v>
      </c>
      <c r="B22" s="302" t="s">
        <v>736</v>
      </c>
      <c r="C22" s="21"/>
      <c r="D22" s="131" t="str">
        <f>IF(F23&lt;=1,"单利计息。","复利计息。")&amp;"建造成本、管理费用、销售费用产生的利息。"</f>
        <v>复利计息。建造成本、管理费用、销售费用产生的利息。</v>
      </c>
      <c r="E22" s="1357"/>
      <c r="F22" s="23"/>
      <c r="G22" s="1381"/>
      <c r="H22" s="979" t="s">
        <v>401</v>
      </c>
      <c r="I22" s="302" t="s">
        <v>737</v>
      </c>
      <c r="J22" s="21">
        <f ca="1">ROUND(J14*M22,0)</f>
        <v>0</v>
      </c>
      <c r="K22" s="1341" t="s">
        <v>738</v>
      </c>
      <c r="L22" s="302" t="s">
        <v>711</v>
      </c>
      <c r="M22" s="328">
        <f ca="1">INDIRECT("'数据-取费表'!Ak"&amp;$G$1)</f>
        <v>0</v>
      </c>
    </row>
    <row r="23" spans="1:37" s="1394" customFormat="1" ht="18" customHeight="1">
      <c r="A23" s="979" t="s">
        <v>396</v>
      </c>
      <c r="B23" s="302" t="s">
        <v>739</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740</v>
      </c>
      <c r="F23" s="325">
        <f>'数据-取费表'!B20</f>
        <v>3</v>
      </c>
      <c r="G23" s="1393"/>
      <c r="H23" s="979" t="s">
        <v>436</v>
      </c>
      <c r="I23" s="302" t="s">
        <v>741</v>
      </c>
      <c r="J23" s="21">
        <f ca="1">ROUND(J13*M23,0)</f>
        <v>0</v>
      </c>
      <c r="K23" s="1341" t="s">
        <v>742</v>
      </c>
      <c r="L23" s="302" t="s">
        <v>743</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79" t="s">
        <v>744</v>
      </c>
      <c r="B24" s="302" t="s">
        <v>745</v>
      </c>
      <c r="C24" s="21">
        <f ca="1">ROUND(IF('数据-取费表'!B22&lt;=1,F21*F24*F23/2,F21*(POWER((1+F24),F23/2)-1)),4)</f>
        <v>1.6000000000000001E-3</v>
      </c>
      <c r="D24" s="329" t="str">
        <f>IF(F23&lt;=1,"销售费用×利率×(建设周期÷2)","销售费用×((1+利率)^(建设周期÷2)-1)")</f>
        <v>销售费用×((1+利率)^(建设周期÷2)-1)</v>
      </c>
      <c r="E24" s="302" t="s">
        <v>746</v>
      </c>
      <c r="F24" s="331">
        <f ca="1">'数据-取费表'!B40</f>
        <v>3.4500000000000003E-2</v>
      </c>
      <c r="G24" s="1393"/>
      <c r="H24" s="1086" t="s">
        <v>683</v>
      </c>
      <c r="I24" s="1087" t="s">
        <v>727</v>
      </c>
      <c r="J24" s="1088">
        <f ca="1">ROUND(J5*M24,0)</f>
        <v>0</v>
      </c>
      <c r="K24" s="1089" t="s">
        <v>747</v>
      </c>
      <c r="L24" s="1087" t="s">
        <v>743</v>
      </c>
      <c r="M24" s="1083">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79" t="s">
        <v>748</v>
      </c>
      <c r="B25" s="302" t="s">
        <v>749</v>
      </c>
      <c r="C25" s="21"/>
      <c r="D25" s="131" t="s">
        <v>750</v>
      </c>
      <c r="E25" s="1357"/>
      <c r="F25" s="23"/>
      <c r="G25" s="1381"/>
      <c r="H25" s="1076" t="s">
        <v>393</v>
      </c>
      <c r="I25" s="1091" t="s">
        <v>751</v>
      </c>
      <c r="J25" s="310">
        <f ca="1">J5-J16</f>
        <v>0</v>
      </c>
      <c r="K25" s="1092" t="s">
        <v>752</v>
      </c>
      <c r="L25" s="1093"/>
      <c r="M25" s="1094"/>
    </row>
    <row r="26" spans="1:37" ht="18" customHeight="1">
      <c r="A26" s="979" t="s">
        <v>396</v>
      </c>
      <c r="B26" s="302" t="s">
        <v>753</v>
      </c>
      <c r="C26" s="21">
        <f ca="1">ROUND((C19+C20)*F26,0)</f>
        <v>0</v>
      </c>
      <c r="D26" s="323" t="s">
        <v>754</v>
      </c>
      <c r="E26" s="313" t="s">
        <v>755</v>
      </c>
      <c r="F26" s="312">
        <f ca="1">INDIRECT("'数据-取费表'!q"&amp;$G$1)</f>
        <v>0</v>
      </c>
      <c r="G26" s="1381"/>
      <c r="H26" s="299" t="s">
        <v>394</v>
      </c>
      <c r="I26" s="300" t="s">
        <v>756</v>
      </c>
      <c r="J26" s="301">
        <f ca="1">IF(J5&lt;&gt;0,ROUND(J25*(1-((1+M28)/(1+M26))^M27)/(M26-M28),0),0)</f>
        <v>0</v>
      </c>
      <c r="K26" s="324" t="s">
        <v>757</v>
      </c>
      <c r="L26" s="302" t="s">
        <v>758</v>
      </c>
      <c r="M26" s="312">
        <f ca="1">INDIRECT("'数据-取费表'!I"&amp;$G$1)</f>
        <v>0</v>
      </c>
    </row>
    <row r="27" spans="1:37" ht="18" customHeight="1">
      <c r="A27" s="979" t="s">
        <v>398</v>
      </c>
      <c r="B27" s="302" t="s">
        <v>759</v>
      </c>
      <c r="C27" s="21">
        <f ca="1">ROUND(F21*F26,4)</f>
        <v>0</v>
      </c>
      <c r="D27" s="323" t="s">
        <v>760</v>
      </c>
      <c r="E27" s="320"/>
      <c r="F27" s="321"/>
      <c r="G27" s="1381"/>
      <c r="H27" s="304"/>
      <c r="I27" s="305"/>
      <c r="J27" s="306"/>
      <c r="K27" s="332" t="s">
        <v>761</v>
      </c>
      <c r="L27" s="302" t="s">
        <v>762</v>
      </c>
      <c r="M27" s="333">
        <f ca="1">INDIRECT("'数据-取费表'!ag"&amp;$G$1)</f>
        <v>0</v>
      </c>
    </row>
    <row r="28" spans="1:37" s="1394" customFormat="1" ht="18" customHeight="1">
      <c r="A28" s="979" t="s">
        <v>399</v>
      </c>
      <c r="B28" s="302" t="s">
        <v>763</v>
      </c>
      <c r="C28" s="21">
        <f>ROUND(F28/(1+'数据-取费表'!C42),4)</f>
        <v>5.33E-2</v>
      </c>
      <c r="D28" s="323" t="s">
        <v>764</v>
      </c>
      <c r="E28" s="302" t="s">
        <v>711</v>
      </c>
      <c r="F28" s="322">
        <f>'数据-取费表'!B41</f>
        <v>5.6000000000000001E-2</v>
      </c>
      <c r="G28" s="1393"/>
      <c r="H28" s="308"/>
      <c r="I28" s="309"/>
      <c r="J28" s="310"/>
      <c r="K28" s="327"/>
      <c r="L28" s="302" t="s">
        <v>765</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400</v>
      </c>
      <c r="B29" s="1087" t="s">
        <v>766</v>
      </c>
      <c r="C29" s="1088">
        <f ca="1">ROUND((C19+C20+C23+C26)/(1-F21-C24-C27-C28),0)</f>
        <v>0</v>
      </c>
      <c r="D29" s="1089"/>
      <c r="E29" s="1087"/>
      <c r="F29" s="1090"/>
      <c r="G29" s="1393"/>
      <c r="H29" s="334" t="s">
        <v>395</v>
      </c>
      <c r="I29" s="335" t="s">
        <v>767</v>
      </c>
      <c r="J29" s="336">
        <f ca="1">ROUND(J26/(1+F40)^F41,0)</f>
        <v>0</v>
      </c>
      <c r="K29" s="337" t="s">
        <v>768</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392</v>
      </c>
      <c r="B30" s="1077" t="s">
        <v>713</v>
      </c>
      <c r="C30" s="310">
        <f ca="1">ROUND(C31+C36+C37+C38,0)</f>
        <v>0</v>
      </c>
      <c r="D30" s="1084" t="s">
        <v>714</v>
      </c>
      <c r="E30" s="1085"/>
      <c r="F30" s="1069"/>
      <c r="G30" s="1381"/>
      <c r="H30" s="2694"/>
      <c r="I30" s="1395"/>
      <c r="J30" s="1396"/>
      <c r="K30" s="2472"/>
      <c r="L30" s="2695"/>
      <c r="M30" s="2696"/>
    </row>
    <row r="31" spans="1:37" ht="18" customHeight="1">
      <c r="A31" s="979" t="s">
        <v>397</v>
      </c>
      <c r="B31" s="302" t="s">
        <v>718</v>
      </c>
      <c r="C31" s="2313">
        <f ca="1">ROUND(IF(AND(项目基本情况!B11="自然人",项目基本情况!B10="北京市"),C6*F31/(1+'数据-取费表'!C42),C32+C33+C34),0)</f>
        <v>0</v>
      </c>
      <c r="D31" s="1342" t="s">
        <v>719</v>
      </c>
      <c r="E31" s="1341" t="s">
        <v>769</v>
      </c>
      <c r="F31" s="2312" t="str">
        <f>IF(项目基本情况!B11="企业","——",IF(M47="住宅",IF(F6*F7*F8/12/(1+'数据-取费表'!F30)&gt;100000,4%,2.5%),IF(F6*F7*F8/12/(1+'数据-取费表'!F30)&gt;100000,12%,7%)))</f>
        <v>——</v>
      </c>
      <c r="G31" s="1381"/>
      <c r="H31" s="2805" t="s">
        <v>2307</v>
      </c>
      <c r="I31" s="1395"/>
      <c r="J31" s="1396"/>
      <c r="K31" s="2472"/>
      <c r="L31" s="2695"/>
      <c r="M31" s="2696"/>
    </row>
    <row r="32" spans="1:37" ht="18" customHeight="1">
      <c r="A32" s="979" t="s">
        <v>396</v>
      </c>
      <c r="B32" s="302" t="s">
        <v>722</v>
      </c>
      <c r="C32" s="21">
        <f ca="1">IF(项目基本情况!B11="自然人","——",ROUND(C6*F32/(1+'数据-取费表'!C42),0))</f>
        <v>0</v>
      </c>
      <c r="D32" s="1341" t="s">
        <v>723</v>
      </c>
      <c r="E32" s="302" t="s">
        <v>711</v>
      </c>
      <c r="F32" s="331">
        <f>'数据-取费表'!B41</f>
        <v>5.6000000000000001E-2</v>
      </c>
      <c r="G32" s="1381"/>
      <c r="H32" s="2694"/>
      <c r="I32" s="1395"/>
      <c r="J32" s="1396"/>
      <c r="K32" s="2472"/>
      <c r="L32" s="2695"/>
      <c r="M32" s="2696"/>
    </row>
    <row r="33" spans="1:18" ht="18" customHeight="1">
      <c r="A33" s="979" t="s">
        <v>398</v>
      </c>
      <c r="B33" s="302" t="s">
        <v>726</v>
      </c>
      <c r="C33" s="21">
        <f ca="1">IF(项目基本情况!B11="自然人","——",IF(D33="按租金收入计税",ROUND(C6*F33/(1+'数据-取费表'!C42),0),IF(D33="按房产原值计税",ROUND(C29*F33*0.7,0),INDIRECT("'数据-取费表'!Aj"&amp;$G$1))))</f>
        <v>0</v>
      </c>
      <c r="D33" s="1367" t="s">
        <v>3337</v>
      </c>
      <c r="E33" s="302" t="s">
        <v>711</v>
      </c>
      <c r="F33" s="322">
        <f>IF(D33="按票据","——",IF(D33="按租金收入计税",'数据-取费表'!B51,'数据-取费表'!B50))</f>
        <v>0.12</v>
      </c>
      <c r="G33" s="1381"/>
      <c r="H33" s="2697"/>
      <c r="I33" s="1395"/>
      <c r="J33" s="1396"/>
      <c r="K33" s="2698"/>
      <c r="L33" s="2697"/>
      <c r="M33" s="2697"/>
    </row>
    <row r="34" spans="1:18" ht="18" customHeight="1">
      <c r="A34" s="1066" t="s">
        <v>679</v>
      </c>
      <c r="B34" s="155" t="s">
        <v>729</v>
      </c>
      <c r="C34" s="22">
        <f ca="1">IF(项目基本情况!B11="自然人","——",ROUND(F34*F35,0))</f>
        <v>0</v>
      </c>
      <c r="D34" s="324" t="s">
        <v>730</v>
      </c>
      <c r="E34" s="302" t="s">
        <v>731</v>
      </c>
      <c r="F34" s="325">
        <f>'数据-取费表'!B52</f>
        <v>18</v>
      </c>
      <c r="G34" s="1381"/>
      <c r="H34" s="2694"/>
      <c r="I34" s="1395"/>
      <c r="J34" s="1396"/>
      <c r="K34" s="2699"/>
      <c r="L34" s="2700"/>
      <c r="M34" s="2700"/>
    </row>
    <row r="35" spans="1:18" ht="18" customHeight="1">
      <c r="A35" s="1100"/>
      <c r="B35" s="1098"/>
      <c r="C35" s="26"/>
      <c r="D35" s="327"/>
      <c r="E35" s="302" t="s">
        <v>735</v>
      </c>
      <c r="F35" s="303">
        <f ca="1">INDIRECT("'数据-取费表'!r"&amp;$G$1)</f>
        <v>0</v>
      </c>
      <c r="G35" s="1381"/>
      <c r="H35" s="2694"/>
      <c r="I35" s="1395"/>
      <c r="J35" s="1396"/>
      <c r="K35" s="2698"/>
      <c r="L35" s="2697"/>
      <c r="M35" s="2697"/>
    </row>
    <row r="36" spans="1:18" ht="18" customHeight="1">
      <c r="A36" s="1099" t="s">
        <v>401</v>
      </c>
      <c r="B36" s="302" t="s">
        <v>737</v>
      </c>
      <c r="C36" s="21">
        <f ca="1">ROUND(C29*F36,0)</f>
        <v>0</v>
      </c>
      <c r="D36" s="1341" t="s">
        <v>770</v>
      </c>
      <c r="E36" s="302" t="s">
        <v>711</v>
      </c>
      <c r="F36" s="328">
        <f ca="1">INDIRECT("'数据-取费表'!Ak"&amp;$G$1)</f>
        <v>0</v>
      </c>
      <c r="G36" s="1381"/>
      <c r="H36" s="2697"/>
      <c r="I36" s="1395"/>
      <c r="J36" s="1396"/>
      <c r="K36" s="2541"/>
      <c r="L36" s="2697"/>
      <c r="M36" s="2697"/>
    </row>
    <row r="37" spans="1:18" ht="18" customHeight="1">
      <c r="A37" s="979" t="s">
        <v>436</v>
      </c>
      <c r="B37" s="302" t="s">
        <v>741</v>
      </c>
      <c r="C37" s="21">
        <f ca="1">ROUND(C13*F37,0)</f>
        <v>0</v>
      </c>
      <c r="D37" s="1341" t="s">
        <v>742</v>
      </c>
      <c r="E37" s="302" t="s">
        <v>743</v>
      </c>
      <c r="F37" s="330">
        <f ca="1">INDIRECT("'数据-取费表'!Al"&amp;$G$1)</f>
        <v>0</v>
      </c>
      <c r="G37" s="1381"/>
      <c r="H37" s="2697"/>
      <c r="I37" s="1395"/>
      <c r="J37" s="1396"/>
      <c r="K37" s="2541"/>
      <c r="L37" s="2697"/>
      <c r="M37" s="2697"/>
    </row>
    <row r="38" spans="1:18" ht="18" customHeight="1" thickBot="1">
      <c r="A38" s="1086" t="s">
        <v>683</v>
      </c>
      <c r="B38" s="1087" t="s">
        <v>727</v>
      </c>
      <c r="C38" s="1088">
        <f ca="1">ROUND(C5*F38,0)</f>
        <v>0</v>
      </c>
      <c r="D38" s="1089" t="s">
        <v>747</v>
      </c>
      <c r="E38" s="1087" t="s">
        <v>743</v>
      </c>
      <c r="F38" s="1083">
        <f ca="1">INDIRECT("'数据-取费表'!Am"&amp;$G$1)</f>
        <v>0</v>
      </c>
      <c r="G38" s="1381"/>
      <c r="H38" s="2697"/>
      <c r="I38" s="1395"/>
      <c r="J38" s="1396"/>
      <c r="K38" s="2701"/>
      <c r="L38" s="2697"/>
      <c r="M38" s="2697"/>
    </row>
    <row r="39" spans="1:18" ht="24.6" customHeight="1" thickTop="1">
      <c r="A39" s="1076" t="s">
        <v>393</v>
      </c>
      <c r="B39" s="1091" t="s">
        <v>771</v>
      </c>
      <c r="C39" s="310">
        <f ca="1">C5-C30</f>
        <v>0</v>
      </c>
      <c r="D39" s="1092" t="s">
        <v>772</v>
      </c>
      <c r="E39" s="1093"/>
      <c r="F39" s="1094"/>
      <c r="G39" s="1381"/>
      <c r="H39" s="2697"/>
      <c r="I39" s="1395"/>
      <c r="J39" s="1396"/>
      <c r="K39" s="2701"/>
      <c r="L39" s="2697"/>
      <c r="M39" s="2697"/>
    </row>
    <row r="40" spans="1:18" ht="18" customHeight="1">
      <c r="A40" s="299" t="s">
        <v>394</v>
      </c>
      <c r="B40" s="300" t="s">
        <v>773</v>
      </c>
      <c r="C40" s="301" t="e">
        <f ca="1">ROUND(C39*(1-((1+F42)/(1+F40))^F41)/(F40-F42),0)</f>
        <v>#DIV/0!</v>
      </c>
      <c r="D40" s="324" t="s">
        <v>757</v>
      </c>
      <c r="E40" s="302" t="s">
        <v>758</v>
      </c>
      <c r="F40" s="312">
        <f ca="1">INDIRECT("'数据-取费表'!I"&amp;$G$1)</f>
        <v>0</v>
      </c>
      <c r="G40" s="1381"/>
      <c r="H40" s="1458"/>
      <c r="I40" s="1395"/>
      <c r="J40" s="1396"/>
      <c r="K40" s="2701"/>
      <c r="L40" s="1458"/>
      <c r="M40" s="1458"/>
    </row>
    <row r="41" spans="1:18" ht="18" customHeight="1">
      <c r="A41" s="304"/>
      <c r="B41" s="305"/>
      <c r="C41" s="306"/>
      <c r="D41" s="332" t="s">
        <v>774</v>
      </c>
      <c r="E41" s="302" t="s">
        <v>762</v>
      </c>
      <c r="F41" s="333">
        <f ca="1">IF(INDIRECT("'数据-取费表'!af"&amp;$G$1)=0,INDIRECT("'数据-取费表'!ae"&amp;$G$1),INDIRECT("'数据-取费表'!af"&amp;$G$1))</f>
        <v>0</v>
      </c>
      <c r="G41" s="1381"/>
      <c r="H41" s="1188"/>
      <c r="I41" s="1395"/>
      <c r="J41" s="1396"/>
      <c r="K41" s="2541"/>
      <c r="L41" s="1188"/>
      <c r="M41" s="1188"/>
    </row>
    <row r="42" spans="1:18" ht="18" customHeight="1">
      <c r="A42" s="308"/>
      <c r="B42" s="309"/>
      <c r="C42" s="310"/>
      <c r="D42" s="327"/>
      <c r="E42" s="302" t="s">
        <v>765</v>
      </c>
      <c r="F42" s="312">
        <f ca="1">INDIRECT("'数据-取费表'!v"&amp;$G$1)</f>
        <v>0</v>
      </c>
      <c r="G42" s="1381"/>
      <c r="H42" s="1188"/>
      <c r="I42" s="1395"/>
      <c r="J42" s="1396"/>
      <c r="K42" s="2541"/>
      <c r="L42" s="1188"/>
      <c r="M42" s="1188"/>
    </row>
    <row r="43" spans="1:18" ht="18" customHeight="1" thickBot="1">
      <c r="A43" s="334" t="s">
        <v>395</v>
      </c>
      <c r="B43" s="335" t="s">
        <v>775</v>
      </c>
      <c r="C43" s="336" t="e">
        <f ca="1">ROUND(C40/F43,0)</f>
        <v>#DIV/0!</v>
      </c>
      <c r="D43" s="337" t="s">
        <v>776</v>
      </c>
      <c r="E43" s="338" t="s">
        <v>777</v>
      </c>
      <c r="F43" s="339">
        <f ca="1">INDIRECT("'数据-取费表'!k"&amp;$G$1)</f>
        <v>0</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3353</v>
      </c>
      <c r="B45" s="1397"/>
      <c r="C45" s="1469" t="e">
        <f ca="1">ROUND((C68-C40)/10000,4)</f>
        <v>#DIV/0!</v>
      </c>
      <c r="D45" s="3429" t="s">
        <v>3354</v>
      </c>
      <c r="E45" s="1397"/>
      <c r="F45" s="1397"/>
      <c r="O45" s="1400" t="s">
        <v>807</v>
      </c>
      <c r="P45" s="1458"/>
      <c r="Q45" s="1458"/>
      <c r="R45" s="1458"/>
    </row>
    <row r="46" spans="1:18" s="1381" customFormat="1" ht="13.8" thickBot="1">
      <c r="A46" s="1401" t="s">
        <v>808</v>
      </c>
      <c r="C46" s="1402" t="e">
        <f ca="1">ROUND(C45,0)</f>
        <v>#DIV/0!</v>
      </c>
      <c r="D46" s="1403" t="str">
        <f>C2</f>
        <v>万元</v>
      </c>
      <c r="I46" s="1404" t="s">
        <v>809</v>
      </c>
      <c r="J46" s="1405"/>
      <c r="K46" s="1406"/>
      <c r="L46" s="1407" t="e">
        <f ca="1">IF(M47="住宅",0,IF(L48&gt;J51,L60,J60))</f>
        <v>#DIV/0!</v>
      </c>
      <c r="O46" s="1408" t="s">
        <v>810</v>
      </c>
      <c r="P46" s="1409" t="s">
        <v>811</v>
      </c>
      <c r="Q46" s="1410" t="s">
        <v>812</v>
      </c>
      <c r="R46" s="1410" t="s">
        <v>813</v>
      </c>
    </row>
    <row r="47" spans="1:18" s="1381" customFormat="1" ht="13.8" thickBot="1">
      <c r="A47" s="943" t="s">
        <v>686</v>
      </c>
      <c r="B47" s="975" t="s">
        <v>687</v>
      </c>
      <c r="C47" s="975" t="s">
        <v>688</v>
      </c>
      <c r="D47" s="975" t="s">
        <v>689</v>
      </c>
      <c r="E47" s="1055" t="s">
        <v>690</v>
      </c>
      <c r="F47" s="1056"/>
      <c r="G47" s="722"/>
      <c r="I47" s="1411" t="s">
        <v>814</v>
      </c>
      <c r="J47" s="1412"/>
      <c r="K47" s="1413" t="s">
        <v>815</v>
      </c>
      <c r="L47" s="1414">
        <f ca="1">INDIRECT("'数据-取费表'!d"&amp;$G$1)</f>
        <v>0</v>
      </c>
      <c r="M47" s="1377" t="str">
        <f>IF(ISNUMBER(FIND("住宅",C1)),"住宅","非住宅")</f>
        <v>非住宅</v>
      </c>
      <c r="O47" s="1415" t="s">
        <v>402</v>
      </c>
      <c r="P47" s="1416" t="s">
        <v>816</v>
      </c>
      <c r="Q47" s="1417" t="e">
        <f ca="1">C40+J29</f>
        <v>#DIV/0!</v>
      </c>
      <c r="R47" s="1417" t="s">
        <v>817</v>
      </c>
    </row>
    <row r="48" spans="1:18" s="1381" customFormat="1" ht="40.200000000000003" thickBot="1">
      <c r="A48" s="1107" t="s">
        <v>437</v>
      </c>
      <c r="B48" s="300" t="s">
        <v>691</v>
      </c>
      <c r="C48" s="1356">
        <f ca="1">C49+C53+C55</f>
        <v>0</v>
      </c>
      <c r="D48" s="1109"/>
      <c r="E48" s="1110"/>
      <c r="F48" s="959"/>
      <c r="G48" s="722"/>
      <c r="H48" s="723"/>
      <c r="I48" s="1418" t="s">
        <v>818</v>
      </c>
      <c r="J48" s="1419"/>
      <c r="K48" s="1420" t="s">
        <v>819</v>
      </c>
      <c r="L48" s="1421">
        <f ca="1">INDIRECT("'数据-取费表'!f"&amp;$G$1)</f>
        <v>0</v>
      </c>
      <c r="O48" s="1415" t="s">
        <v>403</v>
      </c>
      <c r="P48" s="1416" t="s">
        <v>820</v>
      </c>
      <c r="Q48" s="1417" t="e">
        <f ca="1">J60</f>
        <v>#DIV/0!</v>
      </c>
      <c r="R48" s="1417" t="s">
        <v>821</v>
      </c>
    </row>
    <row r="49" spans="1:18" s="1381" customFormat="1" ht="13.8" thickBot="1">
      <c r="A49" s="972" t="s">
        <v>438</v>
      </c>
      <c r="B49" s="1368" t="s">
        <v>778</v>
      </c>
      <c r="C49" s="1111">
        <f ca="1">ROUND(F49*F51*F50*(1-F52),0)</f>
        <v>0</v>
      </c>
      <c r="D49" s="1052" t="s">
        <v>694</v>
      </c>
      <c r="E49" s="1369" t="s">
        <v>779</v>
      </c>
      <c r="F49" s="1057"/>
      <c r="G49" s="1422"/>
      <c r="H49" s="723"/>
      <c r="I49" s="1418" t="s">
        <v>822</v>
      </c>
      <c r="J49" s="1423"/>
      <c r="K49" s="1420" t="s">
        <v>823</v>
      </c>
      <c r="L49" s="1424"/>
      <c r="O49" s="1425" t="s">
        <v>404</v>
      </c>
      <c r="P49" s="1416" t="s">
        <v>824</v>
      </c>
      <c r="Q49" s="1417">
        <f ca="1">C29</f>
        <v>0</v>
      </c>
      <c r="R49" s="1417" t="s">
        <v>817</v>
      </c>
    </row>
    <row r="50" spans="1:18" s="1381" customFormat="1" ht="13.8" thickBot="1">
      <c r="A50" s="973"/>
      <c r="B50" s="976"/>
      <c r="C50" s="977"/>
      <c r="D50" s="950"/>
      <c r="E50" s="1053" t="s">
        <v>696</v>
      </c>
      <c r="F50" s="1054">
        <f ca="1">F7</f>
        <v>0</v>
      </c>
      <c r="H50" s="723"/>
      <c r="I50" s="1418" t="s">
        <v>825</v>
      </c>
      <c r="J50" s="1426">
        <f>SUMPRODUCT((I63:I65=J47)*(J62:L62=J48)*(J63:L65))</f>
        <v>0</v>
      </c>
      <c r="K50" s="1420" t="s">
        <v>826</v>
      </c>
      <c r="L50" s="1424"/>
      <c r="M50" s="1427"/>
      <c r="O50" s="1425" t="s">
        <v>405</v>
      </c>
      <c r="P50" s="1416" t="s">
        <v>827</v>
      </c>
      <c r="Q50" s="1428" t="e">
        <f ca="1">J58</f>
        <v>#DIV/0!</v>
      </c>
      <c r="R50" s="1417"/>
    </row>
    <row r="51" spans="1:18" s="1381" customFormat="1" ht="13.8" thickBot="1">
      <c r="A51" s="974"/>
      <c r="B51" s="976"/>
      <c r="C51" s="977"/>
      <c r="D51" s="950"/>
      <c r="E51" s="978" t="s">
        <v>697</v>
      </c>
      <c r="F51" s="303">
        <f ca="1">F8</f>
        <v>0</v>
      </c>
      <c r="I51" s="1429" t="s">
        <v>828</v>
      </c>
      <c r="J51" s="1430">
        <f>IF(J49="",J50,J49+J50-YEAR('数据-取费表'!B2))</f>
        <v>0</v>
      </c>
      <c r="K51" s="1431" t="s">
        <v>829</v>
      </c>
      <c r="L51" s="1432">
        <f ca="1">ROUND(-PV(INDIRECT("'数据-取费表'!h"&amp;$G$1),J51,(C39-C13*C76),0),0)</f>
        <v>0</v>
      </c>
      <c r="M51" s="1433"/>
      <c r="O51" s="1425" t="s">
        <v>406</v>
      </c>
      <c r="P51" s="1416" t="s">
        <v>830</v>
      </c>
      <c r="Q51" s="1428">
        <f>J52</f>
        <v>0</v>
      </c>
      <c r="R51" s="1417"/>
    </row>
    <row r="52" spans="1:18" s="1381" customFormat="1" ht="13.8" thickBot="1">
      <c r="A52" s="974"/>
      <c r="B52" s="976"/>
      <c r="C52" s="977"/>
      <c r="D52" s="950"/>
      <c r="E52" s="978" t="s">
        <v>698</v>
      </c>
      <c r="F52" s="1051"/>
      <c r="I52" s="1434" t="s">
        <v>831</v>
      </c>
      <c r="J52" s="1435"/>
      <c r="K52" s="1434" t="s">
        <v>832</v>
      </c>
      <c r="L52" s="1435"/>
      <c r="O52" s="1425" t="s">
        <v>407</v>
      </c>
      <c r="P52" s="1416" t="s">
        <v>833</v>
      </c>
      <c r="Q52" s="1417">
        <f ca="1">J53</f>
        <v>0</v>
      </c>
      <c r="R52" s="1417" t="s">
        <v>834</v>
      </c>
    </row>
    <row r="53" spans="1:18" s="1381" customFormat="1" ht="30.75" customHeight="1" thickBot="1">
      <c r="A53" s="1108" t="s">
        <v>439</v>
      </c>
      <c r="B53" s="323" t="s">
        <v>699</v>
      </c>
      <c r="C53" s="316">
        <f ca="1">ROUND(IF(F53="押一",C49/12*F11,IF(F53="押二",C49/12*2*F11,IF(F53="押三",C49/12*3*F11,C54*F11))),0)</f>
        <v>0</v>
      </c>
      <c r="D53" s="1363" t="s">
        <v>2116</v>
      </c>
      <c r="E53" s="313" t="s">
        <v>700</v>
      </c>
      <c r="F53" s="1113"/>
      <c r="I53" s="1436" t="s">
        <v>835</v>
      </c>
      <c r="J53" s="2165">
        <f ca="1">IF(M47="住宅",IF(D1="——",MAX(J51,L48),MAX(J51,L48-'数据-取费表'!B24)),IF(D1="——",MIN(J51,L48),MIN(J51,L48-'数据-取费表'!B24)))</f>
        <v>0</v>
      </c>
      <c r="K53" s="3755" t="s">
        <v>836</v>
      </c>
      <c r="L53" s="3756"/>
      <c r="O53" s="1415" t="s">
        <v>408</v>
      </c>
      <c r="P53" s="1416" t="s">
        <v>837</v>
      </c>
      <c r="Q53" s="1417" t="e">
        <f ca="1">Q47+Q48</f>
        <v>#DIV/0!</v>
      </c>
      <c r="R53" s="1417" t="s">
        <v>409</v>
      </c>
    </row>
    <row r="54" spans="1:18" s="1381" customFormat="1" ht="13.8" thickBot="1">
      <c r="A54" s="972"/>
      <c r="B54" s="1470" t="s">
        <v>890</v>
      </c>
      <c r="C54" s="956"/>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838</v>
      </c>
      <c r="P54" s="1378"/>
      <c r="Q54" s="1378"/>
      <c r="R54" s="1378"/>
    </row>
    <row r="55" spans="1:18" s="1381" customFormat="1" ht="13.8" thickBot="1">
      <c r="A55" s="1080" t="s">
        <v>436</v>
      </c>
      <c r="B55" s="1366" t="s">
        <v>702</v>
      </c>
      <c r="C55" s="1081"/>
      <c r="D55" s="1363"/>
      <c r="E55" s="1371"/>
      <c r="F55" s="1437"/>
      <c r="I55" s="1440" t="s">
        <v>839</v>
      </c>
      <c r="J55" s="1441" t="e">
        <f ca="1">ROUND(IF(J47="钢混",J57/J50,1-(1-2%)*(J50-J57)/J50),3)</f>
        <v>#DIV/0!</v>
      </c>
      <c r="K55" s="1442" t="s">
        <v>840</v>
      </c>
      <c r="L55" s="1443"/>
      <c r="O55" s="1408" t="s">
        <v>810</v>
      </c>
      <c r="P55" s="1409" t="s">
        <v>811</v>
      </c>
      <c r="Q55" s="1410" t="s">
        <v>812</v>
      </c>
      <c r="R55" s="1410" t="s">
        <v>813</v>
      </c>
    </row>
    <row r="56" spans="1:18" s="1381" customFormat="1" ht="36" customHeight="1" thickTop="1" thickBot="1">
      <c r="A56" s="954">
        <v>2</v>
      </c>
      <c r="B56" s="955" t="s">
        <v>703</v>
      </c>
      <c r="C56" s="232">
        <f ca="1">C13</f>
        <v>0</v>
      </c>
      <c r="D56" s="1444"/>
      <c r="E56" s="1445"/>
      <c r="F56" s="1437"/>
      <c r="I56" s="1446" t="s">
        <v>841</v>
      </c>
      <c r="J56" s="1447"/>
      <c r="K56" s="1418" t="s">
        <v>842</v>
      </c>
      <c r="L56" s="1421">
        <f ca="1">IF(L48&lt;J51,"——",L48-J51)</f>
        <v>0</v>
      </c>
      <c r="O56" s="1415" t="s">
        <v>402</v>
      </c>
      <c r="P56" s="1416" t="s">
        <v>816</v>
      </c>
      <c r="Q56" s="1417" t="e">
        <f ca="1">C40+J29</f>
        <v>#DIV/0!</v>
      </c>
      <c r="R56" s="1417" t="s">
        <v>817</v>
      </c>
    </row>
    <row r="57" spans="1:18" s="1381" customFormat="1" ht="24.6" thickBot="1">
      <c r="A57" s="1448"/>
      <c r="B57" s="947" t="s">
        <v>766</v>
      </c>
      <c r="C57" s="238">
        <f ca="1">C29</f>
        <v>0</v>
      </c>
      <c r="D57" s="1449"/>
      <c r="E57" s="1450"/>
      <c r="F57" s="1451"/>
      <c r="I57" s="1452" t="s">
        <v>843</v>
      </c>
      <c r="J57" s="1453">
        <f ca="1">IF(OR(M47="住宅",J51&lt;L48,J56="是"),"——",J51-L48)</f>
        <v>0</v>
      </c>
      <c r="K57" s="1418" t="s">
        <v>891</v>
      </c>
      <c r="L57" s="1421">
        <f ca="1">IF(L48&lt;J51,"——",IF(L55="比较法",L49,IF(L55="基准地价",L50,L51)))</f>
        <v>0</v>
      </c>
      <c r="O57" s="1415" t="s">
        <v>403</v>
      </c>
      <c r="P57" s="1416" t="s">
        <v>892</v>
      </c>
      <c r="Q57" s="1417" t="e">
        <f ca="1">L60</f>
        <v>#DIV/0!</v>
      </c>
      <c r="R57" s="1417" t="s">
        <v>893</v>
      </c>
    </row>
    <row r="58" spans="1:18" s="1381" customFormat="1" ht="24.6" thickBot="1">
      <c r="A58" s="315" t="s">
        <v>392</v>
      </c>
      <c r="B58" s="955" t="s">
        <v>713</v>
      </c>
      <c r="C58" s="316">
        <f ca="1">ROUND(C59+C64+C65+C66,0)</f>
        <v>0</v>
      </c>
      <c r="D58" s="957" t="s">
        <v>714</v>
      </c>
      <c r="E58" s="958"/>
      <c r="F58" s="959"/>
      <c r="I58" s="1452" t="s">
        <v>847</v>
      </c>
      <c r="J58" s="1454" t="e">
        <f ca="1">IF(J55&lt;0.4,0.4,J55)</f>
        <v>#DIV/0!</v>
      </c>
      <c r="K58" s="1431" t="s">
        <v>894</v>
      </c>
      <c r="L58" s="1421" t="e">
        <f ca="1">ROUND(POWER(1+L52,L47-L48)*(POWER(1+L52,L48)-1)/(POWER(1+L52,L47)-1),4)</f>
        <v>#DIV/0!</v>
      </c>
      <c r="O58" s="1425" t="s">
        <v>404</v>
      </c>
      <c r="P58" s="1416" t="s">
        <v>849</v>
      </c>
      <c r="Q58" s="1417">
        <f>IF(L55="比较法",L49,IF(L55="基准地价",L50,0))</f>
        <v>0</v>
      </c>
      <c r="R58" s="1417" t="s">
        <v>817</v>
      </c>
    </row>
    <row r="59" spans="1:18" s="1381" customFormat="1" ht="24.6" thickBot="1">
      <c r="A59" s="979" t="s">
        <v>397</v>
      </c>
      <c r="B59" s="947" t="s">
        <v>718</v>
      </c>
      <c r="C59" s="2313">
        <f ca="1">ROUND(IF(AND(项目基本情况!B11="自然人",项目基本情况!B10="北京市"),C49*F59/(1+'数据-取费表'!C42),C60+C61+C62),0)</f>
        <v>0</v>
      </c>
      <c r="D59" s="960" t="s">
        <v>719</v>
      </c>
      <c r="E59" s="961" t="s">
        <v>720</v>
      </c>
      <c r="F59" s="2312" t="str">
        <f>IF(项目基本情况!B11="企业","——",IF('数据-取费表'!B10="住宅",IF(F49*F50*F51/12/(1+'数据-取费表'!F30)&gt;100000,4%,2.5%),IF(F49*F50*F51/12/(1+'数据-取费表'!F30)&gt;100000,12%,7%)))</f>
        <v>——</v>
      </c>
      <c r="I59" s="1452" t="s">
        <v>850</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405</v>
      </c>
      <c r="P59" s="1416" t="s">
        <v>851</v>
      </c>
      <c r="Q59" s="1428">
        <f>L52</f>
        <v>0</v>
      </c>
      <c r="R59" s="1417"/>
    </row>
    <row r="60" spans="1:18" s="1381" customFormat="1" ht="16.2" thickBot="1">
      <c r="A60" s="979" t="s">
        <v>396</v>
      </c>
      <c r="B60" s="947" t="s">
        <v>722</v>
      </c>
      <c r="C60" s="21">
        <f ca="1">IF(项目基本情况!B11="自然人","——",ROUND(C48*F60/(1+'数据-取费表'!C42),0))</f>
        <v>0</v>
      </c>
      <c r="D60" s="961" t="s">
        <v>723</v>
      </c>
      <c r="E60" s="947" t="s">
        <v>711</v>
      </c>
      <c r="F60" s="331">
        <f t="shared" ref="F60:F66" si="0">F32</f>
        <v>5.6000000000000001E-2</v>
      </c>
      <c r="I60" s="1455" t="s">
        <v>852</v>
      </c>
      <c r="J60" s="1456" t="e">
        <f ca="1">IF(OR(M47="住宅",J51&lt;L48,J56="是"),"0",ROUND(J59/(1+J52)^J53,0))</f>
        <v>#DIV/0!</v>
      </c>
      <c r="K60" s="1457" t="s">
        <v>853</v>
      </c>
      <c r="L60" s="1456" t="e">
        <f ca="1">IF(OR(M47="住宅",L48&lt;J51),0,ROUND(L57*(L58/L59-1),0))</f>
        <v>#DIV/0!</v>
      </c>
      <c r="O60" s="1425" t="s">
        <v>406</v>
      </c>
      <c r="P60" s="1416" t="s">
        <v>854</v>
      </c>
      <c r="Q60" s="1417" t="e">
        <f ca="1">L58</f>
        <v>#DIV/0!</v>
      </c>
      <c r="R60" s="1417" t="s">
        <v>855</v>
      </c>
    </row>
    <row r="61" spans="1:18" s="1381" customFormat="1" ht="13.8" thickBot="1">
      <c r="A61" s="979" t="s">
        <v>780</v>
      </c>
      <c r="B61" s="947" t="s">
        <v>781</v>
      </c>
      <c r="C61" s="21">
        <f ca="1">IF(项目基本情况!B11="自然人","——",IF(D61="按租金收入计税",ROUND(C49*F61/(1+'数据-取费表'!C42),0),IF(D61="按房产原值计税",ROUND(C57*F61*0.7,0),INDIRECT("'数据-取费表'!Aj"&amp;$G$1))))</f>
        <v>0</v>
      </c>
      <c r="D61" s="1367" t="s">
        <v>3337</v>
      </c>
      <c r="E61" s="947" t="s">
        <v>782</v>
      </c>
      <c r="F61" s="322">
        <f t="shared" si="0"/>
        <v>0.12</v>
      </c>
      <c r="I61" s="1458"/>
      <c r="J61" s="1458"/>
      <c r="K61" s="1458"/>
      <c r="L61" s="1458"/>
      <c r="O61" s="1425" t="s">
        <v>407</v>
      </c>
      <c r="P61" s="1416" t="str">
        <f>K59</f>
        <v>建筑物剩余耐用年限下的土地年期修正系数Kn</v>
      </c>
      <c r="Q61" s="1417" t="e">
        <f ca="1">L59</f>
        <v>#DIV/0!</v>
      </c>
      <c r="R61" s="1417" t="s">
        <v>856</v>
      </c>
    </row>
    <row r="62" spans="1:18" s="1381" customFormat="1" ht="13.8" thickBot="1">
      <c r="A62" s="979" t="s">
        <v>783</v>
      </c>
      <c r="B62" s="946" t="s">
        <v>784</v>
      </c>
      <c r="C62" s="22">
        <f ca="1">IF(项目基本情况!B11="自然人","——",ROUND(F62*F63,0))</f>
        <v>0</v>
      </c>
      <c r="D62" s="962" t="s">
        <v>785</v>
      </c>
      <c r="E62" s="947" t="s">
        <v>786</v>
      </c>
      <c r="F62" s="325">
        <f t="shared" si="0"/>
        <v>18</v>
      </c>
      <c r="I62" s="1459" t="s">
        <v>857</v>
      </c>
      <c r="J62" s="1460" t="s">
        <v>858</v>
      </c>
      <c r="K62" s="1460" t="s">
        <v>859</v>
      </c>
      <c r="L62" s="1460" t="s">
        <v>860</v>
      </c>
      <c r="M62" s="1461" t="s">
        <v>861</v>
      </c>
      <c r="O62" s="1415" t="s">
        <v>408</v>
      </c>
      <c r="P62" s="1416" t="s">
        <v>862</v>
      </c>
      <c r="Q62" s="1417" t="e">
        <f ca="1">Q56+Q57</f>
        <v>#DIV/0!</v>
      </c>
      <c r="R62" s="1417" t="s">
        <v>409</v>
      </c>
    </row>
    <row r="63" spans="1:18" s="1381" customFormat="1" ht="13.8" thickBot="1">
      <c r="A63" s="326"/>
      <c r="B63" s="953"/>
      <c r="C63" s="26"/>
      <c r="D63" s="963"/>
      <c r="E63" s="947" t="s">
        <v>787</v>
      </c>
      <c r="F63" s="303">
        <f t="shared" ca="1" si="0"/>
        <v>0</v>
      </c>
      <c r="I63" s="1459" t="s">
        <v>863</v>
      </c>
      <c r="J63" s="1460">
        <v>70</v>
      </c>
      <c r="K63" s="1460">
        <v>50</v>
      </c>
      <c r="L63" s="1460">
        <v>80</v>
      </c>
      <c r="M63" s="1462">
        <v>0.02</v>
      </c>
      <c r="O63" s="1400" t="s">
        <v>864</v>
      </c>
      <c r="P63" s="1378"/>
      <c r="Q63" s="1378"/>
      <c r="R63" s="1378"/>
    </row>
    <row r="64" spans="1:18" s="1381" customFormat="1" ht="13.8" thickBot="1">
      <c r="A64" s="979" t="s">
        <v>788</v>
      </c>
      <c r="B64" s="947" t="s">
        <v>789</v>
      </c>
      <c r="C64" s="21">
        <f ca="1">ROUND(C57*F64,0)</f>
        <v>0</v>
      </c>
      <c r="D64" s="961" t="s">
        <v>790</v>
      </c>
      <c r="E64" s="947" t="s">
        <v>782</v>
      </c>
      <c r="F64" s="328">
        <f t="shared" ca="1" si="0"/>
        <v>0</v>
      </c>
      <c r="I64" s="1459" t="s">
        <v>865</v>
      </c>
      <c r="J64" s="1460">
        <v>50</v>
      </c>
      <c r="K64" s="1460">
        <v>35</v>
      </c>
      <c r="L64" s="1460">
        <v>60</v>
      </c>
      <c r="M64" s="1461">
        <v>0</v>
      </c>
      <c r="O64" s="1408" t="s">
        <v>810</v>
      </c>
      <c r="P64" s="1409" t="s">
        <v>811</v>
      </c>
      <c r="Q64" s="1410" t="s">
        <v>812</v>
      </c>
      <c r="R64" s="1410" t="s">
        <v>813</v>
      </c>
    </row>
    <row r="65" spans="1:18" s="1381" customFormat="1" ht="13.8" thickBot="1">
      <c r="A65" s="979" t="s">
        <v>791</v>
      </c>
      <c r="B65" s="947" t="s">
        <v>741</v>
      </c>
      <c r="C65" s="21">
        <f ca="1">ROUND(C56*F65,0)</f>
        <v>0</v>
      </c>
      <c r="D65" s="961" t="s">
        <v>742</v>
      </c>
      <c r="E65" s="947" t="s">
        <v>743</v>
      </c>
      <c r="F65" s="330">
        <f t="shared" ca="1" si="0"/>
        <v>0</v>
      </c>
      <c r="I65" s="1459" t="s">
        <v>866</v>
      </c>
      <c r="J65" s="1460">
        <v>40</v>
      </c>
      <c r="K65" s="1460">
        <v>30</v>
      </c>
      <c r="L65" s="1460">
        <v>50</v>
      </c>
      <c r="M65" s="1462">
        <v>0.02</v>
      </c>
      <c r="O65" s="1415" t="s">
        <v>402</v>
      </c>
      <c r="P65" s="1416" t="s">
        <v>867</v>
      </c>
      <c r="Q65" s="1417" t="e">
        <f ca="1">C40+J29</f>
        <v>#DIV/0!</v>
      </c>
      <c r="R65" s="1417" t="s">
        <v>817</v>
      </c>
    </row>
    <row r="66" spans="1:18" s="1381" customFormat="1" ht="16.2" thickBot="1">
      <c r="A66" s="979" t="s">
        <v>792</v>
      </c>
      <c r="B66" s="947" t="s">
        <v>727</v>
      </c>
      <c r="C66" s="21">
        <f ca="1">ROUND(C48*F66,0)</f>
        <v>0</v>
      </c>
      <c r="D66" s="961" t="s">
        <v>793</v>
      </c>
      <c r="E66" s="947" t="s">
        <v>711</v>
      </c>
      <c r="F66" s="312">
        <f t="shared" ca="1" si="0"/>
        <v>0</v>
      </c>
      <c r="O66" s="1415" t="s">
        <v>403</v>
      </c>
      <c r="P66" s="1416" t="s">
        <v>845</v>
      </c>
      <c r="Q66" s="1417" t="e">
        <f ca="1">L60</f>
        <v>#DIV/0!</v>
      </c>
      <c r="R66" s="1417" t="s">
        <v>868</v>
      </c>
    </row>
    <row r="67" spans="1:18" s="1381" customFormat="1" ht="24.6" thickBot="1">
      <c r="A67" s="954" t="s">
        <v>393</v>
      </c>
      <c r="B67" s="964" t="s">
        <v>751</v>
      </c>
      <c r="C67" s="316">
        <f ca="1">C48-C58</f>
        <v>0</v>
      </c>
      <c r="D67" s="960" t="s">
        <v>752</v>
      </c>
      <c r="E67" s="965"/>
      <c r="F67" s="966"/>
      <c r="O67" s="1425" t="s">
        <v>404</v>
      </c>
      <c r="P67" s="1416" t="s">
        <v>849</v>
      </c>
      <c r="Q67" s="1463">
        <f ca="1">L51</f>
        <v>0</v>
      </c>
      <c r="R67" s="1417" t="s">
        <v>869</v>
      </c>
    </row>
    <row r="68" spans="1:18" s="1381" customFormat="1" ht="16.2" thickBot="1">
      <c r="A68" s="944" t="s">
        <v>394</v>
      </c>
      <c r="B68" s="945" t="s">
        <v>773</v>
      </c>
      <c r="C68" s="301" t="e">
        <f ca="1">ROUND(C67*(1-((1+F70)/(1+F68))^F69)/(F68-F70),0)</f>
        <v>#DIV/0!</v>
      </c>
      <c r="D68" s="962" t="s">
        <v>757</v>
      </c>
      <c r="E68" s="947" t="s">
        <v>758</v>
      </c>
      <c r="F68" s="312">
        <f ca="1">F40</f>
        <v>0</v>
      </c>
      <c r="O68" s="1425" t="s">
        <v>405</v>
      </c>
      <c r="P68" s="1464" t="s">
        <v>870</v>
      </c>
      <c r="Q68" s="1417">
        <f ca="1">ROUND(Q69-Q70*Q71,0)</f>
        <v>0</v>
      </c>
      <c r="R68" s="1417" t="s">
        <v>413</v>
      </c>
    </row>
    <row r="69" spans="1:18" s="1381" customFormat="1" ht="13.8" thickBot="1">
      <c r="A69" s="948"/>
      <c r="B69" s="949"/>
      <c r="C69" s="306"/>
      <c r="D69" s="967" t="s">
        <v>761</v>
      </c>
      <c r="E69" s="947" t="s">
        <v>762</v>
      </c>
      <c r="F69" s="333">
        <f ca="1">F41</f>
        <v>0</v>
      </c>
      <c r="O69" s="1425" t="s">
        <v>410</v>
      </c>
      <c r="P69" s="1464" t="s">
        <v>871</v>
      </c>
      <c r="Q69" s="1417">
        <f ca="1">C39</f>
        <v>0</v>
      </c>
      <c r="R69" s="1417" t="s">
        <v>817</v>
      </c>
    </row>
    <row r="70" spans="1:18" s="1381" customFormat="1" ht="13.8" thickBot="1">
      <c r="A70" s="951"/>
      <c r="B70" s="952"/>
      <c r="C70" s="310"/>
      <c r="D70" s="963"/>
      <c r="E70" s="947" t="s">
        <v>765</v>
      </c>
      <c r="F70" s="1051"/>
      <c r="O70" s="1425" t="s">
        <v>411</v>
      </c>
      <c r="P70" s="1464" t="s">
        <v>872</v>
      </c>
      <c r="Q70" s="1417">
        <f ca="1">C13</f>
        <v>0</v>
      </c>
      <c r="R70" s="1417" t="s">
        <v>817</v>
      </c>
    </row>
    <row r="71" spans="1:18" s="1381" customFormat="1" ht="13.8" thickBot="1">
      <c r="A71" s="968" t="s">
        <v>395</v>
      </c>
      <c r="B71" s="969" t="s">
        <v>775</v>
      </c>
      <c r="C71" s="336" t="e">
        <f ca="1">ROUND(C68/F71,0)</f>
        <v>#DIV/0!</v>
      </c>
      <c r="D71" s="970" t="s">
        <v>776</v>
      </c>
      <c r="E71" s="971" t="s">
        <v>777</v>
      </c>
      <c r="F71" s="339">
        <f ca="1">F43</f>
        <v>0</v>
      </c>
      <c r="O71" s="1425" t="s">
        <v>412</v>
      </c>
      <c r="P71" s="1464" t="s">
        <v>873</v>
      </c>
      <c r="Q71" s="1428">
        <f ca="1">C76</f>
        <v>0</v>
      </c>
      <c r="R71" s="1417"/>
    </row>
    <row r="72" spans="1:18" s="1381" customFormat="1" ht="13.8" thickBot="1">
      <c r="B72" s="726"/>
      <c r="C72" s="726"/>
      <c r="O72" s="1425" t="s">
        <v>406</v>
      </c>
      <c r="P72" s="1416" t="s">
        <v>851</v>
      </c>
      <c r="Q72" s="1428">
        <f>L52</f>
        <v>0</v>
      </c>
      <c r="R72" s="1417"/>
    </row>
    <row r="73" spans="1:18" ht="16.2" thickBot="1">
      <c r="A73" s="1381"/>
      <c r="B73" s="726"/>
      <c r="C73" s="726"/>
      <c r="D73" s="1381"/>
      <c r="E73" s="1381"/>
      <c r="F73" s="1381"/>
      <c r="O73" s="1425" t="s">
        <v>407</v>
      </c>
      <c r="P73" s="1416" t="s">
        <v>854</v>
      </c>
      <c r="Q73" s="1417" t="e">
        <f ca="1">L58</f>
        <v>#DIV/0!</v>
      </c>
      <c r="R73" s="1417" t="s">
        <v>855</v>
      </c>
    </row>
    <row r="74" spans="1:18" ht="13.8" thickBot="1">
      <c r="A74" s="1381"/>
      <c r="B74" s="273" t="s">
        <v>874</v>
      </c>
      <c r="C74" s="1466"/>
      <c r="D74" s="1381"/>
      <c r="E74" s="1381"/>
      <c r="F74" s="1381"/>
      <c r="O74" s="1425" t="s">
        <v>414</v>
      </c>
      <c r="P74" s="1416" t="str">
        <f>K59</f>
        <v>建筑物剩余耐用年限下的土地年期修正系数Kn</v>
      </c>
      <c r="Q74" s="1417" t="e">
        <f ca="1">L59</f>
        <v>#DIV/0!</v>
      </c>
      <c r="R74" s="1417" t="s">
        <v>856</v>
      </c>
    </row>
    <row r="75" spans="1:18" ht="13.8" thickBot="1">
      <c r="A75" s="1381"/>
      <c r="B75" s="340" t="s">
        <v>794</v>
      </c>
      <c r="C75" s="341">
        <f ca="1">ROUND(C13*C76,0)</f>
        <v>0</v>
      </c>
      <c r="D75" s="1381"/>
      <c r="E75" s="1381"/>
      <c r="F75" s="1381"/>
      <c r="K75" s="1399"/>
      <c r="L75" s="1381"/>
      <c r="O75" s="1415" t="s">
        <v>408</v>
      </c>
      <c r="P75" s="1416" t="s">
        <v>837</v>
      </c>
      <c r="Q75" s="1417" t="e">
        <f ca="1">Q65+Q66</f>
        <v>#DIV/0!</v>
      </c>
      <c r="R75" s="1417" t="s">
        <v>409</v>
      </c>
    </row>
    <row r="76" spans="1:18">
      <c r="B76" s="342" t="s">
        <v>795</v>
      </c>
      <c r="C76" s="343">
        <f ca="1">INDIRECT("'数据-取费表'!j"&amp;$G$1)</f>
        <v>0</v>
      </c>
      <c r="I76" s="1381"/>
      <c r="J76" s="1381"/>
      <c r="K76" s="1399"/>
      <c r="L76" s="1381"/>
    </row>
    <row r="77" spans="1:18">
      <c r="B77" s="344" t="s">
        <v>796</v>
      </c>
      <c r="C77" s="345"/>
      <c r="I77" s="1381"/>
      <c r="J77" s="1381"/>
      <c r="K77" s="1399"/>
      <c r="L77" s="1381"/>
    </row>
    <row r="78" spans="1:18">
      <c r="B78" s="270" t="s">
        <v>797</v>
      </c>
      <c r="C78" s="346"/>
    </row>
    <row r="79" spans="1:18">
      <c r="B79" s="340" t="s">
        <v>798</v>
      </c>
      <c r="C79" s="274" t="e">
        <f ca="1">1-C80</f>
        <v>#DIV/0!</v>
      </c>
    </row>
    <row r="80" spans="1:18">
      <c r="B80" s="340" t="s">
        <v>799</v>
      </c>
      <c r="C80" s="274" t="e">
        <f ca="1">ROUND(C75/C39,3)</f>
        <v>#DIV/0!</v>
      </c>
    </row>
    <row r="81" spans="2:3">
      <c r="B81" s="270" t="s">
        <v>800</v>
      </c>
      <c r="C81" s="238"/>
    </row>
    <row r="82" spans="2:3">
      <c r="B82" s="273" t="s">
        <v>801</v>
      </c>
      <c r="C82" s="275" t="e">
        <f ca="1">1-C83</f>
        <v>#DIV/0!</v>
      </c>
    </row>
    <row r="83" spans="2:3">
      <c r="B83" s="273" t="s">
        <v>802</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4" customWidth="1"/>
    <col min="2" max="16384" width="9" style="1474"/>
  </cols>
  <sheetData>
    <row r="1" spans="1:1" ht="22.8">
      <c r="A1" s="1473" t="s">
        <v>897</v>
      </c>
    </row>
    <row r="2" spans="1:1">
      <c r="A2" s="1475"/>
    </row>
    <row r="3" spans="1:1" ht="17.399999999999999">
      <c r="A3" s="1476" t="str">
        <f>项目基本情况!B5&amp;"："</f>
        <v>：</v>
      </c>
    </row>
    <row r="4" spans="1:1" ht="34.799999999999997">
      <c r="A4" s="1477" t="str">
        <f>"受贵公司委托，我公司对"&amp;项目基本情况!S1&amp;"进行了预评估。"</f>
        <v>受贵公司委托，我公司对北京市海淀区魏公村路6号院1号楼房地产抵押价值进行了预评估。</v>
      </c>
    </row>
    <row r="5" spans="1:1" ht="17.399999999999999">
      <c r="A5" s="1478" t="s">
        <v>898</v>
      </c>
    </row>
    <row r="6" spans="1:1" ht="17.399999999999999">
      <c r="A6" s="1479" t="s">
        <v>899</v>
      </c>
    </row>
    <row r="7" spans="1:1" ht="52.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估价对象为北京市海淀区魏公村路6号院1号楼房地产，为所有。根据《国有土地使用证》[]，估价对象（分摊）出让国有建设用地使用权面积为10426.78平方米，建筑面积为112144.48平方米。</v>
      </c>
    </row>
    <row r="8" spans="1:1" ht="54.6">
      <c r="A8" s="1480" t="s">
        <v>900</v>
      </c>
    </row>
    <row r="9" spans="1:1" ht="17.399999999999999">
      <c r="A9" s="1479" t="s">
        <v>901</v>
      </c>
    </row>
    <row r="10" spans="1:1" ht="69.59999999999999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魏公村路6号院1号楼房地产,属开发建设的，该项目尚在开发建设中。根据《国有土地使用证》[]，估价对象（分摊）出让国有建设用地使用权面积为10426.78平方米，规划建筑面积为112144.48平方米。</v>
      </c>
    </row>
    <row r="11" spans="1:1" ht="72">
      <c r="A11" s="1480" t="s">
        <v>902</v>
      </c>
    </row>
    <row r="12" spans="1:1" ht="17.399999999999999">
      <c r="A12" s="1478" t="s">
        <v>903</v>
      </c>
    </row>
    <row r="13" spans="1:1" ht="38.25" customHeight="1">
      <c r="A13" s="1481" t="str">
        <f>IF(项目基本情况!B8="抵押",IF(项目基本情况!B5=项目基本情况!B6,定义!C51,定义!B51),定义!D51)</f>
        <v>拟使用北京市海淀区魏公村路6号院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2" t="s">
        <v>904</v>
      </c>
    </row>
    <row r="15" spans="1:1" ht="17.399999999999999">
      <c r="A15" s="1483" t="str">
        <f>TEXT(项目基本情况!D3,"yyyy年m月d日;;")&amp;IF(项目基本情况!D3=项目基本情况!B3,"（评估专业人员实地查勘之日）","")</f>
        <v>2024年1月4日</v>
      </c>
    </row>
    <row r="16" spans="1:1" ht="17.399999999999999">
      <c r="A16" s="1482" t="s">
        <v>905</v>
      </c>
    </row>
    <row r="17" spans="1:1" ht="69.599999999999994">
      <c r="A17" s="1477" t="s">
        <v>906</v>
      </c>
    </row>
    <row r="18" spans="1:1" ht="69.59999999999999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4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2" t="s">
        <v>895</v>
      </c>
    </row>
    <row r="24" spans="1:1" ht="17.399999999999999">
      <c r="A24" s="1484" t="str">
        <f>"本次评估采用的主估价方法为"&amp;结果表!K4&amp;"和"&amp;结果表!L4&amp;"。"</f>
        <v>本次评估采用的主估价方法为成本法和收益法。</v>
      </c>
    </row>
    <row r="25" spans="1:1" ht="17.399999999999999">
      <c r="A25" s="1484"/>
    </row>
    <row r="26" spans="1:1" ht="17.399999999999999">
      <c r="A26" s="1485" t="s">
        <v>896</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2436</v>
      </c>
      <c r="B1" s="2829"/>
      <c r="C1" s="2841"/>
      <c r="D1" s="2841"/>
      <c r="E1" s="2830"/>
      <c r="F1" s="2831"/>
      <c r="G1" s="2832"/>
      <c r="J1" s="2835" t="s">
        <v>2315</v>
      </c>
      <c r="K1" s="2836"/>
      <c r="L1" s="2836"/>
      <c r="M1" s="2836"/>
      <c r="N1" s="2836"/>
      <c r="O1" s="2836"/>
      <c r="P1" s="2836"/>
      <c r="Q1" s="2836"/>
      <c r="R1" s="2837"/>
      <c r="S1" s="2838"/>
      <c r="T1" s="2838"/>
      <c r="U1" s="2838"/>
    </row>
    <row r="2" spans="1:22" s="2850" customFormat="1" ht="13.2" customHeight="1">
      <c r="A2" s="1382" t="s">
        <v>2316</v>
      </c>
      <c r="B2" s="2840" t="e">
        <f>IF(D2="——",C40,C40+E2)</f>
        <v>#DIV/0!</v>
      </c>
      <c r="C2" s="2841" t="s">
        <v>2317</v>
      </c>
      <c r="D2" s="3440" t="s">
        <v>3360</v>
      </c>
      <c r="E2" s="3441"/>
      <c r="F2" s="2843"/>
      <c r="G2" s="2844"/>
      <c r="H2" s="2845"/>
      <c r="I2" s="2846"/>
      <c r="J2" s="3763" t="s">
        <v>2318</v>
      </c>
      <c r="K2" s="3764"/>
      <c r="L2" s="2847" t="s">
        <v>2319</v>
      </c>
      <c r="M2" s="2847" t="s">
        <v>2320</v>
      </c>
      <c r="N2" s="2847" t="s">
        <v>2321</v>
      </c>
      <c r="O2" s="2847" t="s">
        <v>2322</v>
      </c>
      <c r="P2" s="2847" t="s">
        <v>2323</v>
      </c>
      <c r="Q2" s="2848" t="s">
        <v>2324</v>
      </c>
      <c r="R2" s="2849" t="s">
        <v>2325</v>
      </c>
      <c r="S2" s="2838"/>
      <c r="T2" s="2838"/>
      <c r="U2" s="2838"/>
      <c r="V2" s="2846"/>
    </row>
    <row r="3" spans="1:22" s="2850" customFormat="1" ht="13.2" customHeight="1">
      <c r="A3" s="2851" t="s">
        <v>2326</v>
      </c>
      <c r="B3" s="2852" t="e">
        <f>ROUND(B2*10000/B4,0)</f>
        <v>#DIV/0!</v>
      </c>
      <c r="C3" s="2841" t="s">
        <v>2327</v>
      </c>
      <c r="D3" s="2841"/>
      <c r="E3" s="2842"/>
      <c r="F3" s="2843"/>
      <c r="G3" s="2844"/>
      <c r="H3" s="2845"/>
      <c r="I3" s="2846"/>
      <c r="J3" s="3765" t="s">
        <v>2328</v>
      </c>
      <c r="K3" s="3766"/>
      <c r="L3" s="2853"/>
      <c r="M3" s="2853"/>
      <c r="N3" s="2853"/>
      <c r="O3" s="2853"/>
      <c r="P3" s="2853"/>
      <c r="Q3" s="2854"/>
      <c r="R3" s="2855">
        <f>SUM(L3:Q3)</f>
        <v>0</v>
      </c>
      <c r="S3" s="2838"/>
      <c r="T3" s="2838"/>
      <c r="U3" s="2838"/>
      <c r="V3" s="2846"/>
    </row>
    <row r="4" spans="1:22" s="2850" customFormat="1" ht="13.2" customHeight="1">
      <c r="A4" s="2856" t="s">
        <v>2329</v>
      </c>
      <c r="B4" s="2857"/>
      <c r="C4" s="2841"/>
      <c r="D4" s="2841"/>
      <c r="E4" s="2842"/>
      <c r="F4" s="2843"/>
      <c r="G4" s="2844"/>
      <c r="H4" s="2845"/>
      <c r="I4" s="2846"/>
      <c r="J4" s="3765" t="s">
        <v>2330</v>
      </c>
      <c r="K4" s="3766"/>
      <c r="L4" s="2858"/>
      <c r="M4" s="2858"/>
      <c r="N4" s="2858"/>
      <c r="O4" s="2858"/>
      <c r="P4" s="2858"/>
      <c r="Q4" s="2859"/>
      <c r="R4" s="2860">
        <f>SUM(L4:Q4)</f>
        <v>0</v>
      </c>
      <c r="S4" s="2838"/>
      <c r="T4" s="2838"/>
      <c r="U4" s="2838"/>
      <c r="V4" s="2846"/>
    </row>
    <row r="5" spans="1:22" s="2850" customFormat="1" ht="13.2" customHeight="1" thickBot="1">
      <c r="A5" s="2861" t="s">
        <v>2331</v>
      </c>
      <c r="B5" s="2862"/>
      <c r="C5" s="2841"/>
      <c r="D5" s="2863"/>
      <c r="E5" s="2843"/>
      <c r="F5" s="2843"/>
      <c r="G5" s="2844"/>
      <c r="H5" s="2845"/>
      <c r="I5" s="2846"/>
      <c r="J5" s="2864" t="s">
        <v>2332</v>
      </c>
      <c r="K5" s="2865"/>
      <c r="L5" s="2865"/>
      <c r="M5" s="2866"/>
      <c r="N5" s="2866"/>
      <c r="O5" s="2866"/>
      <c r="P5" s="2866"/>
      <c r="Q5" s="2866"/>
      <c r="R5" s="2849">
        <f>SUM(R14,R19,R24,R25,R27,R28)</f>
        <v>0</v>
      </c>
      <c r="S5" s="2838"/>
      <c r="T5" s="2838" t="s">
        <v>2333</v>
      </c>
      <c r="U5" s="2838" t="e">
        <f>ROUND(R5*10000/365/R3,1)</f>
        <v>#DIV/0!</v>
      </c>
      <c r="V5" s="2846"/>
    </row>
    <row r="6" spans="1:22" s="2850" customFormat="1" ht="13.2" customHeight="1" thickBot="1">
      <c r="A6" s="3771" t="s">
        <v>2334</v>
      </c>
      <c r="B6" s="3772"/>
      <c r="C6" s="3773"/>
      <c r="D6" s="2867"/>
      <c r="E6" s="2868"/>
      <c r="F6" s="2869"/>
      <c r="G6" s="2870"/>
      <c r="H6" s="2845"/>
      <c r="I6" s="2846"/>
      <c r="J6" s="3757">
        <v>1</v>
      </c>
      <c r="K6" s="3758" t="s">
        <v>2335</v>
      </c>
      <c r="L6" s="2871" t="s">
        <v>2336</v>
      </c>
      <c r="M6" s="2872" t="s">
        <v>2337</v>
      </c>
      <c r="N6" s="2872" t="s">
        <v>2338</v>
      </c>
      <c r="O6" s="2872" t="s">
        <v>2339</v>
      </c>
      <c r="P6" s="2872" t="s">
        <v>2340</v>
      </c>
      <c r="Q6" s="2872" t="s">
        <v>2341</v>
      </c>
      <c r="R6" s="2855" t="s">
        <v>2342</v>
      </c>
      <c r="S6" s="2838"/>
      <c r="T6" s="2838" t="s">
        <v>2343</v>
      </c>
      <c r="U6" s="2838"/>
      <c r="V6" s="2846"/>
    </row>
    <row r="7" spans="1:22" s="2850" customFormat="1" ht="13.2" customHeight="1">
      <c r="A7" s="2873" t="s">
        <v>2344</v>
      </c>
      <c r="B7" s="2874"/>
      <c r="C7" s="2875"/>
      <c r="D7" s="2876">
        <f>SUM(D9,D10,D11,D17,0)</f>
        <v>0</v>
      </c>
      <c r="E7" s="2877" t="e">
        <f>E9+E10+E11+E17</f>
        <v>#DIV/0!</v>
      </c>
      <c r="F7" s="2878"/>
      <c r="G7" s="2879"/>
      <c r="H7" s="2845"/>
      <c r="I7" s="2846"/>
      <c r="J7" s="3757"/>
      <c r="K7" s="3759"/>
      <c r="L7" s="2880" t="s">
        <v>2345</v>
      </c>
      <c r="M7" s="2881"/>
      <c r="N7" s="2857"/>
      <c r="O7" s="2882"/>
      <c r="P7" s="2882"/>
      <c r="Q7" s="2883">
        <v>365</v>
      </c>
      <c r="R7" s="2884">
        <f>ROUND(M7*N7*O7*P7*Q7/10000,0)</f>
        <v>0</v>
      </c>
      <c r="S7" s="2838"/>
      <c r="T7" s="2838" t="s">
        <v>2346</v>
      </c>
      <c r="U7" s="2838"/>
      <c r="V7" s="2846"/>
    </row>
    <row r="8" spans="1:22" s="2850" customFormat="1" ht="13.2" customHeight="1">
      <c r="A8" s="2885" t="s">
        <v>2347</v>
      </c>
      <c r="B8" s="3774" t="s">
        <v>2348</v>
      </c>
      <c r="C8" s="3775"/>
      <c r="D8" s="2886" t="s">
        <v>2349</v>
      </c>
      <c r="E8" s="2887" t="s">
        <v>2350</v>
      </c>
      <c r="F8" s="2888" t="s">
        <v>2351</v>
      </c>
      <c r="G8" s="2889"/>
      <c r="H8" s="2845"/>
      <c r="I8" s="2846"/>
      <c r="J8" s="3757"/>
      <c r="K8" s="3759"/>
      <c r="L8" s="2880" t="s">
        <v>2352</v>
      </c>
      <c r="M8" s="2881"/>
      <c r="N8" s="2857"/>
      <c r="O8" s="2882"/>
      <c r="P8" s="2882"/>
      <c r="Q8" s="2883">
        <v>365</v>
      </c>
      <c r="R8" s="2884">
        <f t="shared" ref="R8:R13" si="0">ROUND(M8*N8*O8*P8*Q8/10000,0)</f>
        <v>0</v>
      </c>
      <c r="S8" s="2838"/>
      <c r="T8" s="2838" t="s">
        <v>2353</v>
      </c>
      <c r="U8" s="2838"/>
      <c r="V8" s="2846"/>
    </row>
    <row r="9" spans="1:22" s="2850" customFormat="1" ht="13.2" customHeight="1">
      <c r="A9" s="2885">
        <v>1</v>
      </c>
      <c r="B9" s="3774" t="s">
        <v>2354</v>
      </c>
      <c r="C9" s="3775"/>
      <c r="D9" s="2886">
        <f>ROUND(D6*E9,0)</f>
        <v>0</v>
      </c>
      <c r="E9" s="2890"/>
      <c r="F9" s="2891" t="s">
        <v>2355</v>
      </c>
      <c r="G9" s="2870"/>
      <c r="H9" s="2845"/>
      <c r="I9" s="2846"/>
      <c r="J9" s="3757"/>
      <c r="K9" s="3759"/>
      <c r="L9" s="2880" t="s">
        <v>2356</v>
      </c>
      <c r="M9" s="2881"/>
      <c r="N9" s="2857"/>
      <c r="O9" s="2882"/>
      <c r="P9" s="2882"/>
      <c r="Q9" s="2883">
        <v>365</v>
      </c>
      <c r="R9" s="2884">
        <f t="shared" si="0"/>
        <v>0</v>
      </c>
      <c r="S9" s="2838"/>
      <c r="T9" s="2838"/>
      <c r="U9" s="2838"/>
      <c r="V9" s="2846"/>
    </row>
    <row r="10" spans="1:22" s="2850" customFormat="1" ht="13.2" customHeight="1">
      <c r="A10" s="2885">
        <v>2</v>
      </c>
      <c r="B10" s="3774" t="s">
        <v>2357</v>
      </c>
      <c r="C10" s="3775"/>
      <c r="D10" s="2886">
        <f>ROUND(D6*E10,0)</f>
        <v>0</v>
      </c>
      <c r="E10" s="2890"/>
      <c r="F10" s="2891" t="s">
        <v>2358</v>
      </c>
      <c r="G10" s="2870"/>
      <c r="H10" s="2845"/>
      <c r="I10" s="2846"/>
      <c r="J10" s="3757"/>
      <c r="K10" s="3759"/>
      <c r="L10" s="2880" t="s">
        <v>2359</v>
      </c>
      <c r="M10" s="2881"/>
      <c r="N10" s="2857"/>
      <c r="O10" s="2882"/>
      <c r="P10" s="2882"/>
      <c r="Q10" s="2883">
        <v>365</v>
      </c>
      <c r="R10" s="2884">
        <f t="shared" si="0"/>
        <v>0</v>
      </c>
      <c r="S10" s="2838"/>
      <c r="T10" s="2838"/>
      <c r="U10" s="2838"/>
      <c r="V10" s="2846"/>
    </row>
    <row r="11" spans="1:22" s="2850" customFormat="1" ht="13.2" customHeight="1">
      <c r="A11" s="2885">
        <v>3</v>
      </c>
      <c r="B11" s="3774" t="s">
        <v>2360</v>
      </c>
      <c r="C11" s="3775"/>
      <c r="D11" s="2886">
        <f>D12+D14+D15+D16</f>
        <v>0</v>
      </c>
      <c r="E11" s="2892" t="e">
        <f>D11/D6</f>
        <v>#DIV/0!</v>
      </c>
      <c r="F11" s="2888"/>
      <c r="G11" s="2889"/>
      <c r="H11" s="2845"/>
      <c r="I11" s="2846"/>
      <c r="J11" s="3757"/>
      <c r="K11" s="3759"/>
      <c r="L11" s="2880" t="s">
        <v>2361</v>
      </c>
      <c r="M11" s="2881"/>
      <c r="N11" s="2857"/>
      <c r="O11" s="2882"/>
      <c r="P11" s="2882"/>
      <c r="Q11" s="2883">
        <v>365</v>
      </c>
      <c r="R11" s="2884">
        <f t="shared" si="0"/>
        <v>0</v>
      </c>
      <c r="S11" s="2838"/>
      <c r="T11" s="2838"/>
      <c r="U11" s="2838"/>
      <c r="V11" s="2846"/>
    </row>
    <row r="12" spans="1:22" s="2850" customFormat="1" ht="13.2" customHeight="1">
      <c r="A12" s="2893" t="s">
        <v>2362</v>
      </c>
      <c r="B12" s="3767" t="s">
        <v>2363</v>
      </c>
      <c r="C12" s="3768"/>
      <c r="D12" s="2894">
        <f>ROUND(D13*1.2%*(1-30%),0)</f>
        <v>0</v>
      </c>
      <c r="E12" s="2895">
        <v>1.2E-2</v>
      </c>
      <c r="F12" s="2888" t="s">
        <v>2364</v>
      </c>
      <c r="G12" s="2889"/>
      <c r="H12" s="2845"/>
      <c r="I12" s="2846"/>
      <c r="J12" s="3757"/>
      <c r="K12" s="3759"/>
      <c r="L12" s="2880" t="s">
        <v>2365</v>
      </c>
      <c r="M12" s="2881"/>
      <c r="N12" s="2857"/>
      <c r="O12" s="2882"/>
      <c r="P12" s="2882"/>
      <c r="Q12" s="2883">
        <v>365</v>
      </c>
      <c r="R12" s="2884">
        <f t="shared" si="0"/>
        <v>0</v>
      </c>
      <c r="S12" s="2838"/>
      <c r="T12" s="2838"/>
      <c r="U12" s="2838"/>
      <c r="V12" s="2846"/>
    </row>
    <row r="13" spans="1:22" s="2850" customFormat="1" ht="13.2" customHeight="1">
      <c r="A13" s="2893"/>
      <c r="B13" s="2896"/>
      <c r="C13" s="2897" t="s">
        <v>2366</v>
      </c>
      <c r="D13" s="2898"/>
      <c r="E13" s="2899"/>
      <c r="F13" s="2888"/>
      <c r="G13" s="2889"/>
      <c r="H13" s="2845"/>
      <c r="I13" s="2846"/>
      <c r="J13" s="3757"/>
      <c r="K13" s="3759"/>
      <c r="L13" s="2880" t="s">
        <v>2367</v>
      </c>
      <c r="M13" s="2881"/>
      <c r="N13" s="2857"/>
      <c r="O13" s="2882"/>
      <c r="P13" s="2882"/>
      <c r="Q13" s="2883">
        <v>365</v>
      </c>
      <c r="R13" s="2884">
        <f t="shared" si="0"/>
        <v>0</v>
      </c>
      <c r="S13" s="2838"/>
      <c r="T13" s="2838"/>
      <c r="U13" s="2838"/>
      <c r="V13" s="2846"/>
    </row>
    <row r="14" spans="1:22" s="2850" customFormat="1" ht="13.2" customHeight="1">
      <c r="A14" s="2893" t="s">
        <v>2368</v>
      </c>
      <c r="B14" s="3767" t="s">
        <v>2369</v>
      </c>
      <c r="C14" s="3768"/>
      <c r="D14" s="2894">
        <f>ROUND(E14*B5/10000,0)</f>
        <v>0</v>
      </c>
      <c r="E14" s="2883"/>
      <c r="F14" s="2888" t="s">
        <v>2370</v>
      </c>
      <c r="G14" s="2889"/>
      <c r="H14" s="2845"/>
      <c r="I14" s="2846"/>
      <c r="J14" s="3757"/>
      <c r="K14" s="3760"/>
      <c r="L14" s="2900" t="s">
        <v>2371</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2372</v>
      </c>
      <c r="B15" s="3767" t="s">
        <v>2373</v>
      </c>
      <c r="C15" s="3768"/>
      <c r="D15" s="2894">
        <f>ROUND(D6*E15,0)</f>
        <v>0</v>
      </c>
      <c r="E15" s="2895">
        <v>5.5E-2</v>
      </c>
      <c r="F15" s="2888" t="s">
        <v>2374</v>
      </c>
      <c r="G15" s="2870"/>
      <c r="H15" s="2845"/>
      <c r="I15" s="2846"/>
      <c r="J15" s="3757">
        <v>2</v>
      </c>
      <c r="K15" s="3758" t="s">
        <v>2375</v>
      </c>
      <c r="L15" s="2880" t="s">
        <v>2376</v>
      </c>
      <c r="M15" s="2881" t="s">
        <v>2377</v>
      </c>
      <c r="N15" s="2881" t="s">
        <v>2378</v>
      </c>
      <c r="O15" s="2882" t="s">
        <v>2379</v>
      </c>
      <c r="P15" s="2882" t="s">
        <v>2341</v>
      </c>
      <c r="Q15" s="2857" t="s">
        <v>2380</v>
      </c>
      <c r="R15" s="2904" t="s">
        <v>2342</v>
      </c>
      <c r="S15" s="2838"/>
      <c r="T15" s="2838"/>
      <c r="U15" s="2838"/>
      <c r="V15" s="2846"/>
    </row>
    <row r="16" spans="1:22" s="2850" customFormat="1" ht="13.2" customHeight="1">
      <c r="A16" s="2893" t="s">
        <v>2381</v>
      </c>
      <c r="B16" s="3767" t="s">
        <v>2382</v>
      </c>
      <c r="C16" s="3768"/>
      <c r="D16" s="2905">
        <f>D6*E16</f>
        <v>0</v>
      </c>
      <c r="E16" s="2906"/>
      <c r="F16" s="2891" t="s">
        <v>2383</v>
      </c>
      <c r="G16" s="2870"/>
      <c r="H16" s="2845"/>
      <c r="I16" s="2846"/>
      <c r="J16" s="3757"/>
      <c r="K16" s="3759"/>
      <c r="L16" s="2880" t="s">
        <v>2384</v>
      </c>
      <c r="M16" s="2881"/>
      <c r="N16" s="2881"/>
      <c r="O16" s="2882"/>
      <c r="P16" s="2883">
        <v>365</v>
      </c>
      <c r="Q16" s="2857"/>
      <c r="R16" s="2904">
        <f>ROUND(M16*N16*O16*P16/10000,0)</f>
        <v>0</v>
      </c>
      <c r="S16" s="2838"/>
      <c r="T16" s="2838"/>
      <c r="U16" s="2838"/>
      <c r="V16" s="2846"/>
    </row>
    <row r="17" spans="1:22" s="2850" customFormat="1" ht="13.2" customHeight="1" thickBot="1">
      <c r="A17" s="2907">
        <v>4</v>
      </c>
      <c r="B17" s="3769" t="s">
        <v>2385</v>
      </c>
      <c r="C17" s="3770"/>
      <c r="D17" s="2908">
        <f>ROUND(D6*E17,0)</f>
        <v>0</v>
      </c>
      <c r="E17" s="2909"/>
      <c r="F17" s="2910" t="s">
        <v>2386</v>
      </c>
      <c r="G17" s="2870"/>
      <c r="H17" s="2845"/>
      <c r="I17" s="2846"/>
      <c r="J17" s="3757"/>
      <c r="K17" s="3759"/>
      <c r="L17" s="2880" t="s">
        <v>2387</v>
      </c>
      <c r="M17" s="2881"/>
      <c r="N17" s="2881"/>
      <c r="O17" s="2882"/>
      <c r="P17" s="2883">
        <v>365</v>
      </c>
      <c r="Q17" s="2857"/>
      <c r="R17" s="2904">
        <f>ROUND(M17*N17*O17*P17/10000,0)</f>
        <v>0</v>
      </c>
      <c r="S17" s="2838"/>
      <c r="T17" s="2838"/>
      <c r="U17" s="2838"/>
      <c r="V17" s="2846"/>
    </row>
    <row r="18" spans="1:22" s="2850" customFormat="1" ht="13.2" customHeight="1" thickBot="1">
      <c r="A18" s="2873" t="s">
        <v>2388</v>
      </c>
      <c r="B18" s="2874"/>
      <c r="C18" s="2874"/>
      <c r="D18" s="2911">
        <f>ROUND(D6*E18,0)</f>
        <v>0</v>
      </c>
      <c r="E18" s="2912"/>
      <c r="F18" s="2913" t="s">
        <v>2389</v>
      </c>
      <c r="G18" s="2870"/>
      <c r="H18" s="2845"/>
      <c r="I18" s="2846"/>
      <c r="J18" s="3757"/>
      <c r="K18" s="3759"/>
      <c r="L18" s="2880" t="s">
        <v>2390</v>
      </c>
      <c r="M18" s="2881"/>
      <c r="N18" s="2881"/>
      <c r="O18" s="2882"/>
      <c r="P18" s="2883">
        <v>365</v>
      </c>
      <c r="Q18" s="2857"/>
      <c r="R18" s="2904">
        <f>ROUND(M18*N18*O18*P18/10000,0)</f>
        <v>0</v>
      </c>
      <c r="S18" s="2838"/>
      <c r="T18" s="2838"/>
      <c r="U18" s="2838"/>
      <c r="V18" s="2846"/>
    </row>
    <row r="19" spans="1:22" s="2850" customFormat="1" ht="13.2" customHeight="1" thickBot="1">
      <c r="A19" s="2914" t="s">
        <v>2391</v>
      </c>
      <c r="B19" s="2868"/>
      <c r="C19" s="2868"/>
      <c r="D19" s="2868"/>
      <c r="E19" s="2868"/>
      <c r="F19" s="2869"/>
      <c r="G19" s="2889"/>
      <c r="H19" s="2845"/>
      <c r="I19" s="2846"/>
      <c r="J19" s="3757"/>
      <c r="K19" s="3760"/>
      <c r="L19" s="2900" t="s">
        <v>2371</v>
      </c>
      <c r="M19" s="2901"/>
      <c r="N19" s="2901">
        <f>SUM(N16:N18)</f>
        <v>0</v>
      </c>
      <c r="O19" s="2902"/>
      <c r="P19" s="2915" t="s">
        <v>2435</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57">
        <v>3</v>
      </c>
      <c r="K20" s="3758" t="s">
        <v>2392</v>
      </c>
      <c r="L20" s="2880" t="s">
        <v>2393</v>
      </c>
      <c r="M20" s="2881" t="s">
        <v>2394</v>
      </c>
      <c r="N20" s="2918" t="s">
        <v>2395</v>
      </c>
      <c r="O20" s="2882" t="s">
        <v>2396</v>
      </c>
      <c r="P20" s="2883" t="s">
        <v>2397</v>
      </c>
      <c r="Q20" s="2857" t="s">
        <v>2398</v>
      </c>
      <c r="R20" s="2904" t="s">
        <v>2399</v>
      </c>
      <c r="S20" s="2919"/>
      <c r="T20" s="2919"/>
      <c r="U20" s="2919"/>
      <c r="V20" s="2846"/>
    </row>
    <row r="21" spans="1:22" s="2850" customFormat="1" ht="13.2" customHeight="1">
      <c r="A21" s="2873"/>
      <c r="B21" s="2874"/>
      <c r="C21" s="2920" t="s">
        <v>2400</v>
      </c>
      <c r="D21" s="2921" t="s">
        <v>2401</v>
      </c>
      <c r="E21" s="2922" t="s">
        <v>2402</v>
      </c>
      <c r="F21" s="2917"/>
      <c r="G21" s="2889"/>
      <c r="H21" s="2845"/>
      <c r="I21" s="2846"/>
      <c r="J21" s="3757"/>
      <c r="K21" s="3759"/>
      <c r="L21" s="2880" t="s">
        <v>2403</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2404</v>
      </c>
      <c r="D22" s="2925" t="s">
        <v>2405</v>
      </c>
      <c r="E22" s="2926" t="s">
        <v>2406</v>
      </c>
      <c r="F22" s="2917"/>
      <c r="G22" s="2927"/>
      <c r="H22" s="2845"/>
      <c r="I22" s="2846"/>
      <c r="J22" s="3757"/>
      <c r="K22" s="3759"/>
      <c r="L22" s="2880" t="s">
        <v>2407</v>
      </c>
      <c r="M22" s="2881"/>
      <c r="N22" s="2881"/>
      <c r="O22" s="2882"/>
      <c r="P22" s="2883">
        <v>365</v>
      </c>
      <c r="Q22" s="2857"/>
      <c r="R22" s="2923">
        <f>ROUND(M22*N22*O22*P22/10000,0)</f>
        <v>0</v>
      </c>
      <c r="S22" s="2919"/>
      <c r="T22" s="2919"/>
      <c r="U22" s="2919"/>
      <c r="V22" s="2846"/>
    </row>
    <row r="23" spans="1:22" s="2850" customFormat="1" ht="13.2" customHeight="1">
      <c r="A23" s="2928">
        <v>1</v>
      </c>
      <c r="B23" s="2929" t="s">
        <v>2408</v>
      </c>
      <c r="C23" s="2930">
        <f>D6</f>
        <v>0</v>
      </c>
      <c r="D23" s="2931">
        <f>C23*(1+D24)</f>
        <v>0</v>
      </c>
      <c r="E23" s="2932">
        <f>D23*(1+E24)</f>
        <v>0</v>
      </c>
      <c r="F23" s="2933"/>
      <c r="G23" s="2934"/>
      <c r="H23" s="2845"/>
      <c r="I23" s="2846"/>
      <c r="J23" s="3757"/>
      <c r="K23" s="3759"/>
      <c r="L23" s="2880" t="s">
        <v>2409</v>
      </c>
      <c r="M23" s="2881"/>
      <c r="N23" s="2881"/>
      <c r="O23" s="2882"/>
      <c r="P23" s="2883">
        <v>365</v>
      </c>
      <c r="Q23" s="2857"/>
      <c r="R23" s="2923">
        <f>ROUND(M23*N23*O23*P23/10000,0)</f>
        <v>0</v>
      </c>
      <c r="S23" s="2838"/>
      <c r="T23" s="2838"/>
      <c r="U23" s="2838"/>
      <c r="V23" s="2846"/>
    </row>
    <row r="24" spans="1:22" s="2850" customFormat="1" ht="13.2" customHeight="1">
      <c r="A24" s="2935"/>
      <c r="B24" s="2936" t="s">
        <v>2410</v>
      </c>
      <c r="C24" s="2937"/>
      <c r="D24" s="2938"/>
      <c r="E24" s="2939"/>
      <c r="F24" s="2940"/>
      <c r="G24" s="2934"/>
      <c r="H24" s="2845"/>
      <c r="I24" s="2846"/>
      <c r="J24" s="3757"/>
      <c r="K24" s="3760"/>
      <c r="L24" s="2900" t="s">
        <v>2371</v>
      </c>
      <c r="M24" s="2901">
        <f>SUM(M21:M23)</f>
        <v>0</v>
      </c>
      <c r="N24" s="2901"/>
      <c r="O24" s="2902"/>
      <c r="P24" s="2915" t="s">
        <v>2435</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2411</v>
      </c>
      <c r="L25" s="2943"/>
      <c r="M25" s="2943"/>
      <c r="N25" s="2943"/>
      <c r="O25" s="2943"/>
      <c r="P25" s="2944"/>
      <c r="Q25" s="2945">
        <v>0</v>
      </c>
      <c r="R25" s="2916">
        <f>ROUND(R14*Q25,0)</f>
        <v>0</v>
      </c>
      <c r="S25" s="2838"/>
      <c r="T25" s="2838"/>
      <c r="U25" s="2838"/>
      <c r="V25" s="2946"/>
    </row>
    <row r="26" spans="1:22" s="2947" customFormat="1" ht="13.2" customHeight="1">
      <c r="A26" s="2928">
        <v>2</v>
      </c>
      <c r="B26" s="2929" t="s">
        <v>2412</v>
      </c>
      <c r="C26" s="2930">
        <f>D7</f>
        <v>0</v>
      </c>
      <c r="D26" s="2931">
        <f>D23*D27</f>
        <v>0</v>
      </c>
      <c r="E26" s="2932">
        <f>E23*E27</f>
        <v>0</v>
      </c>
      <c r="F26" s="2933"/>
      <c r="G26" s="2934"/>
      <c r="H26" s="2845"/>
      <c r="I26" s="2846"/>
      <c r="J26" s="3761">
        <v>5</v>
      </c>
      <c r="K26" s="2948" t="s">
        <v>2413</v>
      </c>
      <c r="L26" s="2949"/>
      <c r="M26" s="2950"/>
      <c r="N26" s="2951" t="s">
        <v>2414</v>
      </c>
      <c r="O26" s="2951" t="s">
        <v>2415</v>
      </c>
      <c r="P26" s="2952" t="s">
        <v>2416</v>
      </c>
      <c r="Q26" s="2952" t="s">
        <v>2417</v>
      </c>
      <c r="R26" s="2855" t="s">
        <v>2342</v>
      </c>
      <c r="S26" s="2953"/>
      <c r="T26" s="2953"/>
      <c r="U26" s="2953"/>
      <c r="V26" s="2946"/>
    </row>
    <row r="27" spans="1:22" s="2850" customFormat="1" ht="13.2" customHeight="1">
      <c r="A27" s="2935"/>
      <c r="B27" s="2936" t="s">
        <v>2418</v>
      </c>
      <c r="C27" s="2954" t="e">
        <f>E7</f>
        <v>#DIV/0!</v>
      </c>
      <c r="D27" s="2938"/>
      <c r="E27" s="2939"/>
      <c r="F27" s="2940"/>
      <c r="G27" s="2934"/>
      <c r="H27" s="2955"/>
      <c r="I27" s="2946"/>
      <c r="J27" s="3762"/>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2419</v>
      </c>
      <c r="F28" s="2940"/>
      <c r="G28" s="2927"/>
      <c r="H28" s="2955"/>
      <c r="I28" s="2946"/>
      <c r="J28" s="2961">
        <v>6</v>
      </c>
      <c r="K28" s="2962" t="s">
        <v>2420</v>
      </c>
      <c r="L28" s="2963" t="s">
        <v>2421</v>
      </c>
      <c r="M28" s="2964"/>
      <c r="N28" s="2963" t="s">
        <v>2422</v>
      </c>
      <c r="O28" s="2965"/>
      <c r="P28" s="2963" t="s">
        <v>2423</v>
      </c>
      <c r="Q28" s="2966">
        <v>1.4999999999999999E-2</v>
      </c>
      <c r="R28" s="2967"/>
      <c r="S28" s="2919"/>
      <c r="T28" s="2919"/>
      <c r="U28" s="2919"/>
      <c r="V28" s="2946"/>
    </row>
    <row r="29" spans="1:22" s="2947" customFormat="1" ht="13.2" customHeight="1">
      <c r="A29" s="2928">
        <v>3</v>
      </c>
      <c r="B29" s="2929" t="s">
        <v>2424</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2418</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2425</v>
      </c>
      <c r="K31" s="2836"/>
      <c r="L31" s="2836"/>
      <c r="M31" s="2836"/>
      <c r="N31" s="2836"/>
      <c r="O31" s="2836"/>
      <c r="P31" s="2836"/>
      <c r="Q31" s="2836"/>
      <c r="R31" s="2837"/>
      <c r="S31" s="2919"/>
      <c r="T31" s="2838"/>
      <c r="U31" s="2838"/>
      <c r="V31" s="2946"/>
    </row>
    <row r="32" spans="1:22" s="2947" customFormat="1" ht="13.2" customHeight="1">
      <c r="A32" s="2928">
        <v>4</v>
      </c>
      <c r="B32" s="2929" t="s">
        <v>2426</v>
      </c>
      <c r="C32" s="2930">
        <f>C23-C26-C29</f>
        <v>0</v>
      </c>
      <c r="D32" s="2931">
        <f>D23-D26-D29</f>
        <v>0</v>
      </c>
      <c r="E32" s="2932">
        <f>E23-E26-E29</f>
        <v>0</v>
      </c>
      <c r="F32" s="2933"/>
      <c r="G32" s="2927"/>
      <c r="H32" s="2845"/>
      <c r="I32" s="2846"/>
      <c r="J32" s="3763" t="s">
        <v>2318</v>
      </c>
      <c r="K32" s="3764"/>
      <c r="L32" s="2847" t="s">
        <v>2319</v>
      </c>
      <c r="M32" s="2847" t="s">
        <v>2320</v>
      </c>
      <c r="N32" s="2847" t="s">
        <v>2321</v>
      </c>
      <c r="O32" s="2847" t="s">
        <v>2322</v>
      </c>
      <c r="P32" s="2847" t="s">
        <v>2323</v>
      </c>
      <c r="Q32" s="2848" t="s">
        <v>2324</v>
      </c>
      <c r="R32" s="2970" t="s">
        <v>2325</v>
      </c>
      <c r="S32" s="2919"/>
      <c r="T32" s="2838"/>
      <c r="U32" s="2838"/>
      <c r="V32" s="2946"/>
    </row>
    <row r="33" spans="1:23" s="2850" customFormat="1" ht="13.2" customHeight="1">
      <c r="A33" s="2928"/>
      <c r="B33" s="2929"/>
      <c r="C33" s="2930"/>
      <c r="D33" s="2971"/>
      <c r="E33" s="2972"/>
      <c r="F33" s="2933"/>
      <c r="G33" s="2927"/>
      <c r="H33" s="2955"/>
      <c r="I33" s="2946"/>
      <c r="J33" s="3765" t="s">
        <v>2328</v>
      </c>
      <c r="K33" s="3766"/>
      <c r="L33" s="2853"/>
      <c r="M33" s="2853"/>
      <c r="N33" s="2853"/>
      <c r="O33" s="2853"/>
      <c r="P33" s="2853"/>
      <c r="Q33" s="2854"/>
      <c r="R33" s="2973">
        <f>SUM(L33:Q33)</f>
        <v>0</v>
      </c>
      <c r="S33" s="2919"/>
      <c r="T33" s="2838"/>
      <c r="U33" s="2838"/>
      <c r="V33" s="2846"/>
    </row>
    <row r="34" spans="1:23" s="2850" customFormat="1" ht="13.2" customHeight="1">
      <c r="A34" s="2928">
        <v>5</v>
      </c>
      <c r="B34" s="2929" t="s">
        <v>2427</v>
      </c>
      <c r="C34" s="2974"/>
      <c r="D34" s="2975"/>
      <c r="E34" s="2976"/>
      <c r="F34" s="2933"/>
      <c r="G34" s="2927"/>
      <c r="H34" s="2955"/>
      <c r="I34" s="2946"/>
      <c r="J34" s="3765" t="s">
        <v>2330</v>
      </c>
      <c r="K34" s="3766"/>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2428</v>
      </c>
      <c r="C35" s="2978"/>
      <c r="D35" s="2979"/>
      <c r="E35" s="2980"/>
      <c r="F35" s="2933"/>
      <c r="G35" s="2981"/>
      <c r="H35" s="2845"/>
      <c r="I35" s="2946"/>
      <c r="J35" s="2864" t="s">
        <v>2332</v>
      </c>
      <c r="K35" s="2865"/>
      <c r="L35" s="2865"/>
      <c r="M35" s="2866"/>
      <c r="N35" s="2866"/>
      <c r="O35" s="2866"/>
      <c r="P35" s="2866"/>
      <c r="Q35" s="2866"/>
      <c r="R35" s="2982">
        <f>R40+R41+R43</f>
        <v>0</v>
      </c>
      <c r="S35" s="2919"/>
      <c r="T35" s="2838" t="s">
        <v>2333</v>
      </c>
      <c r="U35" s="2838"/>
      <c r="V35" s="2846"/>
    </row>
    <row r="36" spans="1:23" s="2850" customFormat="1" ht="13.2" customHeight="1" thickBot="1">
      <c r="A36" s="2928">
        <v>7</v>
      </c>
      <c r="B36" s="2983" t="s">
        <v>2429</v>
      </c>
      <c r="C36" s="2984"/>
      <c r="D36" s="2985"/>
      <c r="E36" s="2986"/>
      <c r="F36" s="2987">
        <f>C36+D36+E36</f>
        <v>0</v>
      </c>
      <c r="G36" s="2927"/>
      <c r="H36" s="2845"/>
      <c r="I36" s="2846"/>
      <c r="J36" s="3757">
        <v>1</v>
      </c>
      <c r="K36" s="3758" t="s">
        <v>2430</v>
      </c>
      <c r="L36" s="2871"/>
      <c r="M36" s="2872"/>
      <c r="N36" s="2872"/>
      <c r="O36" s="2872"/>
      <c r="P36" s="2872"/>
      <c r="Q36" s="2872"/>
      <c r="R36" s="2855" t="s">
        <v>2342</v>
      </c>
      <c r="S36" s="2919"/>
      <c r="T36" s="2838" t="s">
        <v>2343</v>
      </c>
      <c r="U36" s="2838"/>
      <c r="V36" s="2846"/>
    </row>
    <row r="37" spans="1:23" s="2850" customFormat="1" ht="13.2" customHeight="1">
      <c r="A37" s="2928"/>
      <c r="B37" s="2929"/>
      <c r="C37" s="2929"/>
      <c r="D37" s="2929"/>
      <c r="E37" s="2929"/>
      <c r="F37" s="2933"/>
      <c r="G37" s="2927"/>
      <c r="H37" s="2845"/>
      <c r="I37" s="2846"/>
      <c r="J37" s="3757"/>
      <c r="K37" s="3759"/>
      <c r="L37" s="2880"/>
      <c r="M37" s="2881"/>
      <c r="N37" s="2857"/>
      <c r="O37" s="2882"/>
      <c r="P37" s="2882"/>
      <c r="Q37" s="2883"/>
      <c r="R37" s="2884"/>
      <c r="S37" s="2919"/>
      <c r="T37" s="2838" t="s">
        <v>2346</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57"/>
      <c r="K38" s="3759"/>
      <c r="L38" s="2880"/>
      <c r="M38" s="2881"/>
      <c r="N38" s="2857"/>
      <c r="O38" s="2882"/>
      <c r="P38" s="2882"/>
      <c r="Q38" s="2883"/>
      <c r="R38" s="2884"/>
      <c r="S38" s="2919"/>
      <c r="T38" s="2838" t="s">
        <v>2353</v>
      </c>
      <c r="U38" s="2838"/>
      <c r="V38" s="2846"/>
    </row>
    <row r="39" spans="1:23" s="2850" customFormat="1" ht="13.2" customHeight="1">
      <c r="A39" s="2928">
        <v>9</v>
      </c>
      <c r="B39" s="2929" t="s">
        <v>2431</v>
      </c>
      <c r="C39" s="2894" t="e">
        <f>C38</f>
        <v>#DIV/0!</v>
      </c>
      <c r="D39" s="2929">
        <f>D38/(1+D34)^C36</f>
        <v>0</v>
      </c>
      <c r="E39" s="2929">
        <f>E38/(1+E34)^(C36+D36)</f>
        <v>0</v>
      </c>
      <c r="F39" s="2933"/>
      <c r="G39" s="2988"/>
      <c r="H39" s="2845"/>
      <c r="I39" s="2846"/>
      <c r="J39" s="3757"/>
      <c r="K39" s="3759"/>
      <c r="L39" s="2880"/>
      <c r="M39" s="2881"/>
      <c r="N39" s="2857"/>
      <c r="O39" s="2882"/>
      <c r="P39" s="2882"/>
      <c r="Q39" s="2883"/>
      <c r="R39" s="2884"/>
      <c r="S39" s="2919"/>
      <c r="T39" s="2838"/>
      <c r="U39" s="2838"/>
      <c r="V39" s="2846"/>
    </row>
    <row r="40" spans="1:23" s="2850" customFormat="1" ht="13.2" customHeight="1">
      <c r="A40" s="2989">
        <v>10</v>
      </c>
      <c r="B40" s="2929" t="s">
        <v>2432</v>
      </c>
      <c r="C40" s="2990" t="e">
        <f>C39+D39+E39</f>
        <v>#DIV/0!</v>
      </c>
      <c r="D40" s="2991"/>
      <c r="E40" s="2991"/>
      <c r="F40" s="2992"/>
      <c r="G40" s="2927"/>
      <c r="H40" s="2845"/>
      <c r="I40" s="2846"/>
      <c r="J40" s="3757"/>
      <c r="K40" s="3760"/>
      <c r="L40" s="2900" t="s">
        <v>2371</v>
      </c>
      <c r="M40" s="2901"/>
      <c r="N40" s="2901"/>
      <c r="O40" s="2902"/>
      <c r="P40" s="2902"/>
      <c r="Q40" s="2903"/>
      <c r="R40" s="2849">
        <f>SUM(R37:R39)</f>
        <v>0</v>
      </c>
      <c r="S40" s="2919"/>
      <c r="T40" s="2838"/>
      <c r="U40" s="2838"/>
      <c r="V40" s="2846"/>
    </row>
    <row r="41" spans="1:23" s="2850" customFormat="1" ht="13.2" customHeight="1" thickBot="1">
      <c r="A41" s="2993">
        <v>11</v>
      </c>
      <c r="B41" s="2994" t="s">
        <v>2433</v>
      </c>
      <c r="C41" s="2994" t="e">
        <f>ROUND(C40*10000/B4,0)</f>
        <v>#DIV/0!</v>
      </c>
      <c r="D41" s="2995"/>
      <c r="E41" s="2995"/>
      <c r="F41" s="2996"/>
      <c r="G41" s="2997"/>
      <c r="H41" s="2845"/>
      <c r="I41" s="2846"/>
      <c r="J41" s="2941">
        <v>2</v>
      </c>
      <c r="K41" s="2942" t="s">
        <v>2411</v>
      </c>
      <c r="L41" s="2943"/>
      <c r="M41" s="2943"/>
      <c r="N41" s="2943"/>
      <c r="O41" s="2943"/>
      <c r="P41" s="2944"/>
      <c r="Q41" s="2945"/>
      <c r="R41" s="2916">
        <f>ROUND(R40*Q41,0)</f>
        <v>0</v>
      </c>
      <c r="S41" s="2919"/>
      <c r="T41" s="2838"/>
      <c r="U41" s="2953"/>
      <c r="V41" s="2846"/>
    </row>
    <row r="42" spans="1:23" s="2850" customFormat="1" ht="13.2" customHeight="1">
      <c r="G42" s="2997"/>
      <c r="H42" s="2845"/>
      <c r="I42" s="2846"/>
      <c r="J42" s="3761">
        <v>3</v>
      </c>
      <c r="K42" s="2948" t="s">
        <v>2413</v>
      </c>
      <c r="L42" s="2949"/>
      <c r="M42" s="2950"/>
      <c r="N42" s="2951" t="s">
        <v>2414</v>
      </c>
      <c r="O42" s="2951" t="s">
        <v>2415</v>
      </c>
      <c r="P42" s="2952" t="s">
        <v>2416</v>
      </c>
      <c r="Q42" s="2952" t="s">
        <v>2417</v>
      </c>
      <c r="R42" s="2855" t="s">
        <v>2342</v>
      </c>
      <c r="S42" s="2953"/>
      <c r="T42" s="2953"/>
      <c r="U42" s="2838"/>
      <c r="V42" s="2846"/>
    </row>
    <row r="43" spans="1:23" ht="13.2" customHeight="1">
      <c r="A43" s="2850"/>
      <c r="B43" s="2850"/>
      <c r="C43" s="2850"/>
      <c r="D43" s="2850"/>
      <c r="E43" s="2850"/>
      <c r="F43" s="2850"/>
      <c r="I43" s="2833"/>
      <c r="J43" s="3762"/>
      <c r="K43" s="2956"/>
      <c r="L43" s="2957"/>
      <c r="M43" s="2958"/>
      <c r="N43" s="2881"/>
      <c r="O43" s="2881"/>
      <c r="P43" s="2881"/>
      <c r="Q43" s="2945"/>
      <c r="R43" s="2916">
        <f>ROUND(O43*N43*P43*(1-Q43)/10000,0)</f>
        <v>0</v>
      </c>
      <c r="S43" s="2919"/>
      <c r="T43" s="2838"/>
      <c r="V43" s="2999"/>
      <c r="W43" s="3000"/>
    </row>
    <row r="44" spans="1:23" ht="13.2" customHeight="1" thickBot="1">
      <c r="J44" s="2961">
        <v>6</v>
      </c>
      <c r="K44" s="2962" t="s">
        <v>2420</v>
      </c>
      <c r="L44" s="3001" t="s">
        <v>2421</v>
      </c>
      <c r="M44" s="2964"/>
      <c r="N44" s="3001" t="s">
        <v>2422</v>
      </c>
      <c r="O44" s="2964"/>
      <c r="P44" s="3001" t="s">
        <v>2423</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1658</v>
      </c>
      <c r="B1" s="1875" t="s">
        <v>1659</v>
      </c>
      <c r="C1" s="1235" t="s">
        <v>1660</v>
      </c>
      <c r="D1" s="1222"/>
      <c r="E1" s="3423"/>
      <c r="F1" s="1876"/>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684</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1662</v>
      </c>
      <c r="F2" s="1880"/>
      <c r="G2" s="904"/>
      <c r="H2" s="904"/>
      <c r="I2" s="904"/>
      <c r="J2" s="904"/>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685</v>
      </c>
      <c r="B3" s="353">
        <f>IF(C2="——",C49,ROUND(B2*10000/D3,0))</f>
        <v>0</v>
      </c>
      <c r="C3" s="354" t="s">
        <v>1663</v>
      </c>
      <c r="D3" s="353">
        <f>IF(D1="",'数据-汇总表'!E3,SUMIF('数据-汇总表'!$C19:$C33,D1,'数据-汇总表'!$E19:$E33))</f>
        <v>112144.47999999998</v>
      </c>
      <c r="E3" s="904"/>
      <c r="F3" s="1885"/>
      <c r="G3" s="904"/>
      <c r="H3" s="904"/>
      <c r="I3" s="904"/>
      <c r="J3" s="904"/>
      <c r="K3" s="1881"/>
      <c r="L3" s="2710"/>
      <c r="M3" s="2711"/>
      <c r="N3" s="2711"/>
      <c r="O3" s="2711"/>
      <c r="P3" s="1882"/>
      <c r="Q3" s="1883"/>
      <c r="R3" s="1883"/>
      <c r="S3" s="1883"/>
      <c r="T3" s="1883"/>
      <c r="U3" s="1883"/>
      <c r="V3" s="1883"/>
      <c r="W3" s="1883"/>
      <c r="X3" s="1883"/>
      <c r="Y3" s="1883"/>
      <c r="Z3" s="1883"/>
      <c r="AA3" s="1883"/>
      <c r="AB3" s="1883"/>
      <c r="AC3" s="1058"/>
    </row>
    <row r="4" spans="1:29" ht="14.4">
      <c r="A4" s="355" t="s">
        <v>1664</v>
      </c>
      <c r="B4" s="356"/>
      <c r="C4" s="3794" t="s">
        <v>1665</v>
      </c>
      <c r="D4" s="3795"/>
      <c r="E4" s="3796" t="s">
        <v>1666</v>
      </c>
      <c r="F4" s="3797"/>
      <c r="G4" s="3794" t="s">
        <v>1667</v>
      </c>
      <c r="H4" s="3795"/>
      <c r="I4" s="3794" t="s">
        <v>1668</v>
      </c>
      <c r="J4" s="3795"/>
      <c r="K4" s="1886" t="s">
        <v>1669</v>
      </c>
      <c r="L4" s="2712"/>
      <c r="M4" s="2713"/>
      <c r="N4" s="2713"/>
      <c r="O4" s="2713"/>
      <c r="P4" s="3798" t="s">
        <v>1670</v>
      </c>
      <c r="Q4" s="3799"/>
      <c r="R4" s="3804" t="s">
        <v>1666</v>
      </c>
      <c r="S4" s="3805"/>
      <c r="T4" s="3804" t="s">
        <v>1667</v>
      </c>
      <c r="U4" s="3805"/>
      <c r="V4" s="3810" t="s">
        <v>1668</v>
      </c>
      <c r="W4" s="3810"/>
      <c r="X4" s="1352"/>
      <c r="Y4" s="3804" t="s">
        <v>1670</v>
      </c>
      <c r="Z4" s="3805"/>
      <c r="AA4" s="3791" t="s">
        <v>1666</v>
      </c>
      <c r="AB4" s="3791" t="s">
        <v>1667</v>
      </c>
      <c r="AC4" s="3791" t="s">
        <v>1668</v>
      </c>
    </row>
    <row r="5" spans="1:29">
      <c r="A5" s="358"/>
      <c r="B5" s="359"/>
      <c r="C5" s="3813" t="s">
        <v>1671</v>
      </c>
      <c r="D5" s="3814"/>
      <c r="E5" s="3820" t="s">
        <v>1672</v>
      </c>
      <c r="F5" s="3821"/>
      <c r="G5" s="3813" t="s">
        <v>1673</v>
      </c>
      <c r="H5" s="3814"/>
      <c r="I5" s="3813" t="s">
        <v>1674</v>
      </c>
      <c r="J5" s="3814"/>
      <c r="K5" s="1887"/>
      <c r="L5" s="2712"/>
      <c r="M5" s="2713"/>
      <c r="N5" s="2713"/>
      <c r="O5" s="2713"/>
      <c r="P5" s="3800"/>
      <c r="Q5" s="3801"/>
      <c r="R5" s="3806"/>
      <c r="S5" s="3807"/>
      <c r="T5" s="3806"/>
      <c r="U5" s="3807"/>
      <c r="V5" s="3810"/>
      <c r="W5" s="3810"/>
      <c r="X5" s="1352"/>
      <c r="Y5" s="3806"/>
      <c r="Z5" s="3807"/>
      <c r="AA5" s="3792"/>
      <c r="AB5" s="3792"/>
      <c r="AC5" s="3792"/>
    </row>
    <row r="6" spans="1:29" ht="15" thickBot="1">
      <c r="A6" s="360"/>
      <c r="B6" s="361"/>
      <c r="C6" s="3811" t="s">
        <v>1675</v>
      </c>
      <c r="D6" s="3812"/>
      <c r="E6" s="3818" t="s">
        <v>1675</v>
      </c>
      <c r="F6" s="3819"/>
      <c r="G6" s="3811" t="s">
        <v>1675</v>
      </c>
      <c r="H6" s="3812"/>
      <c r="I6" s="3811" t="s">
        <v>1675</v>
      </c>
      <c r="J6" s="3812"/>
      <c r="K6" s="1887" t="s">
        <v>1676</v>
      </c>
      <c r="L6" s="2712"/>
      <c r="M6" s="2713"/>
      <c r="N6" s="2713"/>
      <c r="O6" s="2713"/>
      <c r="P6" s="3802"/>
      <c r="Q6" s="3803"/>
      <c r="R6" s="3806"/>
      <c r="S6" s="3807"/>
      <c r="T6" s="3808"/>
      <c r="U6" s="3809"/>
      <c r="V6" s="3810"/>
      <c r="W6" s="3810"/>
      <c r="X6" s="1352"/>
      <c r="Y6" s="3808"/>
      <c r="Z6" s="3809"/>
      <c r="AA6" s="3793"/>
      <c r="AB6" s="3793"/>
      <c r="AC6" s="3793"/>
    </row>
    <row r="7" spans="1:29" s="108" customFormat="1" ht="15" thickBot="1">
      <c r="A7" s="362" t="s">
        <v>1677</v>
      </c>
      <c r="B7" s="363"/>
      <c r="C7" s="364">
        <f>'数据-取费表'!B2</f>
        <v>45295</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815" t="s">
        <v>1678</v>
      </c>
      <c r="Q7" s="3817"/>
      <c r="R7" s="701" t="s">
        <v>20</v>
      </c>
      <c r="S7" s="702">
        <f t="shared" ref="S7:S15" si="0">F7</f>
        <v>0</v>
      </c>
      <c r="T7" s="701" t="s">
        <v>20</v>
      </c>
      <c r="U7" s="702">
        <f t="shared" ref="U7:U15" si="1">H7</f>
        <v>0</v>
      </c>
      <c r="V7" s="701" t="s">
        <v>20</v>
      </c>
      <c r="W7" s="702">
        <f t="shared" ref="W7:W15" si="2">J7</f>
        <v>0</v>
      </c>
      <c r="X7" s="703"/>
      <c r="Y7" s="3815" t="s">
        <v>1678</v>
      </c>
      <c r="Z7" s="3816"/>
      <c r="AA7" s="704" t="e">
        <f>D7/F7</f>
        <v>#DIV/0!</v>
      </c>
      <c r="AB7" s="704" t="e">
        <f>D7/H7</f>
        <v>#DIV/0!</v>
      </c>
      <c r="AC7" s="704" t="e">
        <f>D7/J7</f>
        <v>#DIV/0!</v>
      </c>
    </row>
    <row r="8" spans="1:29" s="108" customFormat="1" ht="15" thickBot="1">
      <c r="A8" s="362" t="s">
        <v>1679</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815" t="s">
        <v>1681</v>
      </c>
      <c r="Q8" s="3816"/>
      <c r="R8" s="701" t="s">
        <v>20</v>
      </c>
      <c r="S8" s="702">
        <f t="shared" si="0"/>
        <v>100</v>
      </c>
      <c r="T8" s="701" t="s">
        <v>20</v>
      </c>
      <c r="U8" s="702">
        <f t="shared" si="1"/>
        <v>100</v>
      </c>
      <c r="V8" s="701" t="s">
        <v>20</v>
      </c>
      <c r="W8" s="702">
        <f t="shared" si="2"/>
        <v>100</v>
      </c>
      <c r="X8" s="703"/>
      <c r="Y8" s="3815" t="s">
        <v>1681</v>
      </c>
      <c r="Z8" s="3816"/>
      <c r="AA8" s="704">
        <f t="shared" ref="AA8:AA19" si="3">D8/F8</f>
        <v>1</v>
      </c>
      <c r="AB8" s="704">
        <f t="shared" ref="AB8:AB19" si="4">D8/H8</f>
        <v>1</v>
      </c>
      <c r="AC8" s="704">
        <f t="shared" ref="AC8:AC19" si="5">D8/J8</f>
        <v>1</v>
      </c>
    </row>
    <row r="9" spans="1:29" s="108" customFormat="1" ht="14.4">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790"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704">
        <f t="shared" si="5"/>
        <v>1</v>
      </c>
    </row>
    <row r="10" spans="1:29" s="378" customFormat="1" ht="28.8">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790"/>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90"/>
      <c r="Q11" s="1340" t="str">
        <f t="shared" si="6"/>
        <v>容积率</v>
      </c>
      <c r="R11" s="701" t="s">
        <v>18</v>
      </c>
      <c r="S11" s="702" t="e">
        <f t="shared" si="0"/>
        <v>#N/A</v>
      </c>
      <c r="T11" s="701" t="s">
        <v>18</v>
      </c>
      <c r="U11" s="702" t="e">
        <f t="shared" si="1"/>
        <v>#N/A</v>
      </c>
      <c r="V11" s="701" t="s">
        <v>18</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790"/>
      <c r="Q12" s="1340">
        <f t="shared" si="6"/>
        <v>111</v>
      </c>
      <c r="R12" s="701" t="s">
        <v>18</v>
      </c>
      <c r="S12" s="702">
        <f t="shared" si="0"/>
        <v>100</v>
      </c>
      <c r="T12" s="701" t="s">
        <v>18</v>
      </c>
      <c r="U12" s="702">
        <f t="shared" si="1"/>
        <v>100</v>
      </c>
      <c r="V12" s="701" t="s">
        <v>18</v>
      </c>
      <c r="W12" s="702">
        <f t="shared" si="2"/>
        <v>100</v>
      </c>
      <c r="X12" s="703"/>
      <c r="Y12" s="365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790"/>
      <c r="Q13" s="1340">
        <f t="shared" si="6"/>
        <v>111</v>
      </c>
      <c r="R13" s="701" t="s">
        <v>18</v>
      </c>
      <c r="S13" s="702">
        <f t="shared" si="0"/>
        <v>100</v>
      </c>
      <c r="T13" s="701" t="s">
        <v>18</v>
      </c>
      <c r="U13" s="702">
        <f t="shared" si="1"/>
        <v>100</v>
      </c>
      <c r="V13" s="701" t="s">
        <v>18</v>
      </c>
      <c r="W13" s="702">
        <f t="shared" si="2"/>
        <v>100</v>
      </c>
      <c r="X13" s="703"/>
      <c r="Y13" s="3654"/>
      <c r="Z13" s="52">
        <f t="shared" si="7"/>
        <v>111</v>
      </c>
      <c r="AA13" s="704">
        <f t="shared" si="3"/>
        <v>1</v>
      </c>
      <c r="AB13" s="704">
        <f t="shared" si="4"/>
        <v>1</v>
      </c>
      <c r="AC13" s="704">
        <f t="shared" si="5"/>
        <v>1</v>
      </c>
    </row>
    <row r="14" spans="1:29" ht="15.6"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790"/>
      <c r="Q14" s="1340">
        <f t="shared" si="6"/>
        <v>111</v>
      </c>
      <c r="R14" s="701" t="s">
        <v>18</v>
      </c>
      <c r="S14" s="702">
        <f t="shared" si="0"/>
        <v>100</v>
      </c>
      <c r="T14" s="701" t="s">
        <v>18</v>
      </c>
      <c r="U14" s="702">
        <f t="shared" si="1"/>
        <v>100</v>
      </c>
      <c r="V14" s="701" t="s">
        <v>18</v>
      </c>
      <c r="W14" s="702">
        <f t="shared" si="2"/>
        <v>100</v>
      </c>
      <c r="X14" s="703"/>
      <c r="Y14" s="3654"/>
      <c r="Z14" s="52">
        <f t="shared" si="7"/>
        <v>111</v>
      </c>
      <c r="AA14" s="704">
        <f t="shared" si="3"/>
        <v>1</v>
      </c>
      <c r="AB14" s="704">
        <f t="shared" si="4"/>
        <v>1</v>
      </c>
      <c r="AC14" s="704">
        <f t="shared" si="5"/>
        <v>1</v>
      </c>
    </row>
    <row r="15" spans="1:29" ht="96.6">
      <c r="A15" s="391" t="s">
        <v>1688</v>
      </c>
      <c r="B15" s="61" t="s">
        <v>1255</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88" t="s">
        <v>1689</v>
      </c>
      <c r="Q15" s="1349" t="str">
        <f t="shared" si="6"/>
        <v>居住社区成熟度</v>
      </c>
      <c r="R15" s="705" t="s">
        <v>18</v>
      </c>
      <c r="S15" s="706">
        <f t="shared" si="0"/>
        <v>100</v>
      </c>
      <c r="T15" s="705" t="s">
        <v>18</v>
      </c>
      <c r="U15" s="706">
        <f t="shared" si="1"/>
        <v>100</v>
      </c>
      <c r="V15" s="705" t="s">
        <v>18</v>
      </c>
      <c r="W15" s="706">
        <f t="shared" si="2"/>
        <v>100</v>
      </c>
      <c r="X15" s="1352"/>
      <c r="Y15" s="3781" t="s">
        <v>1689</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789"/>
      <c r="Q16" s="1349"/>
      <c r="R16" s="705"/>
      <c r="S16" s="706"/>
      <c r="T16" s="705"/>
      <c r="U16" s="706"/>
      <c r="V16" s="705"/>
      <c r="W16" s="706"/>
      <c r="X16" s="1352"/>
      <c r="Y16" s="3782"/>
      <c r="Z16" s="1353"/>
      <c r="AA16" s="1350">
        <v>1</v>
      </c>
      <c r="AB16" s="1350">
        <v>1</v>
      </c>
      <c r="AC16" s="1350">
        <v>1</v>
      </c>
    </row>
    <row r="17" spans="1:29" ht="82.8">
      <c r="A17" s="379"/>
      <c r="B17" s="402" t="s">
        <v>1257</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89"/>
      <c r="Q17" s="1349" t="str">
        <f>B17</f>
        <v>交通便捷度</v>
      </c>
      <c r="R17" s="705" t="s">
        <v>18</v>
      </c>
      <c r="S17" s="706">
        <f>F17</f>
        <v>100</v>
      </c>
      <c r="T17" s="705" t="s">
        <v>18</v>
      </c>
      <c r="U17" s="706">
        <f>H17</f>
        <v>100</v>
      </c>
      <c r="V17" s="705" t="s">
        <v>18</v>
      </c>
      <c r="W17" s="706">
        <f>J17</f>
        <v>100</v>
      </c>
      <c r="X17" s="1352"/>
      <c r="Y17" s="3782"/>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789"/>
      <c r="Q18" s="1349"/>
      <c r="R18" s="705"/>
      <c r="S18" s="706"/>
      <c r="T18" s="705"/>
      <c r="U18" s="706"/>
      <c r="V18" s="705"/>
      <c r="W18" s="706"/>
      <c r="X18" s="1352"/>
      <c r="Y18" s="3782"/>
      <c r="Z18" s="1353"/>
      <c r="AA18" s="1350">
        <v>1</v>
      </c>
      <c r="AB18" s="1350">
        <v>1</v>
      </c>
      <c r="AC18" s="1350">
        <v>1</v>
      </c>
    </row>
    <row r="19" spans="1:29" ht="41.4">
      <c r="A19" s="379"/>
      <c r="B19" s="402" t="s">
        <v>1256</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89"/>
      <c r="Q19" s="1349" t="str">
        <f>B19</f>
        <v>公共配套设施</v>
      </c>
      <c r="R19" s="705" t="s">
        <v>18</v>
      </c>
      <c r="S19" s="706">
        <f>F19</f>
        <v>100</v>
      </c>
      <c r="T19" s="705" t="s">
        <v>18</v>
      </c>
      <c r="U19" s="706">
        <f>H19</f>
        <v>100</v>
      </c>
      <c r="V19" s="705" t="s">
        <v>18</v>
      </c>
      <c r="W19" s="706">
        <f>J19</f>
        <v>100</v>
      </c>
      <c r="X19" s="1352"/>
      <c r="Y19" s="3782"/>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789"/>
      <c r="Q20" s="1349"/>
      <c r="R20" s="705"/>
      <c r="S20" s="706"/>
      <c r="T20" s="705"/>
      <c r="U20" s="706"/>
      <c r="V20" s="705"/>
      <c r="W20" s="706"/>
      <c r="X20" s="1352"/>
      <c r="Y20" s="3782"/>
      <c r="Z20" s="1353"/>
      <c r="AA20" s="1350">
        <v>1</v>
      </c>
      <c r="AB20" s="1350">
        <v>1</v>
      </c>
      <c r="AC20" s="1350">
        <v>1</v>
      </c>
    </row>
    <row r="21" spans="1:29" ht="27.6">
      <c r="A21" s="379"/>
      <c r="B21" s="1128" t="s">
        <v>1258</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89"/>
      <c r="Q21" s="1349" t="str">
        <f>B21</f>
        <v>基础设施水平</v>
      </c>
      <c r="R21" s="705" t="s">
        <v>14</v>
      </c>
      <c r="S21" s="706">
        <f>F21</f>
        <v>100</v>
      </c>
      <c r="T21" s="705" t="s">
        <v>14</v>
      </c>
      <c r="U21" s="706">
        <f>H21</f>
        <v>100</v>
      </c>
      <c r="V21" s="705" t="s">
        <v>14</v>
      </c>
      <c r="W21" s="706">
        <f>J21</f>
        <v>100</v>
      </c>
      <c r="X21" s="1352"/>
      <c r="Y21" s="378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789"/>
      <c r="Q22" s="1349"/>
      <c r="R22" s="705"/>
      <c r="S22" s="706"/>
      <c r="T22" s="705"/>
      <c r="U22" s="706"/>
      <c r="V22" s="705"/>
      <c r="W22" s="706"/>
      <c r="X22" s="1352"/>
      <c r="Y22" s="3782"/>
      <c r="Z22" s="1353"/>
      <c r="AA22" s="1350">
        <v>1</v>
      </c>
      <c r="AB22" s="1350">
        <v>1</v>
      </c>
      <c r="AC22" s="1350">
        <v>1</v>
      </c>
    </row>
    <row r="23" spans="1:29" ht="55.2">
      <c r="A23" s="379"/>
      <c r="B23" s="402" t="s">
        <v>1259</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89"/>
      <c r="Q23" s="1349" t="str">
        <f>B23</f>
        <v>自然及人文环境</v>
      </c>
      <c r="R23" s="705" t="s">
        <v>18</v>
      </c>
      <c r="S23" s="706">
        <f>F23</f>
        <v>100</v>
      </c>
      <c r="T23" s="705" t="s">
        <v>18</v>
      </c>
      <c r="U23" s="706">
        <f>H23</f>
        <v>100</v>
      </c>
      <c r="V23" s="705" t="s">
        <v>18</v>
      </c>
      <c r="W23" s="706">
        <f>J23</f>
        <v>100</v>
      </c>
      <c r="X23" s="1352"/>
      <c r="Y23" s="3782"/>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789"/>
      <c r="Q24" s="1349"/>
      <c r="R24" s="705"/>
      <c r="S24" s="706"/>
      <c r="T24" s="705"/>
      <c r="U24" s="706"/>
      <c r="V24" s="705"/>
      <c r="W24" s="706"/>
      <c r="X24" s="1352"/>
      <c r="Y24" s="3782"/>
      <c r="Z24" s="1353"/>
      <c r="AA24" s="1350">
        <v>1</v>
      </c>
      <c r="AB24" s="1350">
        <v>1</v>
      </c>
      <c r="AC24" s="1350">
        <v>1</v>
      </c>
    </row>
    <row r="25" spans="1:29" ht="15">
      <c r="A25" s="379"/>
      <c r="B25" s="375" t="s">
        <v>1690</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789"/>
      <c r="Q25" s="1349" t="str">
        <f t="shared" ref="Q25:Q46" si="11">B25</f>
        <v>楼层-1</v>
      </c>
      <c r="R25" s="705" t="s">
        <v>18</v>
      </c>
      <c r="S25" s="706">
        <f t="shared" ref="S25:S46" si="12">F25</f>
        <v>100</v>
      </c>
      <c r="T25" s="705" t="s">
        <v>18</v>
      </c>
      <c r="U25" s="706">
        <f t="shared" ref="U25:U46" si="13">H25</f>
        <v>100</v>
      </c>
      <c r="V25" s="705" t="s">
        <v>18</v>
      </c>
      <c r="W25" s="706">
        <f t="shared" ref="W25:W46" si="14">J25</f>
        <v>100</v>
      </c>
      <c r="X25" s="1352"/>
      <c r="Y25" s="3782"/>
      <c r="Z25" s="1353" t="str">
        <f>Q25</f>
        <v>楼层-1</v>
      </c>
      <c r="AA25" s="1350">
        <f t="shared" ref="AA25:AA46" si="15">D25/F25</f>
        <v>1</v>
      </c>
      <c r="AB25" s="1350">
        <f t="shared" ref="AB25:AB46" si="16">D25/H25</f>
        <v>1</v>
      </c>
      <c r="AC25" s="1350">
        <f t="shared" ref="AC25:AC46" si="17">D25/J25</f>
        <v>1</v>
      </c>
    </row>
    <row r="26" spans="1:29" ht="15">
      <c r="A26" s="379"/>
      <c r="B26" s="375" t="s">
        <v>1691</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789"/>
      <c r="Q26" s="1349" t="str">
        <f t="shared" si="11"/>
        <v>朝向</v>
      </c>
      <c r="R26" s="705" t="s">
        <v>18</v>
      </c>
      <c r="S26" s="706">
        <f t="shared" si="12"/>
        <v>100</v>
      </c>
      <c r="T26" s="705" t="s">
        <v>18</v>
      </c>
      <c r="U26" s="706">
        <f t="shared" si="13"/>
        <v>100</v>
      </c>
      <c r="V26" s="705" t="s">
        <v>18</v>
      </c>
      <c r="W26" s="706">
        <f t="shared" si="14"/>
        <v>100</v>
      </c>
      <c r="X26" s="1352"/>
      <c r="Y26" s="3782"/>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789"/>
      <c r="Q27" s="1340">
        <f t="shared" si="11"/>
        <v>111</v>
      </c>
      <c r="R27" s="701" t="s">
        <v>18</v>
      </c>
      <c r="S27" s="702">
        <f t="shared" si="12"/>
        <v>100</v>
      </c>
      <c r="T27" s="701" t="s">
        <v>18</v>
      </c>
      <c r="U27" s="702">
        <f t="shared" si="13"/>
        <v>100</v>
      </c>
      <c r="V27" s="701" t="s">
        <v>18</v>
      </c>
      <c r="W27" s="702">
        <f t="shared" si="14"/>
        <v>100</v>
      </c>
      <c r="X27" s="703"/>
      <c r="Y27" s="3782"/>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789"/>
      <c r="Q28" s="1349">
        <f t="shared" si="11"/>
        <v>111</v>
      </c>
      <c r="R28" s="705" t="s">
        <v>18</v>
      </c>
      <c r="S28" s="706">
        <f t="shared" si="12"/>
        <v>100</v>
      </c>
      <c r="T28" s="705" t="s">
        <v>18</v>
      </c>
      <c r="U28" s="706">
        <f t="shared" si="13"/>
        <v>100</v>
      </c>
      <c r="V28" s="705" t="s">
        <v>18</v>
      </c>
      <c r="W28" s="706">
        <f t="shared" si="14"/>
        <v>100</v>
      </c>
      <c r="X28" s="1352"/>
      <c r="Y28" s="3782"/>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789"/>
      <c r="Q29" s="1349">
        <f t="shared" si="11"/>
        <v>111</v>
      </c>
      <c r="R29" s="705" t="s">
        <v>18</v>
      </c>
      <c r="S29" s="706">
        <f t="shared" si="12"/>
        <v>100</v>
      </c>
      <c r="T29" s="705" t="s">
        <v>18</v>
      </c>
      <c r="U29" s="706">
        <f t="shared" si="13"/>
        <v>100</v>
      </c>
      <c r="V29" s="705" t="s">
        <v>18</v>
      </c>
      <c r="W29" s="706">
        <f t="shared" si="14"/>
        <v>100</v>
      </c>
      <c r="X29" s="1352"/>
      <c r="Y29" s="3782"/>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789"/>
      <c r="Q30" s="1349">
        <f t="shared" si="11"/>
        <v>111</v>
      </c>
      <c r="R30" s="705" t="s">
        <v>18</v>
      </c>
      <c r="S30" s="706">
        <f t="shared" si="12"/>
        <v>100</v>
      </c>
      <c r="T30" s="705" t="s">
        <v>18</v>
      </c>
      <c r="U30" s="706">
        <f t="shared" si="13"/>
        <v>100</v>
      </c>
      <c r="V30" s="705" t="s">
        <v>18</v>
      </c>
      <c r="W30" s="706">
        <f t="shared" si="14"/>
        <v>100</v>
      </c>
      <c r="X30" s="1352"/>
      <c r="Y30" s="3782"/>
      <c r="Z30" s="1353">
        <f t="shared" si="18"/>
        <v>111</v>
      </c>
      <c r="AA30" s="1350">
        <f t="shared" si="15"/>
        <v>1</v>
      </c>
      <c r="AB30" s="1350">
        <f t="shared" si="16"/>
        <v>1</v>
      </c>
      <c r="AC30" s="1350">
        <f t="shared" si="17"/>
        <v>1</v>
      </c>
    </row>
    <row r="31" spans="1:29" ht="15.6"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789"/>
      <c r="Q31" s="1349">
        <f t="shared" si="11"/>
        <v>111</v>
      </c>
      <c r="R31" s="705" t="s">
        <v>18</v>
      </c>
      <c r="S31" s="706">
        <f t="shared" si="12"/>
        <v>100</v>
      </c>
      <c r="T31" s="705" t="s">
        <v>18</v>
      </c>
      <c r="U31" s="706">
        <f t="shared" si="13"/>
        <v>100</v>
      </c>
      <c r="V31" s="705" t="s">
        <v>18</v>
      </c>
      <c r="W31" s="706">
        <f t="shared" si="14"/>
        <v>100</v>
      </c>
      <c r="X31" s="1352"/>
      <c r="Y31" s="3782"/>
      <c r="Z31" s="1353">
        <f t="shared" si="18"/>
        <v>111</v>
      </c>
      <c r="AA31" s="1350">
        <f t="shared" si="15"/>
        <v>1</v>
      </c>
      <c r="AB31" s="1350">
        <f t="shared" si="16"/>
        <v>1</v>
      </c>
      <c r="AC31" s="1350">
        <f t="shared" si="17"/>
        <v>1</v>
      </c>
    </row>
    <row r="32" spans="1:29" ht="15">
      <c r="A32" s="391" t="s">
        <v>1692</v>
      </c>
      <c r="B32" s="63" t="s">
        <v>1693</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783" t="s">
        <v>1694</v>
      </c>
      <c r="Q32" s="1349" t="str">
        <f t="shared" si="11"/>
        <v>建筑类型</v>
      </c>
      <c r="R32" s="705" t="s">
        <v>18</v>
      </c>
      <c r="S32" s="706">
        <f t="shared" si="12"/>
        <v>100</v>
      </c>
      <c r="T32" s="705" t="s">
        <v>18</v>
      </c>
      <c r="U32" s="706">
        <f t="shared" si="13"/>
        <v>100</v>
      </c>
      <c r="V32" s="705" t="s">
        <v>18</v>
      </c>
      <c r="W32" s="706">
        <f t="shared" si="14"/>
        <v>100</v>
      </c>
      <c r="X32" s="1352"/>
      <c r="Y32" s="3786"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784"/>
      <c r="Q33" s="707" t="str">
        <f t="shared" si="11"/>
        <v>项目建筑规模</v>
      </c>
      <c r="R33" s="708" t="s">
        <v>18</v>
      </c>
      <c r="S33" s="709" t="e">
        <f t="shared" si="12"/>
        <v>#N/A</v>
      </c>
      <c r="T33" s="708" t="s">
        <v>18</v>
      </c>
      <c r="U33" s="709" t="e">
        <f t="shared" si="13"/>
        <v>#N/A</v>
      </c>
      <c r="V33" s="708" t="s">
        <v>18</v>
      </c>
      <c r="W33" s="709" t="e">
        <f t="shared" si="14"/>
        <v>#N/A</v>
      </c>
      <c r="X33" s="710"/>
      <c r="Y33" s="3786"/>
      <c r="Z33" s="711" t="str">
        <f t="shared" si="18"/>
        <v>项目建筑规模</v>
      </c>
      <c r="AA33" s="1350" t="e">
        <f t="shared" si="15"/>
        <v>#N/A</v>
      </c>
      <c r="AB33" s="1350" t="e">
        <f t="shared" si="16"/>
        <v>#N/A</v>
      </c>
      <c r="AC33" s="1350" t="e">
        <f t="shared" si="17"/>
        <v>#N/A</v>
      </c>
    </row>
    <row r="34" spans="1:29" ht="15">
      <c r="A34" s="423"/>
      <c r="B34" s="375" t="s">
        <v>1696</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784"/>
      <c r="Q34" s="1349" t="str">
        <f t="shared" si="11"/>
        <v>建筑结构</v>
      </c>
      <c r="R34" s="705" t="s">
        <v>18</v>
      </c>
      <c r="S34" s="706">
        <f t="shared" si="12"/>
        <v>100</v>
      </c>
      <c r="T34" s="705" t="s">
        <v>18</v>
      </c>
      <c r="U34" s="706">
        <f t="shared" si="13"/>
        <v>100</v>
      </c>
      <c r="V34" s="705" t="s">
        <v>18</v>
      </c>
      <c r="W34" s="706">
        <f t="shared" si="14"/>
        <v>100</v>
      </c>
      <c r="X34" s="1352"/>
      <c r="Y34" s="3786"/>
      <c r="Z34" s="1353" t="str">
        <f t="shared" si="18"/>
        <v>建筑结构</v>
      </c>
      <c r="AA34" s="1350">
        <f t="shared" si="15"/>
        <v>1</v>
      </c>
      <c r="AB34" s="1350">
        <f t="shared" si="16"/>
        <v>1</v>
      </c>
      <c r="AC34" s="1350">
        <f t="shared" si="17"/>
        <v>1</v>
      </c>
    </row>
    <row r="35" spans="1:29" ht="15">
      <c r="A35" s="423"/>
      <c r="B35" s="375" t="s">
        <v>1697</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784"/>
      <c r="Q35" s="1349" t="str">
        <f t="shared" si="11"/>
        <v>建筑品质</v>
      </c>
      <c r="R35" s="705" t="s">
        <v>18</v>
      </c>
      <c r="S35" s="706">
        <f t="shared" si="12"/>
        <v>100</v>
      </c>
      <c r="T35" s="705" t="s">
        <v>18</v>
      </c>
      <c r="U35" s="706">
        <f t="shared" si="13"/>
        <v>100</v>
      </c>
      <c r="V35" s="705" t="s">
        <v>18</v>
      </c>
      <c r="W35" s="706">
        <f t="shared" si="14"/>
        <v>100</v>
      </c>
      <c r="X35" s="1352"/>
      <c r="Y35" s="3786"/>
      <c r="Z35" s="1353" t="str">
        <f t="shared" si="18"/>
        <v>建筑品质</v>
      </c>
      <c r="AA35" s="1350">
        <f t="shared" si="15"/>
        <v>1</v>
      </c>
      <c r="AB35" s="1350">
        <f t="shared" si="16"/>
        <v>1</v>
      </c>
      <c r="AC35" s="1350">
        <f t="shared" si="17"/>
        <v>1</v>
      </c>
    </row>
    <row r="36" spans="1:29" ht="15">
      <c r="A36" s="423"/>
      <c r="B36" s="375" t="s">
        <v>1698</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784"/>
      <c r="Q36" s="1349" t="str">
        <f t="shared" si="11"/>
        <v>公共部分装修</v>
      </c>
      <c r="R36" s="705" t="s">
        <v>18</v>
      </c>
      <c r="S36" s="706">
        <f t="shared" si="12"/>
        <v>100</v>
      </c>
      <c r="T36" s="705" t="s">
        <v>18</v>
      </c>
      <c r="U36" s="706">
        <f t="shared" si="13"/>
        <v>100</v>
      </c>
      <c r="V36" s="705" t="s">
        <v>18</v>
      </c>
      <c r="W36" s="706">
        <f t="shared" si="14"/>
        <v>100</v>
      </c>
      <c r="X36" s="1352"/>
      <c r="Y36" s="3786"/>
      <c r="Z36" s="1353" t="str">
        <f t="shared" si="18"/>
        <v>公共部分装修</v>
      </c>
      <c r="AA36" s="1350">
        <f t="shared" si="15"/>
        <v>1</v>
      </c>
      <c r="AB36" s="1350">
        <f t="shared" si="16"/>
        <v>1</v>
      </c>
      <c r="AC36" s="1350">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84"/>
      <c r="Q37" s="1340" t="str">
        <f t="shared" si="11"/>
        <v>成新度</v>
      </c>
      <c r="R37" s="701" t="s">
        <v>18</v>
      </c>
      <c r="S37" s="702" t="e">
        <f t="shared" si="12"/>
        <v>#N/A</v>
      </c>
      <c r="T37" s="701" t="s">
        <v>18</v>
      </c>
      <c r="U37" s="702" t="e">
        <f t="shared" si="13"/>
        <v>#N/A</v>
      </c>
      <c r="V37" s="701" t="s">
        <v>18</v>
      </c>
      <c r="W37" s="702" t="e">
        <f t="shared" si="14"/>
        <v>#N/A</v>
      </c>
      <c r="X37" s="703"/>
      <c r="Y37" s="3786"/>
      <c r="Z37" s="52" t="str">
        <f t="shared" si="18"/>
        <v>成新度</v>
      </c>
      <c r="AA37" s="704" t="e">
        <f t="shared" si="15"/>
        <v>#N/A</v>
      </c>
      <c r="AB37" s="704" t="e">
        <f t="shared" si="16"/>
        <v>#N/A</v>
      </c>
      <c r="AC37" s="704" t="e">
        <f t="shared" si="17"/>
        <v>#N/A</v>
      </c>
    </row>
    <row r="38" spans="1:29" ht="15">
      <c r="A38" s="423"/>
      <c r="B38" s="375" t="s">
        <v>1700</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784" t="s">
        <v>1694</v>
      </c>
      <c r="Q38" s="1349" t="str">
        <f t="shared" si="11"/>
        <v>物业管理</v>
      </c>
      <c r="R38" s="705" t="s">
        <v>18</v>
      </c>
      <c r="S38" s="706">
        <f t="shared" si="12"/>
        <v>100</v>
      </c>
      <c r="T38" s="705" t="s">
        <v>18</v>
      </c>
      <c r="U38" s="706">
        <f t="shared" si="13"/>
        <v>100</v>
      </c>
      <c r="V38" s="705" t="s">
        <v>18</v>
      </c>
      <c r="W38" s="706">
        <f t="shared" si="14"/>
        <v>100</v>
      </c>
      <c r="X38" s="1352"/>
      <c r="Y38" s="3786" t="s">
        <v>1694</v>
      </c>
      <c r="Z38" s="1353" t="str">
        <f t="shared" si="18"/>
        <v>物业管理</v>
      </c>
      <c r="AA38" s="1350">
        <f t="shared" si="15"/>
        <v>1</v>
      </c>
      <c r="AB38" s="1350">
        <f t="shared" si="16"/>
        <v>1</v>
      </c>
      <c r="AC38" s="1350">
        <f t="shared" si="17"/>
        <v>1</v>
      </c>
    </row>
    <row r="39" spans="1:29" ht="15">
      <c r="A39" s="423"/>
      <c r="B39" s="375" t="s">
        <v>1701</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784"/>
      <c r="Q39" s="1349" t="str">
        <f t="shared" si="11"/>
        <v>市政基础设施</v>
      </c>
      <c r="R39" s="705" t="s">
        <v>18</v>
      </c>
      <c r="S39" s="706">
        <f t="shared" si="12"/>
        <v>100</v>
      </c>
      <c r="T39" s="705" t="s">
        <v>18</v>
      </c>
      <c r="U39" s="706">
        <f t="shared" si="13"/>
        <v>100</v>
      </c>
      <c r="V39" s="705" t="s">
        <v>18</v>
      </c>
      <c r="W39" s="706">
        <f t="shared" si="14"/>
        <v>100</v>
      </c>
      <c r="X39" s="1352"/>
      <c r="Y39" s="3786"/>
      <c r="Z39" s="1353" t="str">
        <f t="shared" si="18"/>
        <v>市政基础设施</v>
      </c>
      <c r="AA39" s="1350">
        <f t="shared" si="15"/>
        <v>1</v>
      </c>
      <c r="AB39" s="1350">
        <f t="shared" si="16"/>
        <v>1</v>
      </c>
      <c r="AC39" s="1350">
        <f t="shared" si="17"/>
        <v>1</v>
      </c>
    </row>
    <row r="40" spans="1:29" ht="15">
      <c r="A40" s="423"/>
      <c r="B40" s="375" t="s">
        <v>1702</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784"/>
      <c r="Q40" s="1349" t="str">
        <f t="shared" si="11"/>
        <v>房型</v>
      </c>
      <c r="R40" s="705" t="s">
        <v>18</v>
      </c>
      <c r="S40" s="706">
        <f t="shared" si="12"/>
        <v>100</v>
      </c>
      <c r="T40" s="705" t="s">
        <v>18</v>
      </c>
      <c r="U40" s="706">
        <f t="shared" si="13"/>
        <v>100</v>
      </c>
      <c r="V40" s="705" t="s">
        <v>18</v>
      </c>
      <c r="W40" s="706">
        <f t="shared" si="14"/>
        <v>100</v>
      </c>
      <c r="X40" s="1352"/>
      <c r="Y40" s="3786"/>
      <c r="Z40" s="1353" t="str">
        <f t="shared" si="18"/>
        <v>房型</v>
      </c>
      <c r="AA40" s="1350">
        <f t="shared" si="15"/>
        <v>1</v>
      </c>
      <c r="AB40" s="1350">
        <f t="shared" si="16"/>
        <v>1</v>
      </c>
      <c r="AC40" s="1350">
        <f t="shared" si="17"/>
        <v>1</v>
      </c>
    </row>
    <row r="41" spans="1:29" s="422" customFormat="1" ht="28.8">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784"/>
      <c r="Q41" s="707" t="str">
        <f t="shared" si="11"/>
        <v>单套/主力户型建筑面积</v>
      </c>
      <c r="R41" s="708" t="s">
        <v>18</v>
      </c>
      <c r="S41" s="709">
        <f t="shared" si="12"/>
        <v>100</v>
      </c>
      <c r="T41" s="708" t="s">
        <v>18</v>
      </c>
      <c r="U41" s="709">
        <f t="shared" si="13"/>
        <v>100</v>
      </c>
      <c r="V41" s="708" t="s">
        <v>18</v>
      </c>
      <c r="W41" s="709">
        <f t="shared" si="14"/>
        <v>100</v>
      </c>
      <c r="X41" s="710"/>
      <c r="Y41" s="3786"/>
      <c r="Z41" s="711" t="str">
        <f t="shared" si="18"/>
        <v>单套/主力户型建筑面积</v>
      </c>
      <c r="AA41" s="1350">
        <f t="shared" si="15"/>
        <v>1</v>
      </c>
      <c r="AB41" s="1350">
        <f t="shared" si="16"/>
        <v>1</v>
      </c>
      <c r="AC41" s="1350">
        <f t="shared" si="17"/>
        <v>1</v>
      </c>
    </row>
    <row r="42" spans="1:29" ht="15">
      <c r="A42" s="423"/>
      <c r="B42" s="375" t="s">
        <v>1704</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784"/>
      <c r="Q42" s="1349" t="str">
        <f t="shared" si="11"/>
        <v>内部装修</v>
      </c>
      <c r="R42" s="705" t="s">
        <v>18</v>
      </c>
      <c r="S42" s="706">
        <f t="shared" si="12"/>
        <v>100</v>
      </c>
      <c r="T42" s="705" t="s">
        <v>18</v>
      </c>
      <c r="U42" s="706">
        <f t="shared" si="13"/>
        <v>100</v>
      </c>
      <c r="V42" s="705" t="s">
        <v>18</v>
      </c>
      <c r="W42" s="706">
        <f t="shared" si="14"/>
        <v>100</v>
      </c>
      <c r="X42" s="1352"/>
      <c r="Y42" s="3786"/>
      <c r="Z42" s="1353" t="str">
        <f t="shared" si="18"/>
        <v>内部装修</v>
      </c>
      <c r="AA42" s="1350">
        <f t="shared" si="15"/>
        <v>1</v>
      </c>
      <c r="AB42" s="1350">
        <f t="shared" si="16"/>
        <v>1</v>
      </c>
      <c r="AC42" s="1350">
        <f t="shared" si="17"/>
        <v>1</v>
      </c>
    </row>
    <row r="43" spans="1:29" ht="28.8">
      <c r="A43" s="423"/>
      <c r="B43" s="375" t="s">
        <v>1705</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784"/>
      <c r="Q43" s="1349" t="str">
        <f t="shared" si="11"/>
        <v>内部装修维护情况</v>
      </c>
      <c r="R43" s="705" t="s">
        <v>18</v>
      </c>
      <c r="S43" s="706">
        <f t="shared" si="12"/>
        <v>100</v>
      </c>
      <c r="T43" s="705" t="s">
        <v>18</v>
      </c>
      <c r="U43" s="706">
        <f t="shared" si="13"/>
        <v>100</v>
      </c>
      <c r="V43" s="705" t="s">
        <v>18</v>
      </c>
      <c r="W43" s="706">
        <f t="shared" si="14"/>
        <v>100</v>
      </c>
      <c r="X43" s="1352"/>
      <c r="Y43" s="3786"/>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784"/>
      <c r="Q44" s="1340">
        <f t="shared" si="11"/>
        <v>111</v>
      </c>
      <c r="R44" s="701" t="s">
        <v>18</v>
      </c>
      <c r="S44" s="702">
        <f t="shared" si="12"/>
        <v>100</v>
      </c>
      <c r="T44" s="701" t="s">
        <v>18</v>
      </c>
      <c r="U44" s="702">
        <f t="shared" si="13"/>
        <v>100</v>
      </c>
      <c r="V44" s="701" t="s">
        <v>18</v>
      </c>
      <c r="W44" s="702">
        <f t="shared" si="14"/>
        <v>100</v>
      </c>
      <c r="X44" s="703"/>
      <c r="Y44" s="3786"/>
      <c r="Z44" s="52">
        <f t="shared" si="18"/>
        <v>111</v>
      </c>
      <c r="AA44" s="704">
        <f t="shared" si="15"/>
        <v>1</v>
      </c>
      <c r="AB44" s="704">
        <f t="shared" si="16"/>
        <v>1</v>
      </c>
      <c r="AC44" s="704">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784"/>
      <c r="Q45" s="1349">
        <f t="shared" si="11"/>
        <v>111</v>
      </c>
      <c r="R45" s="705" t="s">
        <v>18</v>
      </c>
      <c r="S45" s="706">
        <f t="shared" si="12"/>
        <v>100</v>
      </c>
      <c r="T45" s="705" t="s">
        <v>18</v>
      </c>
      <c r="U45" s="706">
        <f t="shared" si="13"/>
        <v>100</v>
      </c>
      <c r="V45" s="705" t="s">
        <v>18</v>
      </c>
      <c r="W45" s="706">
        <f t="shared" si="14"/>
        <v>100</v>
      </c>
      <c r="X45" s="1352"/>
      <c r="Y45" s="3786"/>
      <c r="Z45" s="1353">
        <f t="shared" si="18"/>
        <v>111</v>
      </c>
      <c r="AA45" s="1350">
        <f t="shared" si="15"/>
        <v>1</v>
      </c>
      <c r="AB45" s="1350">
        <f t="shared" si="16"/>
        <v>1</v>
      </c>
      <c r="AC45" s="1350">
        <f t="shared" si="17"/>
        <v>1</v>
      </c>
    </row>
    <row r="46" spans="1:29" ht="15.6"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785"/>
      <c r="Q46" s="1349">
        <f t="shared" si="11"/>
        <v>111</v>
      </c>
      <c r="R46" s="705" t="s">
        <v>17</v>
      </c>
      <c r="S46" s="706">
        <f t="shared" si="12"/>
        <v>100</v>
      </c>
      <c r="T46" s="705" t="s">
        <v>17</v>
      </c>
      <c r="U46" s="706">
        <f t="shared" si="13"/>
        <v>100</v>
      </c>
      <c r="V46" s="705" t="s">
        <v>17</v>
      </c>
      <c r="W46" s="706">
        <f t="shared" si="14"/>
        <v>100</v>
      </c>
      <c r="X46" s="1352"/>
      <c r="Y46" s="3787"/>
      <c r="Z46" s="1353">
        <f t="shared" si="18"/>
        <v>111</v>
      </c>
      <c r="AA46" s="1350">
        <f t="shared" si="15"/>
        <v>1</v>
      </c>
      <c r="AB46" s="1350">
        <f t="shared" si="16"/>
        <v>1</v>
      </c>
      <c r="AC46" s="1350">
        <f t="shared" si="17"/>
        <v>1</v>
      </c>
    </row>
    <row r="47" spans="1:29" ht="14.4">
      <c r="A47" s="430" t="s">
        <v>1706</v>
      </c>
      <c r="B47" s="431"/>
      <c r="C47" s="1151" t="s">
        <v>16</v>
      </c>
      <c r="D47" s="1152"/>
      <c r="E47" s="1153"/>
      <c r="F47" s="1154"/>
      <c r="G47" s="1155"/>
      <c r="H47" s="1156"/>
      <c r="I47" s="1153"/>
      <c r="J47" s="1156"/>
      <c r="K47" s="1911"/>
      <c r="L47" s="2721"/>
      <c r="M47" s="2722"/>
      <c r="N47" s="2713"/>
      <c r="O47" s="2722"/>
      <c r="P47" s="3779" t="str">
        <f>A47</f>
        <v>成交单价（元/平方米）</v>
      </c>
      <c r="Q47" s="3779"/>
      <c r="R47" s="3780">
        <f>E47</f>
        <v>0</v>
      </c>
      <c r="S47" s="3780"/>
      <c r="T47" s="3780">
        <f>G47</f>
        <v>0</v>
      </c>
      <c r="U47" s="3780"/>
      <c r="V47" s="3780">
        <f>I47</f>
        <v>0</v>
      </c>
      <c r="W47" s="3780"/>
      <c r="X47" s="690"/>
      <c r="Y47" s="712"/>
      <c r="Z47" s="690"/>
      <c r="AA47" s="690"/>
      <c r="AB47" s="690"/>
      <c r="AC47" s="690"/>
    </row>
    <row r="48" spans="1:29" ht="15" thickBot="1">
      <c r="A48" s="437" t="s">
        <v>1707</v>
      </c>
      <c r="B48" s="438"/>
      <c r="C48" s="1157" t="e">
        <f>R49</f>
        <v>#DIV/0!</v>
      </c>
      <c r="D48" s="2314" t="s">
        <v>2135</v>
      </c>
      <c r="E48" s="1158" t="e">
        <f>R48</f>
        <v>#DIV/0!</v>
      </c>
      <c r="F48" s="2315"/>
      <c r="G48" s="1157" t="e">
        <f>T48</f>
        <v>#DIV/0!</v>
      </c>
      <c r="H48" s="2315"/>
      <c r="I48" s="1158" t="e">
        <f>V48</f>
        <v>#DIV/0!</v>
      </c>
      <c r="J48" s="2315"/>
      <c r="K48" s="2316">
        <f>F48+H48+J48</f>
        <v>0</v>
      </c>
      <c r="L48" s="2721"/>
      <c r="M48" s="2722"/>
      <c r="N48" s="2722"/>
      <c r="O48" s="2722"/>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90"/>
      <c r="Y48" s="690"/>
      <c r="Z48" s="690"/>
      <c r="AA48" s="690"/>
      <c r="AB48" s="690"/>
      <c r="AC48" s="690"/>
    </row>
    <row r="49" spans="1:29" ht="15" thickBot="1">
      <c r="A49" s="441" t="s">
        <v>1708</v>
      </c>
      <c r="B49" s="442"/>
      <c r="C49" s="1159" t="e">
        <f>R49</f>
        <v>#DIV/0!</v>
      </c>
      <c r="D49" s="1160"/>
      <c r="E49" s="1160"/>
      <c r="F49" s="1160"/>
      <c r="G49" s="1160"/>
      <c r="H49" s="1160"/>
      <c r="I49" s="1160"/>
      <c r="J49" s="1160"/>
      <c r="K49" s="1912"/>
      <c r="L49" s="2721"/>
      <c r="M49" s="2722"/>
      <c r="N49" s="2722"/>
      <c r="O49" s="2722"/>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2.2" thickBot="1">
      <c r="A57" s="694" t="s">
        <v>1712</v>
      </c>
      <c r="B57" s="690"/>
      <c r="C57" s="695"/>
      <c r="D57" s="695"/>
      <c r="E57" s="695"/>
      <c r="F57" s="696"/>
      <c r="G57" s="696"/>
      <c r="H57" s="695"/>
      <c r="I57" s="695"/>
      <c r="J57" s="695"/>
      <c r="K57" s="938"/>
      <c r="L57" s="939"/>
      <c r="M57" s="937"/>
      <c r="N57" s="937"/>
      <c r="O57" s="937"/>
      <c r="P57" s="1915"/>
      <c r="Q57" s="453"/>
    </row>
    <row r="58" spans="1:29" s="457" customFormat="1" ht="14.4">
      <c r="A58" s="454" t="s">
        <v>1713</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c r="A59" s="458"/>
      <c r="B59" s="1916"/>
      <c r="C59" s="1180">
        <v>100</v>
      </c>
      <c r="D59" s="460"/>
      <c r="E59" s="461"/>
      <c r="F59" s="461"/>
      <c r="G59" s="461"/>
      <c r="H59" s="461"/>
      <c r="I59" s="461"/>
      <c r="J59" s="461"/>
      <c r="K59" s="461"/>
      <c r="L59" s="461"/>
      <c r="M59" s="462"/>
      <c r="N59" s="461"/>
      <c r="O59" s="462"/>
      <c r="P59" s="1917"/>
    </row>
    <row r="60" spans="1:29" s="108" customFormat="1" ht="15" thickBot="1">
      <c r="A60" s="464" t="s">
        <v>1714</v>
      </c>
      <c r="B60" s="465"/>
      <c r="C60" s="466"/>
      <c r="D60" s="467"/>
      <c r="E60" s="467"/>
      <c r="F60" s="467"/>
      <c r="G60" s="467"/>
      <c r="H60" s="467"/>
      <c r="I60" s="467"/>
      <c r="J60" s="467"/>
      <c r="K60" s="467"/>
      <c r="L60" s="467"/>
      <c r="M60" s="468"/>
      <c r="N60" s="467"/>
      <c r="O60" s="468"/>
      <c r="P60" s="1917"/>
      <c r="Q60" s="453"/>
    </row>
    <row r="61" spans="1:29" s="108" customFormat="1" ht="14.4">
      <c r="A61" s="470" t="s">
        <v>1715</v>
      </c>
      <c r="B61" s="459"/>
      <c r="C61" s="471" t="s">
        <v>1716</v>
      </c>
      <c r="D61" s="472"/>
      <c r="E61" s="472"/>
      <c r="F61" s="472"/>
      <c r="G61" s="472"/>
      <c r="H61" s="472"/>
      <c r="I61" s="472"/>
      <c r="J61" s="472"/>
      <c r="K61" s="472"/>
      <c r="L61" s="473"/>
      <c r="M61" s="474"/>
      <c r="N61" s="929"/>
      <c r="O61" s="929"/>
      <c r="P61" s="1918"/>
      <c r="Q61" s="453"/>
    </row>
    <row r="62" spans="1:29" s="108" customFormat="1" ht="14.4" thickBot="1">
      <c r="A62" s="470"/>
      <c r="B62" s="459"/>
      <c r="C62" s="460">
        <v>100</v>
      </c>
      <c r="D62" s="461"/>
      <c r="E62" s="461"/>
      <c r="F62" s="461"/>
      <c r="G62" s="461"/>
      <c r="H62" s="461"/>
      <c r="I62" s="461"/>
      <c r="J62" s="461"/>
      <c r="K62" s="461"/>
      <c r="L62" s="461"/>
      <c r="M62" s="463"/>
      <c r="N62" s="929"/>
      <c r="O62" s="929"/>
      <c r="P62" s="1917"/>
      <c r="Q62" s="453"/>
    </row>
    <row r="63" spans="1:29" ht="14.4">
      <c r="A63" s="476" t="s">
        <v>1717</v>
      </c>
      <c r="B63" s="477" t="s">
        <v>1683</v>
      </c>
      <c r="C63" s="478">
        <f>C9</f>
        <v>0</v>
      </c>
      <c r="D63" s="479"/>
      <c r="E63" s="479"/>
      <c r="F63" s="479"/>
      <c r="G63" s="479"/>
      <c r="H63" s="479"/>
      <c r="I63" s="479"/>
      <c r="J63" s="479"/>
      <c r="K63" s="480"/>
      <c r="L63" s="481"/>
      <c r="M63" s="482"/>
      <c r="N63" s="930"/>
      <c r="O63" s="930"/>
      <c r="P63" s="1919"/>
      <c r="Q63" s="453"/>
    </row>
    <row r="64" spans="1:29" ht="14.4" thickBot="1">
      <c r="A64" s="483"/>
      <c r="B64" s="484"/>
      <c r="C64" s="485">
        <v>100</v>
      </c>
      <c r="D64" s="485"/>
      <c r="E64" s="485"/>
      <c r="F64" s="485"/>
      <c r="G64" s="485"/>
      <c r="H64" s="485"/>
      <c r="I64" s="485"/>
      <c r="J64" s="485"/>
      <c r="K64" s="485"/>
      <c r="L64" s="485"/>
      <c r="M64" s="486"/>
      <c r="N64" s="931"/>
      <c r="O64" s="931"/>
      <c r="P64" s="1919"/>
      <c r="Q64" s="453"/>
    </row>
    <row r="65" spans="1:17" ht="29.4" thickTop="1">
      <c r="A65" s="483"/>
      <c r="B65" s="487" t="s">
        <v>1686</v>
      </c>
      <c r="C65" s="532"/>
      <c r="D65" s="532"/>
      <c r="E65" s="532"/>
      <c r="F65" s="532"/>
      <c r="G65" s="532"/>
      <c r="H65" s="532"/>
      <c r="I65" s="532"/>
      <c r="J65" s="532"/>
      <c r="K65" s="532"/>
      <c r="L65" s="532"/>
      <c r="M65" s="532"/>
      <c r="N65" s="931"/>
      <c r="O65" s="931"/>
      <c r="P65" s="1919"/>
      <c r="Q65" s="453"/>
    </row>
    <row r="66" spans="1:17" ht="14.4" thickBot="1">
      <c r="A66" s="483"/>
      <c r="B66" s="492"/>
      <c r="C66" s="485"/>
      <c r="D66" s="485"/>
      <c r="E66" s="485"/>
      <c r="F66" s="485"/>
      <c r="G66" s="485"/>
      <c r="H66" s="485"/>
      <c r="I66" s="485"/>
      <c r="J66" s="485"/>
      <c r="K66" s="485"/>
      <c r="L66" s="485"/>
      <c r="M66" s="486"/>
      <c r="N66" s="931"/>
      <c r="O66" s="931"/>
      <c r="P66" s="1919"/>
      <c r="Q66" s="453"/>
    </row>
    <row r="67" spans="1:17" ht="1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1"/>
      <c r="O67" s="931"/>
      <c r="P67" s="1919"/>
      <c r="Q67" s="453"/>
    </row>
    <row r="68" spans="1:17">
      <c r="A68" s="483"/>
      <c r="B68" s="497"/>
      <c r="C68" s="498"/>
      <c r="D68" s="498"/>
      <c r="E68" s="498"/>
      <c r="F68" s="498"/>
      <c r="G68" s="498"/>
      <c r="H68" s="498"/>
      <c r="I68" s="498"/>
      <c r="J68" s="498"/>
      <c r="K68" s="499"/>
      <c r="L68" s="500"/>
      <c r="M68" s="501"/>
      <c r="N68" s="930"/>
      <c r="O68" s="930"/>
      <c r="P68" s="1919"/>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1"/>
      <c r="O69" s="931"/>
      <c r="P69" s="1919"/>
      <c r="Q69" s="453"/>
    </row>
    <row r="70" spans="1:17" s="422" customFormat="1" ht="14.4" thickTop="1">
      <c r="A70" s="502"/>
      <c r="B70" s="487">
        <f>B12</f>
        <v>111</v>
      </c>
      <c r="C70" s="503"/>
      <c r="D70" s="503"/>
      <c r="E70" s="503"/>
      <c r="F70" s="503"/>
      <c r="G70" s="503"/>
      <c r="H70" s="504"/>
      <c r="I70" s="504"/>
      <c r="J70" s="504"/>
      <c r="K70" s="504"/>
      <c r="L70" s="505"/>
      <c r="M70" s="506"/>
      <c r="N70" s="932"/>
      <c r="O70" s="932"/>
      <c r="P70" s="1920"/>
      <c r="Q70" s="508"/>
    </row>
    <row r="71" spans="1:17" s="422" customFormat="1" ht="14.4" thickBot="1">
      <c r="A71" s="502"/>
      <c r="B71" s="492"/>
      <c r="C71" s="509"/>
      <c r="D71" s="485"/>
      <c r="E71" s="485"/>
      <c r="F71" s="485"/>
      <c r="G71" s="485"/>
      <c r="H71" s="485"/>
      <c r="I71" s="485"/>
      <c r="J71" s="485"/>
      <c r="K71" s="485"/>
      <c r="L71" s="485"/>
      <c r="M71" s="486"/>
      <c r="N71" s="931"/>
      <c r="O71" s="931"/>
      <c r="P71" s="1920"/>
      <c r="Q71" s="508"/>
    </row>
    <row r="72" spans="1:17" s="422" customFormat="1" ht="14.4" thickTop="1">
      <c r="A72" s="502"/>
      <c r="B72" s="487">
        <f>B13</f>
        <v>111</v>
      </c>
      <c r="C72" s="503"/>
      <c r="D72" s="503"/>
      <c r="E72" s="503"/>
      <c r="F72" s="503"/>
      <c r="G72" s="503"/>
      <c r="H72" s="504"/>
      <c r="I72" s="504"/>
      <c r="J72" s="504"/>
      <c r="K72" s="504"/>
      <c r="L72" s="505"/>
      <c r="M72" s="506"/>
      <c r="N72" s="932"/>
      <c r="O72" s="932"/>
      <c r="P72" s="1921"/>
      <c r="Q72" s="510"/>
    </row>
    <row r="73" spans="1:17" s="422" customFormat="1" ht="14.4" thickBot="1">
      <c r="A73" s="502"/>
      <c r="B73" s="492"/>
      <c r="C73" s="509"/>
      <c r="D73" s="509"/>
      <c r="E73" s="509"/>
      <c r="F73" s="509"/>
      <c r="G73" s="509"/>
      <c r="H73" s="511"/>
      <c r="I73" s="511"/>
      <c r="J73" s="511"/>
      <c r="K73" s="511"/>
      <c r="L73" s="511"/>
      <c r="M73" s="512"/>
      <c r="N73" s="932"/>
      <c r="O73" s="932"/>
      <c r="P73" s="1920"/>
      <c r="Q73" s="508"/>
    </row>
    <row r="74" spans="1:17" s="422" customFormat="1" ht="14.4" thickTop="1">
      <c r="A74" s="502"/>
      <c r="B74" s="495">
        <f>B14</f>
        <v>111</v>
      </c>
      <c r="C74" s="503"/>
      <c r="D74" s="503"/>
      <c r="E74" s="503"/>
      <c r="F74" s="503"/>
      <c r="G74" s="472"/>
      <c r="H74" s="513"/>
      <c r="I74" s="513"/>
      <c r="J74" s="513"/>
      <c r="K74" s="513"/>
      <c r="L74" s="514"/>
      <c r="M74" s="515"/>
      <c r="N74" s="932"/>
      <c r="O74" s="932"/>
      <c r="P74" s="1922"/>
      <c r="Q74" s="508"/>
    </row>
    <row r="75" spans="1:17" s="422" customFormat="1" ht="14.4" thickBot="1">
      <c r="A75" s="517"/>
      <c r="B75" s="518"/>
      <c r="C75" s="519"/>
      <c r="D75" s="519"/>
      <c r="E75" s="519"/>
      <c r="F75" s="519"/>
      <c r="G75" s="519"/>
      <c r="H75" s="520"/>
      <c r="I75" s="520"/>
      <c r="J75" s="520"/>
      <c r="K75" s="520"/>
      <c r="L75" s="520"/>
      <c r="M75" s="521"/>
      <c r="N75" s="932"/>
      <c r="O75" s="932"/>
      <c r="P75" s="1920"/>
      <c r="Q75" s="508"/>
    </row>
    <row r="76" spans="1:17" ht="14.4">
      <c r="A76" s="476" t="s">
        <v>1688</v>
      </c>
      <c r="B76" s="477" t="s">
        <v>1718</v>
      </c>
      <c r="C76" s="522" t="s">
        <v>1719</v>
      </c>
      <c r="D76" s="522" t="s">
        <v>1720</v>
      </c>
      <c r="E76" s="522" t="s">
        <v>1721</v>
      </c>
      <c r="F76" s="522" t="s">
        <v>1722</v>
      </c>
      <c r="G76" s="522" t="s">
        <v>1723</v>
      </c>
      <c r="H76" s="478"/>
      <c r="I76" s="478"/>
      <c r="J76" s="478"/>
      <c r="K76" s="523"/>
      <c r="L76" s="524"/>
      <c r="M76" s="525"/>
      <c r="N76" s="930"/>
      <c r="O76" s="930"/>
      <c r="P76" s="1923"/>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1"/>
      <c r="O77" s="931"/>
      <c r="P77" s="1919"/>
      <c r="Q77" s="453"/>
    </row>
    <row r="78" spans="1:17" ht="15" thickTop="1">
      <c r="A78" s="483"/>
      <c r="B78" s="487" t="s">
        <v>1724</v>
      </c>
      <c r="C78" s="527" t="s">
        <v>1719</v>
      </c>
      <c r="D78" s="527" t="s">
        <v>1720</v>
      </c>
      <c r="E78" s="527" t="s">
        <v>1721</v>
      </c>
      <c r="F78" s="527" t="s">
        <v>1722</v>
      </c>
      <c r="G78" s="527" t="s">
        <v>1723</v>
      </c>
      <c r="H78" s="488"/>
      <c r="I78" s="488"/>
      <c r="J78" s="488"/>
      <c r="K78" s="489"/>
      <c r="L78" s="490"/>
      <c r="M78" s="491"/>
      <c r="N78" s="930"/>
      <c r="O78" s="930"/>
      <c r="P78" s="1919"/>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1"/>
      <c r="O79" s="931"/>
      <c r="P79" s="1919"/>
      <c r="Q79" s="453"/>
    </row>
    <row r="80" spans="1:17" ht="15" thickTop="1">
      <c r="A80" s="483"/>
      <c r="B80" s="487" t="s">
        <v>1725</v>
      </c>
      <c r="C80" s="527" t="s">
        <v>1719</v>
      </c>
      <c r="D80" s="527" t="s">
        <v>1720</v>
      </c>
      <c r="E80" s="527" t="s">
        <v>1721</v>
      </c>
      <c r="F80" s="527" t="s">
        <v>1722</v>
      </c>
      <c r="G80" s="527" t="s">
        <v>1723</v>
      </c>
      <c r="H80" s="488"/>
      <c r="I80" s="488"/>
      <c r="J80" s="488"/>
      <c r="K80" s="489"/>
      <c r="L80" s="490"/>
      <c r="M80" s="491"/>
      <c r="N80" s="930"/>
      <c r="O80" s="930"/>
      <c r="P80" s="1919"/>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1"/>
      <c r="O81" s="931"/>
      <c r="P81" s="1919"/>
      <c r="Q81" s="453"/>
    </row>
    <row r="82" spans="1:17" ht="15" thickTop="1">
      <c r="A82" s="483"/>
      <c r="B82" s="495" t="s">
        <v>1258</v>
      </c>
      <c r="C82" s="488" t="s">
        <v>1726</v>
      </c>
      <c r="D82" s="488" t="s">
        <v>1727</v>
      </c>
      <c r="E82" s="488" t="s">
        <v>1728</v>
      </c>
      <c r="F82" s="488" t="s">
        <v>1729</v>
      </c>
      <c r="G82" s="488" t="s">
        <v>1730</v>
      </c>
      <c r="H82" s="488"/>
      <c r="I82" s="488"/>
      <c r="J82" s="488"/>
      <c r="K82" s="488"/>
      <c r="L82" s="488"/>
      <c r="M82" s="1126"/>
      <c r="N82" s="931"/>
      <c r="O82" s="931"/>
      <c r="P82" s="1919"/>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1"/>
      <c r="O83" s="931"/>
      <c r="P83" s="1919"/>
      <c r="Q83" s="453"/>
    </row>
    <row r="84" spans="1:17" ht="15" thickTop="1">
      <c r="A84" s="483"/>
      <c r="B84" s="487" t="s">
        <v>1731</v>
      </c>
      <c r="C84" s="527" t="s">
        <v>1719</v>
      </c>
      <c r="D84" s="527" t="s">
        <v>1720</v>
      </c>
      <c r="E84" s="527" t="s">
        <v>1721</v>
      </c>
      <c r="F84" s="527" t="s">
        <v>1722</v>
      </c>
      <c r="G84" s="527" t="s">
        <v>1723</v>
      </c>
      <c r="H84" s="488"/>
      <c r="I84" s="488"/>
      <c r="J84" s="488"/>
      <c r="K84" s="489"/>
      <c r="L84" s="490"/>
      <c r="M84" s="491"/>
      <c r="N84" s="930"/>
      <c r="O84" s="930"/>
      <c r="P84" s="1919"/>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1"/>
      <c r="O85" s="931"/>
      <c r="P85" s="1919"/>
      <c r="Q85" s="453"/>
    </row>
    <row r="86" spans="1:17" s="108" customFormat="1" ht="15" thickTop="1">
      <c r="A86" s="528"/>
      <c r="B86" s="487" t="s">
        <v>1732</v>
      </c>
      <c r="C86" s="503"/>
      <c r="D86" s="503"/>
      <c r="E86" s="503"/>
      <c r="F86" s="503"/>
      <c r="G86" s="503"/>
      <c r="H86" s="503"/>
      <c r="I86" s="503"/>
      <c r="J86" s="503"/>
      <c r="K86" s="503"/>
      <c r="L86" s="529"/>
      <c r="M86" s="530"/>
      <c r="N86" s="929"/>
      <c r="O86" s="929"/>
      <c r="P86" s="1919"/>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1"/>
      <c r="O87" s="931"/>
      <c r="P87" s="1919"/>
      <c r="Q87" s="453"/>
    </row>
    <row r="88" spans="1:17" s="108" customFormat="1" ht="15" thickTop="1">
      <c r="A88" s="528"/>
      <c r="B88" s="487" t="s">
        <v>1733</v>
      </c>
      <c r="C88" s="503"/>
      <c r="D88" s="503"/>
      <c r="E88" s="503"/>
      <c r="F88" s="1924"/>
      <c r="G88" s="503"/>
      <c r="H88" s="503"/>
      <c r="I88" s="503"/>
      <c r="J88" s="503"/>
      <c r="K88" s="503"/>
      <c r="L88" s="503"/>
      <c r="M88" s="530"/>
      <c r="N88" s="929"/>
      <c r="O88" s="929"/>
      <c r="P88" s="1919"/>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1"/>
      <c r="O89" s="931"/>
      <c r="P89" s="1919"/>
      <c r="Q89" s="453"/>
    </row>
    <row r="90" spans="1:17" s="422" customFormat="1" ht="14.4" thickTop="1">
      <c r="A90" s="502"/>
      <c r="B90" s="487">
        <f>B27</f>
        <v>111</v>
      </c>
      <c r="C90" s="503"/>
      <c r="D90" s="503"/>
      <c r="E90" s="503"/>
      <c r="F90" s="503"/>
      <c r="G90" s="503"/>
      <c r="H90" s="504"/>
      <c r="I90" s="504"/>
      <c r="J90" s="504"/>
      <c r="K90" s="504"/>
      <c r="L90" s="505"/>
      <c r="M90" s="506"/>
      <c r="N90" s="932"/>
      <c r="O90" s="932"/>
      <c r="P90" s="1920"/>
      <c r="Q90" s="508"/>
    </row>
    <row r="91" spans="1:17" s="422" customFormat="1" ht="14.4" thickBot="1">
      <c r="A91" s="502"/>
      <c r="B91" s="492"/>
      <c r="C91" s="509"/>
      <c r="D91" s="509"/>
      <c r="E91" s="509"/>
      <c r="F91" s="509"/>
      <c r="G91" s="509"/>
      <c r="H91" s="511"/>
      <c r="I91" s="511"/>
      <c r="J91" s="511"/>
      <c r="K91" s="511"/>
      <c r="L91" s="511"/>
      <c r="M91" s="512"/>
      <c r="N91" s="932"/>
      <c r="O91" s="932"/>
      <c r="P91" s="1920"/>
      <c r="Q91" s="508"/>
    </row>
    <row r="92" spans="1:17" ht="14.4" thickTop="1">
      <c r="A92" s="483"/>
      <c r="B92" s="487">
        <f>B28</f>
        <v>111</v>
      </c>
      <c r="C92" s="503"/>
      <c r="D92" s="503"/>
      <c r="E92" s="503"/>
      <c r="F92" s="503"/>
      <c r="G92" s="532"/>
      <c r="H92" s="532"/>
      <c r="I92" s="532"/>
      <c r="J92" s="532"/>
      <c r="K92" s="533"/>
      <c r="L92" s="534"/>
      <c r="M92" s="535"/>
      <c r="N92" s="930"/>
      <c r="O92" s="930"/>
      <c r="P92" s="1919"/>
      <c r="Q92" s="453"/>
    </row>
    <row r="93" spans="1:17" ht="14.4" thickBot="1">
      <c r="A93" s="483"/>
      <c r="B93" s="492"/>
      <c r="C93" s="509"/>
      <c r="D93" s="485"/>
      <c r="E93" s="485"/>
      <c r="F93" s="485"/>
      <c r="G93" s="485"/>
      <c r="H93" s="485"/>
      <c r="I93" s="485"/>
      <c r="J93" s="485"/>
      <c r="K93" s="485"/>
      <c r="L93" s="485"/>
      <c r="M93" s="486"/>
      <c r="N93" s="931"/>
      <c r="O93" s="931"/>
      <c r="P93" s="1919"/>
      <c r="Q93" s="453"/>
    </row>
    <row r="94" spans="1:17" ht="14.4" thickTop="1">
      <c r="A94" s="483"/>
      <c r="B94" s="487">
        <f>B29</f>
        <v>111</v>
      </c>
      <c r="C94" s="503"/>
      <c r="D94" s="503"/>
      <c r="E94" s="503"/>
      <c r="F94" s="503"/>
      <c r="G94" s="532"/>
      <c r="H94" s="532"/>
      <c r="I94" s="532"/>
      <c r="J94" s="532"/>
      <c r="K94" s="533"/>
      <c r="L94" s="534"/>
      <c r="M94" s="535"/>
      <c r="N94" s="930"/>
      <c r="O94" s="930"/>
      <c r="P94" s="1919"/>
      <c r="Q94" s="453"/>
    </row>
    <row r="95" spans="1:17" ht="14.4" thickBot="1">
      <c r="A95" s="483"/>
      <c r="B95" s="492"/>
      <c r="C95" s="509"/>
      <c r="D95" s="509"/>
      <c r="E95" s="509"/>
      <c r="F95" s="509"/>
      <c r="G95" s="485"/>
      <c r="H95" s="485"/>
      <c r="I95" s="485"/>
      <c r="J95" s="485"/>
      <c r="K95" s="485"/>
      <c r="L95" s="485"/>
      <c r="M95" s="486"/>
      <c r="N95" s="931"/>
      <c r="O95" s="931"/>
      <c r="P95" s="1919"/>
      <c r="Q95" s="453"/>
    </row>
    <row r="96" spans="1:17" ht="14.4" thickTop="1">
      <c r="A96" s="483"/>
      <c r="B96" s="487">
        <f>B30</f>
        <v>111</v>
      </c>
      <c r="C96" s="503"/>
      <c r="D96" s="503"/>
      <c r="E96" s="503"/>
      <c r="F96" s="503"/>
      <c r="G96" s="532"/>
      <c r="H96" s="532"/>
      <c r="I96" s="532"/>
      <c r="J96" s="532"/>
      <c r="K96" s="533"/>
      <c r="L96" s="534"/>
      <c r="M96" s="535"/>
      <c r="N96" s="930"/>
      <c r="O96" s="930"/>
      <c r="P96" s="1919"/>
      <c r="Q96" s="453"/>
    </row>
    <row r="97" spans="1:17" ht="14.4" thickBot="1">
      <c r="A97" s="483"/>
      <c r="B97" s="492"/>
      <c r="C97" s="519"/>
      <c r="D97" s="519"/>
      <c r="E97" s="519"/>
      <c r="F97" s="519"/>
      <c r="G97" s="485"/>
      <c r="H97" s="485"/>
      <c r="I97" s="485"/>
      <c r="J97" s="485"/>
      <c r="K97" s="485"/>
      <c r="L97" s="485"/>
      <c r="M97" s="486"/>
      <c r="N97" s="931"/>
      <c r="O97" s="931"/>
      <c r="P97" s="1919"/>
      <c r="Q97" s="453"/>
    </row>
    <row r="98" spans="1:17" ht="14.4" thickTop="1">
      <c r="A98" s="483"/>
      <c r="B98" s="495">
        <f>B31</f>
        <v>111</v>
      </c>
      <c r="C98" s="536"/>
      <c r="D98" s="536"/>
      <c r="E98" s="536"/>
      <c r="F98" s="536"/>
      <c r="G98" s="536"/>
      <c r="H98" s="536"/>
      <c r="I98" s="536"/>
      <c r="J98" s="536"/>
      <c r="K98" s="537"/>
      <c r="L98" s="538"/>
      <c r="M98" s="539"/>
      <c r="N98" s="930"/>
      <c r="O98" s="930"/>
      <c r="P98" s="1919"/>
      <c r="Q98" s="453"/>
    </row>
    <row r="99" spans="1:17" ht="14.4" thickBot="1">
      <c r="A99" s="1925"/>
      <c r="B99" s="518"/>
      <c r="C99" s="540"/>
      <c r="D99" s="540"/>
      <c r="E99" s="540"/>
      <c r="F99" s="540"/>
      <c r="G99" s="540"/>
      <c r="H99" s="540"/>
      <c r="I99" s="540"/>
      <c r="J99" s="540"/>
      <c r="K99" s="540"/>
      <c r="L99" s="540"/>
      <c r="M99" s="541"/>
      <c r="N99" s="931"/>
      <c r="O99" s="931"/>
      <c r="P99" s="1919"/>
      <c r="Q99" s="453"/>
    </row>
    <row r="100" spans="1:17" ht="14.4">
      <c r="A100" s="476" t="s">
        <v>1692</v>
      </c>
      <c r="B100" s="477" t="s">
        <v>1734</v>
      </c>
      <c r="C100" s="479"/>
      <c r="D100" s="479"/>
      <c r="E100" s="479"/>
      <c r="F100" s="479"/>
      <c r="G100" s="479"/>
      <c r="H100" s="479"/>
      <c r="I100" s="479"/>
      <c r="J100" s="479"/>
      <c r="K100" s="480"/>
      <c r="L100" s="481"/>
      <c r="M100" s="482"/>
      <c r="N100" s="930"/>
      <c r="O100" s="930"/>
      <c r="P100" s="1919"/>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1"/>
      <c r="O101" s="931"/>
      <c r="P101" s="1919"/>
      <c r="Q101" s="453"/>
    </row>
    <row r="102" spans="1:17" ht="1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9"/>
      <c r="O102" s="929"/>
      <c r="P102" s="1919"/>
      <c r="Q102" s="453"/>
    </row>
    <row r="103" spans="1:17" s="422" customFormat="1">
      <c r="A103" s="542"/>
      <c r="B103" s="543"/>
      <c r="C103" s="544"/>
      <c r="D103" s="544"/>
      <c r="E103" s="544"/>
      <c r="F103" s="544"/>
      <c r="G103" s="544"/>
      <c r="H103" s="544"/>
      <c r="I103" s="544"/>
      <c r="J103" s="545"/>
      <c r="K103" s="545"/>
      <c r="L103" s="546"/>
      <c r="M103" s="547"/>
      <c r="N103" s="932"/>
      <c r="O103" s="932"/>
      <c r="P103" s="1920"/>
      <c r="Q103" s="508"/>
    </row>
    <row r="104" spans="1:17" s="422" customFormat="1" ht="14.4" thickBot="1">
      <c r="A104" s="502"/>
      <c r="B104" s="492"/>
      <c r="C104" s="509"/>
      <c r="D104" s="485"/>
      <c r="E104" s="485"/>
      <c r="F104" s="485"/>
      <c r="G104" s="485"/>
      <c r="H104" s="485"/>
      <c r="I104" s="485"/>
      <c r="J104" s="485"/>
      <c r="K104" s="485"/>
      <c r="L104" s="485"/>
      <c r="M104" s="485"/>
      <c r="N104" s="931"/>
      <c r="O104" s="931"/>
      <c r="P104" s="1920"/>
      <c r="Q104" s="508"/>
    </row>
    <row r="105" spans="1:17" ht="15" thickTop="1">
      <c r="A105" s="548"/>
      <c r="B105" s="487" t="s">
        <v>1736</v>
      </c>
      <c r="C105" s="503"/>
      <c r="D105" s="503"/>
      <c r="E105" s="532"/>
      <c r="F105" s="532"/>
      <c r="G105" s="532"/>
      <c r="H105" s="532"/>
      <c r="I105" s="532"/>
      <c r="J105" s="532"/>
      <c r="K105" s="533"/>
      <c r="L105" s="534"/>
      <c r="M105" s="535"/>
      <c r="N105" s="930"/>
      <c r="O105" s="930"/>
      <c r="P105" s="1919"/>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1"/>
      <c r="O106" s="931"/>
      <c r="P106" s="1919"/>
      <c r="Q106" s="453"/>
    </row>
    <row r="107" spans="1:17" ht="15" thickTop="1">
      <c r="A107" s="548"/>
      <c r="B107" s="487" t="s">
        <v>1737</v>
      </c>
      <c r="C107" s="532"/>
      <c r="D107" s="532"/>
      <c r="E107" s="532"/>
      <c r="F107" s="532"/>
      <c r="G107" s="532"/>
      <c r="H107" s="532"/>
      <c r="I107" s="532"/>
      <c r="J107" s="532"/>
      <c r="K107" s="533"/>
      <c r="L107" s="534"/>
      <c r="M107" s="535"/>
      <c r="N107" s="930"/>
      <c r="O107" s="930"/>
      <c r="P107" s="1919"/>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1"/>
      <c r="O108" s="931"/>
      <c r="P108" s="1919"/>
      <c r="Q108" s="453"/>
    </row>
    <row r="109" spans="1:17" ht="15" thickTop="1">
      <c r="A109" s="548"/>
      <c r="B109" s="487" t="s">
        <v>1738</v>
      </c>
      <c r="C109" s="503"/>
      <c r="D109" s="503"/>
      <c r="E109" s="503"/>
      <c r="F109" s="532"/>
      <c r="G109" s="532"/>
      <c r="H109" s="532"/>
      <c r="I109" s="532"/>
      <c r="J109" s="532"/>
      <c r="K109" s="533"/>
      <c r="L109" s="534"/>
      <c r="M109" s="535"/>
      <c r="N109" s="930"/>
      <c r="O109" s="930"/>
      <c r="P109" s="1919"/>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1"/>
      <c r="O110" s="931"/>
      <c r="P110" s="1919"/>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2"/>
      <c r="O111" s="932"/>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2"/>
      <c r="O112" s="932"/>
      <c r="P112" s="1920"/>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2"/>
      <c r="O113" s="932"/>
      <c r="P113" s="1920"/>
      <c r="Q113" s="508"/>
    </row>
    <row r="114" spans="1:17" ht="15" thickTop="1">
      <c r="A114" s="548"/>
      <c r="B114" s="487" t="s">
        <v>1739</v>
      </c>
      <c r="C114" s="503"/>
      <c r="D114" s="503"/>
      <c r="E114" s="532"/>
      <c r="F114" s="532"/>
      <c r="G114" s="532"/>
      <c r="H114" s="532"/>
      <c r="I114" s="532"/>
      <c r="J114" s="532"/>
      <c r="K114" s="533"/>
      <c r="L114" s="534"/>
      <c r="M114" s="535"/>
      <c r="N114" s="930"/>
      <c r="O114" s="930"/>
      <c r="P114" s="1919"/>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1"/>
      <c r="O115" s="931"/>
      <c r="P115" s="1919"/>
      <c r="Q115" s="453"/>
    </row>
    <row r="116" spans="1:17" ht="15" thickTop="1">
      <c r="A116" s="548"/>
      <c r="B116" s="487" t="s">
        <v>1740</v>
      </c>
      <c r="C116" s="503"/>
      <c r="D116" s="503"/>
      <c r="E116" s="503"/>
      <c r="F116" s="503"/>
      <c r="G116" s="503"/>
      <c r="H116" s="532"/>
      <c r="I116" s="532"/>
      <c r="J116" s="532"/>
      <c r="K116" s="533"/>
      <c r="L116" s="534"/>
      <c r="M116" s="535"/>
      <c r="N116" s="930"/>
      <c r="O116" s="930"/>
      <c r="P116" s="1919"/>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1"/>
      <c r="O117" s="931"/>
      <c r="P117" s="1919"/>
      <c r="Q117" s="453"/>
    </row>
    <row r="118" spans="1:17" ht="15" thickTop="1">
      <c r="A118" s="548"/>
      <c r="B118" s="487" t="s">
        <v>1741</v>
      </c>
      <c r="C118" s="532"/>
      <c r="D118" s="532"/>
      <c r="E118" s="532"/>
      <c r="F118" s="532"/>
      <c r="G118" s="532"/>
      <c r="H118" s="532"/>
      <c r="I118" s="532"/>
      <c r="J118" s="532"/>
      <c r="K118" s="533"/>
      <c r="L118" s="534"/>
      <c r="M118" s="535"/>
      <c r="N118" s="930"/>
      <c r="O118" s="930"/>
      <c r="P118" s="1919"/>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1"/>
      <c r="O119" s="931"/>
      <c r="P119" s="1919"/>
      <c r="Q119" s="453"/>
    </row>
    <row r="120" spans="1:17" s="422" customFormat="1" ht="29.4" thickTop="1">
      <c r="A120" s="542"/>
      <c r="B120" s="487" t="s">
        <v>1703</v>
      </c>
      <c r="C120" s="503"/>
      <c r="D120" s="503"/>
      <c r="E120" s="503"/>
      <c r="F120" s="503"/>
      <c r="G120" s="503"/>
      <c r="H120" s="503"/>
      <c r="I120" s="503"/>
      <c r="J120" s="503"/>
      <c r="K120" s="503"/>
      <c r="L120" s="529"/>
      <c r="M120" s="530"/>
      <c r="N120" s="932"/>
      <c r="O120" s="932"/>
      <c r="P120" s="1920"/>
      <c r="Q120" s="508"/>
    </row>
    <row r="121" spans="1:17" s="422" customFormat="1" ht="14.4" thickBot="1">
      <c r="A121" s="502"/>
      <c r="B121" s="484"/>
      <c r="C121" s="509"/>
      <c r="D121" s="485"/>
      <c r="E121" s="485"/>
      <c r="F121" s="485"/>
      <c r="G121" s="485"/>
      <c r="H121" s="485"/>
      <c r="I121" s="485"/>
      <c r="J121" s="485"/>
      <c r="K121" s="485"/>
      <c r="L121" s="485"/>
      <c r="M121" s="485"/>
      <c r="N121" s="932"/>
      <c r="O121" s="932"/>
      <c r="P121" s="1920"/>
      <c r="Q121" s="508"/>
    </row>
    <row r="122" spans="1:17" ht="15" thickTop="1">
      <c r="A122" s="548"/>
      <c r="B122" s="487" t="s">
        <v>1742</v>
      </c>
      <c r="C122" s="503"/>
      <c r="D122" s="503"/>
      <c r="E122" s="503"/>
      <c r="F122" s="532"/>
      <c r="G122" s="532"/>
      <c r="H122" s="532"/>
      <c r="I122" s="532"/>
      <c r="J122" s="532"/>
      <c r="K122" s="533"/>
      <c r="L122" s="534"/>
      <c r="M122" s="535"/>
      <c r="N122" s="930"/>
      <c r="O122" s="930"/>
      <c r="P122" s="1919"/>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1"/>
      <c r="O123" s="931"/>
      <c r="P123" s="1919"/>
      <c r="Q123" s="453"/>
    </row>
    <row r="124" spans="1:17" ht="29.4" thickTop="1">
      <c r="A124" s="548"/>
      <c r="B124" s="487" t="s">
        <v>1743</v>
      </c>
      <c r="C124" s="527" t="s">
        <v>1719</v>
      </c>
      <c r="D124" s="527" t="s">
        <v>1720</v>
      </c>
      <c r="E124" s="527" t="s">
        <v>1721</v>
      </c>
      <c r="F124" s="527" t="s">
        <v>1722</v>
      </c>
      <c r="G124" s="527" t="s">
        <v>1723</v>
      </c>
      <c r="H124" s="488"/>
      <c r="I124" s="488"/>
      <c r="J124" s="488"/>
      <c r="K124" s="489"/>
      <c r="L124" s="490"/>
      <c r="M124" s="491"/>
      <c r="N124" s="930"/>
      <c r="O124" s="930"/>
      <c r="P124" s="1920"/>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1"/>
      <c r="O125" s="931"/>
      <c r="P125" s="1919"/>
      <c r="Q125" s="453"/>
    </row>
    <row r="126" spans="1:17" s="422" customFormat="1" ht="14.4" thickTop="1">
      <c r="A126" s="542"/>
      <c r="B126" s="487">
        <f>B44</f>
        <v>111</v>
      </c>
      <c r="C126" s="503"/>
      <c r="D126" s="503"/>
      <c r="E126" s="503"/>
      <c r="F126" s="503"/>
      <c r="G126" s="503"/>
      <c r="H126" s="504"/>
      <c r="I126" s="504"/>
      <c r="J126" s="504"/>
      <c r="K126" s="504"/>
      <c r="L126" s="505"/>
      <c r="M126" s="506"/>
      <c r="N126" s="932"/>
      <c r="O126" s="932"/>
      <c r="P126" s="1920"/>
      <c r="Q126" s="508"/>
    </row>
    <row r="127" spans="1:17" s="422" customFormat="1" ht="14.4" thickBot="1">
      <c r="A127" s="502"/>
      <c r="B127" s="492"/>
      <c r="C127" s="509"/>
      <c r="D127" s="485"/>
      <c r="E127" s="485"/>
      <c r="F127" s="485"/>
      <c r="G127" s="509"/>
      <c r="H127" s="511"/>
      <c r="I127" s="511"/>
      <c r="J127" s="511"/>
      <c r="K127" s="511"/>
      <c r="L127" s="511"/>
      <c r="M127" s="512"/>
      <c r="N127" s="932"/>
      <c r="O127" s="932"/>
      <c r="P127" s="1920"/>
      <c r="Q127" s="508"/>
    </row>
    <row r="128" spans="1:17" ht="14.4" thickTop="1">
      <c r="A128" s="548"/>
      <c r="B128" s="487">
        <f>B45</f>
        <v>111</v>
      </c>
      <c r="C128" s="503"/>
      <c r="D128" s="503"/>
      <c r="E128" s="503"/>
      <c r="F128" s="503"/>
      <c r="G128" s="532"/>
      <c r="H128" s="532"/>
      <c r="I128" s="532"/>
      <c r="J128" s="532"/>
      <c r="K128" s="533"/>
      <c r="L128" s="534"/>
      <c r="M128" s="535"/>
      <c r="N128" s="930"/>
      <c r="O128" s="930"/>
      <c r="P128" s="1919"/>
      <c r="Q128" s="453"/>
    </row>
    <row r="129" spans="1:17" ht="14.4" thickBot="1">
      <c r="A129" s="483"/>
      <c r="B129" s="492"/>
      <c r="C129" s="509"/>
      <c r="D129" s="509"/>
      <c r="E129" s="509"/>
      <c r="F129" s="509"/>
      <c r="G129" s="485"/>
      <c r="H129" s="485"/>
      <c r="I129" s="485"/>
      <c r="J129" s="485"/>
      <c r="K129" s="485"/>
      <c r="L129" s="485"/>
      <c r="M129" s="486"/>
      <c r="N129" s="931"/>
      <c r="O129" s="931"/>
      <c r="P129" s="1919"/>
      <c r="Q129" s="453"/>
    </row>
    <row r="130" spans="1:17" ht="14.4" thickTop="1">
      <c r="A130" s="548"/>
      <c r="B130" s="495">
        <f>B46</f>
        <v>111</v>
      </c>
      <c r="C130" s="503"/>
      <c r="D130" s="503"/>
      <c r="E130" s="503"/>
      <c r="F130" s="503"/>
      <c r="G130" s="536"/>
      <c r="H130" s="536"/>
      <c r="I130" s="536"/>
      <c r="J130" s="536"/>
      <c r="K130" s="472"/>
      <c r="L130" s="473"/>
      <c r="M130" s="539"/>
      <c r="N130" s="930"/>
      <c r="O130" s="930"/>
      <c r="P130" s="1919"/>
      <c r="Q130" s="453"/>
    </row>
    <row r="131" spans="1:17" ht="14.4" thickBot="1">
      <c r="A131" s="1925"/>
      <c r="B131" s="518"/>
      <c r="C131" s="519"/>
      <c r="D131" s="519"/>
      <c r="E131" s="519"/>
      <c r="F131" s="519"/>
      <c r="G131" s="540"/>
      <c r="H131" s="540"/>
      <c r="I131" s="540"/>
      <c r="J131" s="540"/>
      <c r="K131" s="540"/>
      <c r="L131" s="540"/>
      <c r="M131" s="541"/>
      <c r="N131" s="931"/>
      <c r="O131" s="931"/>
      <c r="P131" s="1919"/>
      <c r="Q131" s="453"/>
    </row>
    <row r="136" spans="1:17" ht="15" thickBot="1">
      <c r="B136" s="1926" t="s">
        <v>1744</v>
      </c>
    </row>
    <row r="137" spans="1:17" ht="15">
      <c r="B137" s="1927" t="s">
        <v>1745</v>
      </c>
      <c r="C137" s="1928"/>
      <c r="D137" s="1928"/>
      <c r="E137" s="1928"/>
      <c r="F137" s="1928"/>
      <c r="G137" s="1929"/>
      <c r="H137" s="1930"/>
      <c r="I137" s="1931" t="s">
        <v>1746</v>
      </c>
      <c r="J137" s="1928"/>
      <c r="K137" s="1932"/>
    </row>
    <row r="138" spans="1:17" ht="15">
      <c r="B138" s="1933"/>
      <c r="C138" s="137" t="s">
        <v>1747</v>
      </c>
      <c r="D138" s="137" t="s">
        <v>1748</v>
      </c>
      <c r="E138" s="1934" t="s">
        <v>1749</v>
      </c>
      <c r="F138" s="1935" t="s">
        <v>1750</v>
      </c>
      <c r="G138" s="137" t="s">
        <v>1748</v>
      </c>
      <c r="H138" s="138" t="s">
        <v>1749</v>
      </c>
      <c r="I138" s="1936"/>
      <c r="J138" s="137" t="s">
        <v>1751</v>
      </c>
      <c r="K138" s="138" t="s">
        <v>1752</v>
      </c>
    </row>
    <row r="139" spans="1:17" ht="15">
      <c r="B139" s="864">
        <v>6</v>
      </c>
      <c r="C139" s="865">
        <v>96</v>
      </c>
      <c r="D139" s="1937" t="s">
        <v>1753</v>
      </c>
      <c r="E139" s="866">
        <v>100</v>
      </c>
      <c r="F139" s="867">
        <v>102.5</v>
      </c>
      <c r="G139" s="1937" t="s">
        <v>1753</v>
      </c>
      <c r="H139" s="868">
        <v>105</v>
      </c>
      <c r="I139" s="1938" t="s">
        <v>1754</v>
      </c>
      <c r="J139" s="865">
        <v>20</v>
      </c>
      <c r="K139" s="869">
        <f>C145/(J139-2)</f>
        <v>4.0555555555555553E-3</v>
      </c>
    </row>
    <row r="140" spans="1:17" ht="15">
      <c r="B140" s="870">
        <v>5</v>
      </c>
      <c r="C140" s="871">
        <v>100</v>
      </c>
      <c r="D140" s="871"/>
      <c r="E140" s="872"/>
      <c r="F140" s="873">
        <v>102</v>
      </c>
      <c r="G140" s="871"/>
      <c r="H140" s="874"/>
      <c r="I140" s="1939" t="s">
        <v>1755</v>
      </c>
      <c r="J140" s="271">
        <f>ROUNDUP((J139-1)/2,0)</f>
        <v>10</v>
      </c>
      <c r="K140" s="875">
        <v>100</v>
      </c>
    </row>
    <row r="141" spans="1:17" ht="15">
      <c r="B141" s="870">
        <v>4</v>
      </c>
      <c r="C141" s="871">
        <v>102</v>
      </c>
      <c r="D141" s="871"/>
      <c r="E141" s="872"/>
      <c r="F141" s="873">
        <v>101.5</v>
      </c>
      <c r="G141" s="871"/>
      <c r="H141" s="874"/>
      <c r="I141" s="1939" t="s">
        <v>1756</v>
      </c>
      <c r="J141" s="271">
        <v>1</v>
      </c>
      <c r="K141" s="876">
        <f>ROUND(100+(J141-J140)*K139*100,1)</f>
        <v>96.4</v>
      </c>
    </row>
    <row r="142" spans="1:17" ht="15">
      <c r="B142" s="870">
        <v>3</v>
      </c>
      <c r="C142" s="871">
        <v>103</v>
      </c>
      <c r="D142" s="871"/>
      <c r="E142" s="872"/>
      <c r="F142" s="873">
        <v>101</v>
      </c>
      <c r="G142" s="871"/>
      <c r="H142" s="874"/>
      <c r="I142" s="1939" t="s">
        <v>1757</v>
      </c>
      <c r="J142" s="271">
        <f>J139</f>
        <v>20</v>
      </c>
      <c r="K142" s="877">
        <v>95</v>
      </c>
    </row>
    <row r="143" spans="1:17" ht="15">
      <c r="B143" s="870">
        <v>2</v>
      </c>
      <c r="C143" s="871">
        <v>100</v>
      </c>
      <c r="D143" s="871"/>
      <c r="E143" s="872"/>
      <c r="F143" s="873">
        <v>100.5</v>
      </c>
      <c r="G143" s="871"/>
      <c r="H143" s="874"/>
      <c r="I143" s="1939" t="s">
        <v>1758</v>
      </c>
      <c r="J143" s="871">
        <v>15</v>
      </c>
      <c r="K143" s="876">
        <f>ROUND(100+(J143-J140)*K139*100,1)</f>
        <v>102</v>
      </c>
    </row>
    <row r="144" spans="1:17" ht="15">
      <c r="B144" s="870">
        <v>1</v>
      </c>
      <c r="C144" s="871">
        <v>98</v>
      </c>
      <c r="D144" s="1940" t="s">
        <v>1759</v>
      </c>
      <c r="E144" s="872">
        <v>102</v>
      </c>
      <c r="F144" s="878">
        <v>100</v>
      </c>
      <c r="G144" s="1940" t="s">
        <v>1759</v>
      </c>
      <c r="H144" s="874">
        <v>105</v>
      </c>
      <c r="I144" s="1939" t="s">
        <v>1758</v>
      </c>
      <c r="J144" s="871">
        <v>18</v>
      </c>
      <c r="K144" s="876">
        <f>ROUND(100+(J144-J140)*K139*100,1)</f>
        <v>103.2</v>
      </c>
    </row>
    <row r="145" spans="2:11" ht="16.2" thickBot="1">
      <c r="B145" s="1941" t="s">
        <v>1760</v>
      </c>
      <c r="C145" s="879">
        <f>ROUND(MAX(C139:C144)/MIN(C139:C144)-1,3)</f>
        <v>7.2999999999999995E-2</v>
      </c>
      <c r="D145" s="880"/>
      <c r="E145" s="880"/>
      <c r="F145" s="1942" t="s">
        <v>1761</v>
      </c>
      <c r="G145" s="1943"/>
      <c r="H145" s="1944"/>
      <c r="I145" s="1945" t="s">
        <v>1758</v>
      </c>
      <c r="J145" s="881">
        <v>8</v>
      </c>
      <c r="K145" s="882">
        <f>ROUND(100+(J145-J140)*K139*100,1)</f>
        <v>99.2</v>
      </c>
    </row>
    <row r="147" spans="2:11" ht="14.4">
      <c r="B147" s="1926" t="s">
        <v>1762</v>
      </c>
    </row>
    <row r="148" spans="2:11" ht="14.4">
      <c r="B148" s="1926"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2" priority="19" stopIfTrue="1" operator="containsText" text="超过">
      <formula>NOT(ISERROR(SEARCH("超过",F52)))</formula>
    </cfRule>
  </conditionalFormatting>
  <conditionalFormatting sqref="J54">
    <cfRule type="containsText" dxfId="161" priority="18" stopIfTrue="1" operator="containsText" text="超过">
      <formula>NOT(ISERROR(SEARCH("超过",J54)))</formula>
    </cfRule>
  </conditionalFormatting>
  <conditionalFormatting sqref="H54">
    <cfRule type="containsText" dxfId="160" priority="17" stopIfTrue="1" operator="containsText" text="超过">
      <formula>NOT(ISERROR(SEARCH("超过",H54)))</formula>
    </cfRule>
  </conditionalFormatting>
  <conditionalFormatting sqref="F54">
    <cfRule type="containsText" dxfId="159" priority="16" stopIfTrue="1" operator="containsText" text="超过">
      <formula>NOT(ISERROR(SEARCH("超过",F54)))</formula>
    </cfRule>
  </conditionalFormatting>
  <conditionalFormatting sqref="F53 H53 J53">
    <cfRule type="containsText" dxfId="158" priority="15" stopIfTrue="1" operator="containsText" text="超过">
      <formula>NOT(ISERROR(SEARCH("超过",F53)))</formula>
    </cfRule>
  </conditionalFormatting>
  <conditionalFormatting sqref="E52">
    <cfRule type="expression" dxfId="157" priority="14" stopIfTrue="1">
      <formula>$F$52="超过30%"</formula>
    </cfRule>
  </conditionalFormatting>
  <conditionalFormatting sqref="G54">
    <cfRule type="expression" dxfId="156" priority="12" stopIfTrue="1">
      <formula>$H$54="超过30%"</formula>
    </cfRule>
  </conditionalFormatting>
  <conditionalFormatting sqref="E53">
    <cfRule type="expression" dxfId="155" priority="11" stopIfTrue="1">
      <formula>$F$53="超过20%"</formula>
    </cfRule>
  </conditionalFormatting>
  <conditionalFormatting sqref="E54">
    <cfRule type="expression" dxfId="154" priority="10" stopIfTrue="1">
      <formula>$F$54="超过30%"</formula>
    </cfRule>
  </conditionalFormatting>
  <conditionalFormatting sqref="G52">
    <cfRule type="expression" dxfId="153" priority="9" stopIfTrue="1">
      <formula>$H$52="超过30%"</formula>
    </cfRule>
  </conditionalFormatting>
  <conditionalFormatting sqref="G53">
    <cfRule type="expression" dxfId="152" priority="8" stopIfTrue="1">
      <formula>$H$53="超过20%"</formula>
    </cfRule>
  </conditionalFormatting>
  <conditionalFormatting sqref="I52">
    <cfRule type="expression" dxfId="151" priority="7" stopIfTrue="1">
      <formula>$J$52="超过30%"</formula>
    </cfRule>
  </conditionalFormatting>
  <conditionalFormatting sqref="I53">
    <cfRule type="expression" dxfId="150" priority="6" stopIfTrue="1">
      <formula>$J$53="超过20%"</formula>
    </cfRule>
  </conditionalFormatting>
  <conditionalFormatting sqref="I54">
    <cfRule type="expression" dxfId="149" priority="5" stopIfTrue="1">
      <formula>$J$54="超过30%"</formula>
    </cfRule>
  </conditionalFormatting>
  <conditionalFormatting sqref="F48">
    <cfRule type="expression" dxfId="148" priority="4">
      <formula>$D$48="简单平均"</formula>
    </cfRule>
  </conditionalFormatting>
  <conditionalFormatting sqref="H48">
    <cfRule type="expression" dxfId="147" priority="3">
      <formula>$D$48="简单平均"</formula>
    </cfRule>
  </conditionalFormatting>
  <conditionalFormatting sqref="J48">
    <cfRule type="expression" dxfId="146" priority="2">
      <formula>$D$48="简单平均"</formula>
    </cfRule>
  </conditionalFormatting>
  <conditionalFormatting sqref="F7:F46 H7:H46 J7:J46">
    <cfRule type="cellIs" dxfId="14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1658</v>
      </c>
      <c r="B1" s="1875" t="s">
        <v>1764</v>
      </c>
      <c r="C1" s="1235" t="s">
        <v>1660</v>
      </c>
      <c r="D1" s="1222"/>
      <c r="E1" s="3423"/>
      <c r="F1" s="1876"/>
      <c r="G1" s="1232" t="s">
        <v>1765</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1460</v>
      </c>
      <c r="B2" s="1161"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1949"/>
      <c r="Q2" s="909"/>
      <c r="R2" s="909"/>
      <c r="S2" s="909"/>
      <c r="T2" s="909"/>
      <c r="U2" s="909"/>
      <c r="V2" s="909"/>
      <c r="W2" s="909"/>
      <c r="X2" s="909"/>
      <c r="Y2" s="909"/>
      <c r="Z2" s="909"/>
      <c r="AA2" s="909"/>
      <c r="AB2" s="909"/>
      <c r="AC2" s="1950"/>
    </row>
    <row r="3" spans="1:29" s="352" customFormat="1" ht="28.5" customHeight="1" thickBot="1">
      <c r="A3" s="203" t="s">
        <v>1462</v>
      </c>
      <c r="B3" s="558">
        <f>IF(C2="——",C49,ROUND(B2*10000/D3,0))</f>
        <v>0</v>
      </c>
      <c r="C3" s="354" t="s">
        <v>1766</v>
      </c>
      <c r="D3" s="353">
        <f>IF(D1="",'数据-汇总表'!E3,SUMIF('数据-汇总表'!$C19:$C33,D1,'数据-汇总表'!$E19:$E33))</f>
        <v>112144.47999999998</v>
      </c>
      <c r="E3" s="1951"/>
      <c r="F3" s="906"/>
      <c r="G3" s="905"/>
      <c r="H3" s="905"/>
      <c r="I3" s="905"/>
      <c r="J3" s="905"/>
      <c r="K3" s="907"/>
      <c r="L3" s="2731"/>
      <c r="M3" s="2732"/>
      <c r="N3" s="2732"/>
      <c r="O3" s="2732"/>
      <c r="P3" s="1949"/>
      <c r="Q3" s="909"/>
      <c r="R3" s="909"/>
      <c r="S3" s="909"/>
      <c r="T3" s="909"/>
      <c r="U3" s="909"/>
      <c r="V3" s="909"/>
      <c r="W3" s="909"/>
      <c r="X3" s="909"/>
      <c r="Y3" s="909"/>
      <c r="Z3" s="909"/>
      <c r="AA3" s="909"/>
      <c r="AB3" s="909"/>
      <c r="AC3" s="1951"/>
    </row>
    <row r="4" spans="1:29" ht="14.4">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804" t="s">
        <v>1769</v>
      </c>
      <c r="S4" s="3805"/>
      <c r="T4" s="3804" t="s">
        <v>1770</v>
      </c>
      <c r="U4" s="3805"/>
      <c r="V4" s="3810" t="s">
        <v>1771</v>
      </c>
      <c r="W4" s="3810"/>
      <c r="X4" s="1352"/>
      <c r="Y4" s="3804" t="s">
        <v>1773</v>
      </c>
      <c r="Z4" s="3805"/>
      <c r="AA4" s="3791" t="s">
        <v>1769</v>
      </c>
      <c r="AB4" s="3810" t="s">
        <v>1770</v>
      </c>
      <c r="AC4" s="3791" t="s">
        <v>1771</v>
      </c>
    </row>
    <row r="5" spans="1:29">
      <c r="A5" s="358"/>
      <c r="B5" s="359"/>
      <c r="C5" s="3813" t="s">
        <v>1671</v>
      </c>
      <c r="D5" s="3814"/>
      <c r="E5" s="3820" t="s">
        <v>1672</v>
      </c>
      <c r="F5" s="3821"/>
      <c r="G5" s="3813" t="s">
        <v>1673</v>
      </c>
      <c r="H5" s="3814"/>
      <c r="I5" s="3813" t="s">
        <v>1674</v>
      </c>
      <c r="J5" s="3814"/>
      <c r="K5" s="559"/>
      <c r="L5" s="2712"/>
      <c r="M5" s="2713"/>
      <c r="N5" s="2713"/>
      <c r="O5" s="2713"/>
      <c r="P5" s="3800"/>
      <c r="Q5" s="3801"/>
      <c r="R5" s="3806"/>
      <c r="S5" s="3807"/>
      <c r="T5" s="3806"/>
      <c r="U5" s="3807"/>
      <c r="V5" s="3810"/>
      <c r="W5" s="3810"/>
      <c r="X5" s="1352"/>
      <c r="Y5" s="3806"/>
      <c r="Z5" s="3807"/>
      <c r="AA5" s="3792"/>
      <c r="AB5" s="3810"/>
      <c r="AC5" s="3792"/>
    </row>
    <row r="6" spans="1:29" ht="15" thickBot="1">
      <c r="A6" s="360"/>
      <c r="B6" s="361"/>
      <c r="C6" s="3811" t="s">
        <v>1675</v>
      </c>
      <c r="D6" s="3812"/>
      <c r="E6" s="3818" t="s">
        <v>1675</v>
      </c>
      <c r="F6" s="3819"/>
      <c r="G6" s="3811" t="s">
        <v>1675</v>
      </c>
      <c r="H6" s="3812"/>
      <c r="I6" s="3811" t="s">
        <v>1675</v>
      </c>
      <c r="J6" s="3812"/>
      <c r="K6" s="559" t="s">
        <v>1676</v>
      </c>
      <c r="L6" s="2712"/>
      <c r="M6" s="2713"/>
      <c r="N6" s="2713"/>
      <c r="O6" s="2713"/>
      <c r="P6" s="3802"/>
      <c r="Q6" s="3803"/>
      <c r="R6" s="3806"/>
      <c r="S6" s="3807"/>
      <c r="T6" s="3808"/>
      <c r="U6" s="3809"/>
      <c r="V6" s="3810"/>
      <c r="W6" s="3810"/>
      <c r="X6" s="1352"/>
      <c r="Y6" s="3808"/>
      <c r="Z6" s="3809"/>
      <c r="AA6" s="3793"/>
      <c r="AB6" s="3810"/>
      <c r="AC6" s="3793"/>
    </row>
    <row r="7" spans="1:29" s="108" customFormat="1" ht="15" thickBot="1">
      <c r="A7" s="362" t="s">
        <v>1677</v>
      </c>
      <c r="B7" s="363"/>
      <c r="C7" s="364">
        <f>'数据-取费表'!B2</f>
        <v>45295</v>
      </c>
      <c r="D7" s="365">
        <v>100</v>
      </c>
      <c r="E7" s="366"/>
      <c r="F7" s="367">
        <f>SUMIF(58:58,YEAR(E7)&amp;"-"&amp;MONTH(E7),59:59)</f>
        <v>0</v>
      </c>
      <c r="G7" s="366"/>
      <c r="H7" s="365">
        <f>SUMIF(58:58,YEAR(G7)&amp;"-"&amp;MONTH(G7),59:59)</f>
        <v>0</v>
      </c>
      <c r="I7" s="366"/>
      <c r="J7" s="365">
        <f>SUMIF(58:58,YEAR(I7)&amp;"-"&amp;MONTH(I7),59:59)</f>
        <v>0</v>
      </c>
      <c r="K7" s="560"/>
      <c r="L7" s="2714"/>
      <c r="M7" s="2715"/>
      <c r="N7" s="2715"/>
      <c r="O7" s="2715"/>
      <c r="P7" s="3815" t="s">
        <v>1678</v>
      </c>
      <c r="Q7" s="3817"/>
      <c r="R7" s="701" t="s">
        <v>14</v>
      </c>
      <c r="S7" s="702">
        <f t="shared" ref="S7:S15" si="0">F7</f>
        <v>0</v>
      </c>
      <c r="T7" s="701" t="s">
        <v>14</v>
      </c>
      <c r="U7" s="702">
        <f t="shared" ref="U7:U15" si="1">H7</f>
        <v>0</v>
      </c>
      <c r="V7" s="701" t="s">
        <v>14</v>
      </c>
      <c r="W7" s="702">
        <f t="shared" ref="W7:W15" si="2">J7</f>
        <v>0</v>
      </c>
      <c r="X7" s="703"/>
      <c r="Y7" s="3815" t="s">
        <v>1678</v>
      </c>
      <c r="Z7" s="3816"/>
      <c r="AA7" s="704" t="e">
        <f>D7/F7</f>
        <v>#DIV/0!</v>
      </c>
      <c r="AB7" s="704" t="e">
        <f>D7/H7</f>
        <v>#DIV/0!</v>
      </c>
      <c r="AC7" s="704" t="e">
        <f>D7/J7</f>
        <v>#DIV/0!</v>
      </c>
    </row>
    <row r="8" spans="1:29" s="108" customFormat="1" ht="1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815" t="s">
        <v>1681</v>
      </c>
      <c r="Q8" s="3816"/>
      <c r="R8" s="701" t="s">
        <v>14</v>
      </c>
      <c r="S8" s="702">
        <f t="shared" si="0"/>
        <v>100</v>
      </c>
      <c r="T8" s="701" t="s">
        <v>14</v>
      </c>
      <c r="U8" s="702">
        <f t="shared" si="1"/>
        <v>100</v>
      </c>
      <c r="V8" s="701" t="s">
        <v>14</v>
      </c>
      <c r="W8" s="702">
        <f t="shared" si="2"/>
        <v>100</v>
      </c>
      <c r="X8" s="703"/>
      <c r="Y8" s="3815" t="s">
        <v>1681</v>
      </c>
      <c r="Z8" s="3816"/>
      <c r="AA8" s="704">
        <f t="shared" ref="AA8:AA46" si="3">D8/F8</f>
        <v>1</v>
      </c>
      <c r="AB8" s="704">
        <f t="shared" ref="AB8:AB46" si="4">D8/H8</f>
        <v>1</v>
      </c>
      <c r="AC8" s="704">
        <f t="shared" ref="AC8:AC46" si="5">D8/J8</f>
        <v>1</v>
      </c>
    </row>
    <row r="9" spans="1:29" s="108" customFormat="1" ht="14.4">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790"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704">
        <f t="shared" si="5"/>
        <v>1</v>
      </c>
    </row>
    <row r="10" spans="1:29" s="378" customFormat="1" ht="28.8">
      <c r="A10" s="374"/>
      <c r="B10" s="375" t="s">
        <v>1686</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90"/>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790"/>
      <c r="Q11" s="1340"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90"/>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90"/>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90"/>
      <c r="Q14" s="1340">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1688</v>
      </c>
      <c r="B15" s="61" t="s">
        <v>1775</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788" t="s">
        <v>1689</v>
      </c>
      <c r="Q15" s="1349" t="str">
        <f t="shared" si="6"/>
        <v>商业繁华度</v>
      </c>
      <c r="R15" s="705" t="s">
        <v>14</v>
      </c>
      <c r="S15" s="706">
        <f t="shared" si="0"/>
        <v>100</v>
      </c>
      <c r="T15" s="705" t="s">
        <v>14</v>
      </c>
      <c r="U15" s="706">
        <f t="shared" si="1"/>
        <v>100</v>
      </c>
      <c r="V15" s="705" t="s">
        <v>14</v>
      </c>
      <c r="W15" s="706">
        <f t="shared" si="2"/>
        <v>100</v>
      </c>
      <c r="X15" s="1352"/>
      <c r="Y15" s="3781"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4"/>
      <c r="L16" s="2719"/>
      <c r="M16" s="2713"/>
      <c r="N16" s="2713"/>
      <c r="O16" s="2713"/>
      <c r="P16" s="3789"/>
      <c r="Q16" s="1349"/>
      <c r="R16" s="705"/>
      <c r="S16" s="706"/>
      <c r="T16" s="705"/>
      <c r="U16" s="706"/>
      <c r="V16" s="705"/>
      <c r="W16" s="706"/>
      <c r="X16" s="1352"/>
      <c r="Y16" s="3782"/>
      <c r="Z16" s="1353"/>
      <c r="AA16" s="1350">
        <v>1</v>
      </c>
      <c r="AB16" s="1350">
        <v>1</v>
      </c>
      <c r="AC16" s="1350">
        <v>1</v>
      </c>
    </row>
    <row r="17" spans="1:29" ht="82.8">
      <c r="A17" s="379"/>
      <c r="B17" s="402" t="s">
        <v>1257</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789"/>
      <c r="Q17" s="1349" t="str">
        <f>B17</f>
        <v>交通便捷度</v>
      </c>
      <c r="R17" s="705" t="s">
        <v>14</v>
      </c>
      <c r="S17" s="706">
        <f>F17</f>
        <v>100</v>
      </c>
      <c r="T17" s="705" t="s">
        <v>14</v>
      </c>
      <c r="U17" s="706">
        <f>H17</f>
        <v>100</v>
      </c>
      <c r="V17" s="705" t="s">
        <v>14</v>
      </c>
      <c r="W17" s="706">
        <f>J17</f>
        <v>100</v>
      </c>
      <c r="X17" s="1352"/>
      <c r="Y17" s="3782"/>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2719"/>
      <c r="M18" s="2713"/>
      <c r="N18" s="2713"/>
      <c r="O18" s="2713"/>
      <c r="P18" s="3789"/>
      <c r="Q18" s="1349"/>
      <c r="R18" s="705"/>
      <c r="S18" s="706"/>
      <c r="T18" s="705"/>
      <c r="U18" s="706"/>
      <c r="V18" s="705"/>
      <c r="W18" s="706"/>
      <c r="X18" s="1352"/>
      <c r="Y18" s="3782"/>
      <c r="Z18" s="1353"/>
      <c r="AA18" s="1350">
        <v>1</v>
      </c>
      <c r="AB18" s="1350">
        <v>1</v>
      </c>
      <c r="AC18" s="1350">
        <v>1</v>
      </c>
    </row>
    <row r="19" spans="1:29" ht="41.4">
      <c r="A19" s="379"/>
      <c r="B19" s="402" t="s">
        <v>1776</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789"/>
      <c r="Q19" s="1349" t="str">
        <f>B19</f>
        <v>公共配套设施</v>
      </c>
      <c r="R19" s="705" t="s">
        <v>14</v>
      </c>
      <c r="S19" s="706">
        <f>F19</f>
        <v>100</v>
      </c>
      <c r="T19" s="705" t="s">
        <v>14</v>
      </c>
      <c r="U19" s="706">
        <f>H19</f>
        <v>100</v>
      </c>
      <c r="V19" s="705" t="s">
        <v>14</v>
      </c>
      <c r="W19" s="706">
        <f>J19</f>
        <v>100</v>
      </c>
      <c r="X19" s="1352"/>
      <c r="Y19" s="3782"/>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2719"/>
      <c r="M20" s="2713"/>
      <c r="N20" s="2713"/>
      <c r="O20" s="2713"/>
      <c r="P20" s="3789"/>
      <c r="Q20" s="1349"/>
      <c r="R20" s="705"/>
      <c r="S20" s="706"/>
      <c r="T20" s="705"/>
      <c r="U20" s="706"/>
      <c r="V20" s="705"/>
      <c r="W20" s="706"/>
      <c r="X20" s="1352"/>
      <c r="Y20" s="3782"/>
      <c r="Z20" s="1353"/>
      <c r="AA20" s="1350">
        <v>1</v>
      </c>
      <c r="AB20" s="1350">
        <v>1</v>
      </c>
      <c r="AC20" s="1350">
        <v>1</v>
      </c>
    </row>
    <row r="21" spans="1:29" ht="27.6">
      <c r="A21" s="379"/>
      <c r="B21" s="1128" t="s">
        <v>1777</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789"/>
      <c r="Q21" s="1349" t="str">
        <f>B21</f>
        <v>基础设施水平</v>
      </c>
      <c r="R21" s="705" t="s">
        <v>14</v>
      </c>
      <c r="S21" s="706">
        <f>F21</f>
        <v>100</v>
      </c>
      <c r="T21" s="705" t="s">
        <v>14</v>
      </c>
      <c r="U21" s="706">
        <f>H21</f>
        <v>100</v>
      </c>
      <c r="V21" s="705" t="s">
        <v>14</v>
      </c>
      <c r="W21" s="706">
        <f>J21</f>
        <v>100</v>
      </c>
      <c r="X21" s="1352"/>
      <c r="Y21" s="378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2719"/>
      <c r="M22" s="2713"/>
      <c r="N22" s="2713"/>
      <c r="O22" s="2713"/>
      <c r="P22" s="3789"/>
      <c r="Q22" s="1349"/>
      <c r="R22" s="705"/>
      <c r="S22" s="706"/>
      <c r="T22" s="705"/>
      <c r="U22" s="706"/>
      <c r="V22" s="705"/>
      <c r="W22" s="706"/>
      <c r="X22" s="1352"/>
      <c r="Y22" s="3782"/>
      <c r="Z22" s="1353"/>
      <c r="AA22" s="1350">
        <v>1</v>
      </c>
      <c r="AB22" s="1350">
        <v>1</v>
      </c>
      <c r="AC22" s="1350">
        <v>1</v>
      </c>
    </row>
    <row r="23" spans="1:29" ht="55.2">
      <c r="A23" s="379"/>
      <c r="B23" s="402" t="s">
        <v>1259</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789"/>
      <c r="Q23" s="1349" t="str">
        <f>B23</f>
        <v>自然及人文环境</v>
      </c>
      <c r="R23" s="705" t="s">
        <v>14</v>
      </c>
      <c r="S23" s="706">
        <f>F23</f>
        <v>100</v>
      </c>
      <c r="T23" s="705" t="s">
        <v>14</v>
      </c>
      <c r="U23" s="706">
        <f>H23</f>
        <v>100</v>
      </c>
      <c r="V23" s="705" t="s">
        <v>14</v>
      </c>
      <c r="W23" s="706">
        <f>J23</f>
        <v>100</v>
      </c>
      <c r="X23" s="1352"/>
      <c r="Y23" s="3782"/>
      <c r="Z23" s="1353" t="str">
        <f>Q23</f>
        <v>自然及人文环境</v>
      </c>
      <c r="AA23" s="1350">
        <f t="shared" si="3"/>
        <v>1</v>
      </c>
      <c r="AB23" s="1350">
        <f t="shared" si="4"/>
        <v>1</v>
      </c>
      <c r="AC23" s="1350">
        <f t="shared" si="5"/>
        <v>1</v>
      </c>
    </row>
    <row r="24" spans="1:29" ht="15">
      <c r="A24" s="379"/>
      <c r="B24" s="407"/>
      <c r="C24" s="398"/>
      <c r="D24" s="399"/>
      <c r="E24" s="1895"/>
      <c r="F24" s="400"/>
      <c r="G24" s="1894"/>
      <c r="H24" s="399"/>
      <c r="I24" s="1895"/>
      <c r="J24" s="399"/>
      <c r="K24" s="564"/>
      <c r="L24" s="2719"/>
      <c r="M24" s="2713"/>
      <c r="N24" s="2713"/>
      <c r="O24" s="2713"/>
      <c r="P24" s="3789"/>
      <c r="Q24" s="1349"/>
      <c r="R24" s="705"/>
      <c r="S24" s="706"/>
      <c r="T24" s="705"/>
      <c r="U24" s="706"/>
      <c r="V24" s="705"/>
      <c r="W24" s="706"/>
      <c r="X24" s="1352"/>
      <c r="Y24" s="3782"/>
      <c r="Z24" s="1353"/>
      <c r="AA24" s="1350">
        <v>1</v>
      </c>
      <c r="AB24" s="1350">
        <v>1</v>
      </c>
      <c r="AC24" s="1350">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89"/>
      <c r="Q25" s="1349" t="str">
        <f t="shared" ref="Q25:Q46" si="11">B25</f>
        <v>临街状况</v>
      </c>
      <c r="R25" s="705" t="s">
        <v>14</v>
      </c>
      <c r="S25" s="706">
        <f>F25</f>
        <v>100</v>
      </c>
      <c r="T25" s="705" t="s">
        <v>14</v>
      </c>
      <c r="U25" s="706">
        <f>H25</f>
        <v>100</v>
      </c>
      <c r="V25" s="705" t="s">
        <v>14</v>
      </c>
      <c r="W25" s="706">
        <f>J25</f>
        <v>100</v>
      </c>
      <c r="X25" s="1352"/>
      <c r="Y25" s="3782"/>
      <c r="Z25" s="1353" t="str">
        <f>Q25</f>
        <v>临街状况</v>
      </c>
      <c r="AA25" s="1350">
        <f t="shared" si="3"/>
        <v>1</v>
      </c>
      <c r="AB25" s="1350">
        <f t="shared" si="4"/>
        <v>1</v>
      </c>
      <c r="AC25" s="1350">
        <f t="shared" si="5"/>
        <v>1</v>
      </c>
    </row>
    <row r="26" spans="1:29" ht="15">
      <c r="A26" s="379"/>
      <c r="B26" s="1130" t="s">
        <v>1779</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89"/>
      <c r="Q26" s="1349" t="str">
        <f t="shared" si="11"/>
        <v>平面位置/可视性</v>
      </c>
      <c r="R26" s="705" t="s">
        <v>14</v>
      </c>
      <c r="S26" s="706">
        <f>F26</f>
        <v>100</v>
      </c>
      <c r="T26" s="705" t="s">
        <v>14</v>
      </c>
      <c r="U26" s="706">
        <f>H26</f>
        <v>100</v>
      </c>
      <c r="V26" s="705" t="s">
        <v>14</v>
      </c>
      <c r="W26" s="706">
        <f>J26</f>
        <v>100</v>
      </c>
      <c r="X26" s="1352"/>
      <c r="Y26" s="3782"/>
      <c r="Z26" s="1353" t="str">
        <f>Q26</f>
        <v>平面位置/可视性</v>
      </c>
      <c r="AA26" s="1350">
        <f t="shared" si="3"/>
        <v>1</v>
      </c>
      <c r="AB26" s="1350">
        <f t="shared" si="4"/>
        <v>1</v>
      </c>
      <c r="AC26" s="1350">
        <f t="shared" si="5"/>
        <v>1</v>
      </c>
    </row>
    <row r="27" spans="1:29" s="108" customFormat="1" ht="15">
      <c r="A27" s="382"/>
      <c r="B27" s="402" t="s">
        <v>1780</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789"/>
      <c r="Q27" s="1340" t="str">
        <f t="shared" si="11"/>
        <v>人流量</v>
      </c>
      <c r="R27" s="701" t="s">
        <v>14</v>
      </c>
      <c r="S27" s="702">
        <f>F27</f>
        <v>100</v>
      </c>
      <c r="T27" s="701" t="s">
        <v>14</v>
      </c>
      <c r="U27" s="702">
        <f>H27</f>
        <v>100</v>
      </c>
      <c r="V27" s="701" t="s">
        <v>14</v>
      </c>
      <c r="W27" s="702">
        <f>J27</f>
        <v>100</v>
      </c>
      <c r="X27" s="703"/>
      <c r="Y27" s="3782"/>
      <c r="Z27" s="52" t="str">
        <f>Q27</f>
        <v>人流量</v>
      </c>
      <c r="AA27" s="1350">
        <f>D27/F27</f>
        <v>1</v>
      </c>
      <c r="AB27" s="1350">
        <f>D27/H27</f>
        <v>1</v>
      </c>
      <c r="AC27" s="1350">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789"/>
      <c r="Q28" s="1349" t="str">
        <f t="shared" si="11"/>
        <v>楼层</v>
      </c>
      <c r="R28" s="705" t="s">
        <v>14</v>
      </c>
      <c r="S28" s="706">
        <f t="shared" ref="S28:S46" si="12">F28</f>
        <v>100</v>
      </c>
      <c r="T28" s="705" t="s">
        <v>14</v>
      </c>
      <c r="U28" s="706">
        <f t="shared" ref="U28:U46" si="13">H28</f>
        <v>100</v>
      </c>
      <c r="V28" s="705" t="s">
        <v>14</v>
      </c>
      <c r="W28" s="706">
        <f t="shared" ref="W28:W46" si="14">J28</f>
        <v>100</v>
      </c>
      <c r="X28" s="1352"/>
      <c r="Y28" s="3782"/>
      <c r="Z28" s="1353" t="str">
        <f t="shared" ref="Z28:Z46" si="15">Q28</f>
        <v>楼层</v>
      </c>
      <c r="AA28" s="1350">
        <f t="shared" si="3"/>
        <v>1</v>
      </c>
      <c r="AB28" s="1350">
        <f t="shared" si="4"/>
        <v>1</v>
      </c>
      <c r="AC28" s="1350">
        <f t="shared" si="5"/>
        <v>1</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89"/>
      <c r="Q29" s="1349">
        <f t="shared" si="11"/>
        <v>111</v>
      </c>
      <c r="R29" s="705" t="s">
        <v>14</v>
      </c>
      <c r="S29" s="706">
        <f t="shared" si="12"/>
        <v>100</v>
      </c>
      <c r="T29" s="705" t="s">
        <v>14</v>
      </c>
      <c r="U29" s="706">
        <f t="shared" si="13"/>
        <v>100</v>
      </c>
      <c r="V29" s="705" t="s">
        <v>14</v>
      </c>
      <c r="W29" s="706">
        <f t="shared" si="14"/>
        <v>100</v>
      </c>
      <c r="X29" s="1352"/>
      <c r="Y29" s="3782"/>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89"/>
      <c r="Q30" s="1349">
        <f t="shared" si="11"/>
        <v>111</v>
      </c>
      <c r="R30" s="705" t="s">
        <v>14</v>
      </c>
      <c r="S30" s="706">
        <f t="shared" si="12"/>
        <v>100</v>
      </c>
      <c r="T30" s="705" t="s">
        <v>14</v>
      </c>
      <c r="U30" s="706">
        <f t="shared" si="13"/>
        <v>100</v>
      </c>
      <c r="V30" s="705" t="s">
        <v>14</v>
      </c>
      <c r="W30" s="706">
        <f t="shared" si="14"/>
        <v>100</v>
      </c>
      <c r="X30" s="1352"/>
      <c r="Y30" s="3782"/>
      <c r="Z30" s="1353">
        <f t="shared" si="15"/>
        <v>111</v>
      </c>
      <c r="AA30" s="1350">
        <f t="shared" si="3"/>
        <v>1</v>
      </c>
      <c r="AB30" s="1350">
        <f t="shared" si="4"/>
        <v>1</v>
      </c>
      <c r="AC30" s="1350">
        <f t="shared" si="5"/>
        <v>1</v>
      </c>
    </row>
    <row r="31" spans="1:29" ht="15.6"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89"/>
      <c r="Q31" s="1349">
        <f t="shared" si="11"/>
        <v>111</v>
      </c>
      <c r="R31" s="705" t="s">
        <v>14</v>
      </c>
      <c r="S31" s="706">
        <f t="shared" si="12"/>
        <v>100</v>
      </c>
      <c r="T31" s="705" t="s">
        <v>14</v>
      </c>
      <c r="U31" s="706">
        <f t="shared" si="13"/>
        <v>100</v>
      </c>
      <c r="V31" s="705" t="s">
        <v>14</v>
      </c>
      <c r="W31" s="706">
        <f t="shared" si="14"/>
        <v>100</v>
      </c>
      <c r="X31" s="1352"/>
      <c r="Y31" s="3782"/>
      <c r="Z31" s="1353">
        <f t="shared" si="15"/>
        <v>111</v>
      </c>
      <c r="AA31" s="1350">
        <f t="shared" si="3"/>
        <v>1</v>
      </c>
      <c r="AB31" s="1350">
        <f t="shared" si="4"/>
        <v>1</v>
      </c>
      <c r="AC31" s="1350">
        <f t="shared" si="5"/>
        <v>1</v>
      </c>
    </row>
    <row r="32" spans="1:29" ht="15">
      <c r="A32" s="391" t="s">
        <v>1692</v>
      </c>
      <c r="B32" s="63" t="s">
        <v>1782</v>
      </c>
      <c r="C32" s="1907"/>
      <c r="D32" s="418">
        <v>100</v>
      </c>
      <c r="E32" s="1907"/>
      <c r="F32" s="412">
        <f>SUMIF(100:100,E32,101:101)-SUMIF(100:100,C32,101:101)+100</f>
        <v>100</v>
      </c>
      <c r="G32" s="1907"/>
      <c r="H32" s="386">
        <f>SUMIF(100:100,G32,101:101)-SUMIF(100:100,C32,101:101)+100</f>
        <v>100</v>
      </c>
      <c r="I32" s="1907"/>
      <c r="J32" s="418">
        <f>SUMIF(100:100,I32,101:101)-SUMIF(100:100,C32,101:101)+100</f>
        <v>100</v>
      </c>
      <c r="K32" s="561"/>
      <c r="L32" s="2719"/>
      <c r="M32" s="2713"/>
      <c r="N32" s="2713"/>
      <c r="O32" s="2713"/>
      <c r="P32" s="3783" t="s">
        <v>1694</v>
      </c>
      <c r="Q32" s="1349" t="str">
        <f t="shared" si="11"/>
        <v>商业类型</v>
      </c>
      <c r="R32" s="705" t="s">
        <v>14</v>
      </c>
      <c r="S32" s="706">
        <f t="shared" si="12"/>
        <v>100</v>
      </c>
      <c r="T32" s="705" t="s">
        <v>14</v>
      </c>
      <c r="U32" s="706">
        <f t="shared" si="13"/>
        <v>100</v>
      </c>
      <c r="V32" s="705" t="s">
        <v>14</v>
      </c>
      <c r="W32" s="706">
        <f t="shared" si="14"/>
        <v>100</v>
      </c>
      <c r="X32" s="1352"/>
      <c r="Y32" s="3786"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784"/>
      <c r="Q33" s="707" t="str">
        <f t="shared" si="11"/>
        <v>项目建筑规模</v>
      </c>
      <c r="R33" s="708" t="s">
        <v>14</v>
      </c>
      <c r="S33" s="709" t="e">
        <f t="shared" si="12"/>
        <v>#N/A</v>
      </c>
      <c r="T33" s="708" t="s">
        <v>14</v>
      </c>
      <c r="U33" s="709" t="e">
        <f t="shared" si="13"/>
        <v>#N/A</v>
      </c>
      <c r="V33" s="708" t="s">
        <v>14</v>
      </c>
      <c r="W33" s="709" t="e">
        <f t="shared" si="14"/>
        <v>#N/A</v>
      </c>
      <c r="X33" s="710"/>
      <c r="Y33" s="3786"/>
      <c r="Z33" s="711" t="str">
        <f t="shared" si="15"/>
        <v>项目建筑规模</v>
      </c>
      <c r="AA33" s="1350" t="e">
        <f t="shared" si="3"/>
        <v>#N/A</v>
      </c>
      <c r="AB33" s="1350" t="e">
        <f t="shared" si="4"/>
        <v>#N/A</v>
      </c>
      <c r="AC33" s="1350" t="e">
        <f t="shared" si="5"/>
        <v>#N/A</v>
      </c>
    </row>
    <row r="34" spans="1:29" ht="15">
      <c r="A34" s="423"/>
      <c r="B34" s="375" t="s">
        <v>1696</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784"/>
      <c r="Q34" s="1349" t="str">
        <f t="shared" si="11"/>
        <v>建筑结构</v>
      </c>
      <c r="R34" s="705" t="s">
        <v>14</v>
      </c>
      <c r="S34" s="706">
        <f t="shared" si="12"/>
        <v>100</v>
      </c>
      <c r="T34" s="705" t="s">
        <v>14</v>
      </c>
      <c r="U34" s="706">
        <f t="shared" si="13"/>
        <v>100</v>
      </c>
      <c r="V34" s="705" t="s">
        <v>14</v>
      </c>
      <c r="W34" s="706">
        <f t="shared" si="14"/>
        <v>100</v>
      </c>
      <c r="X34" s="1352"/>
      <c r="Y34" s="3786"/>
      <c r="Z34" s="1353" t="str">
        <f t="shared" si="15"/>
        <v>建筑结构</v>
      </c>
      <c r="AA34" s="1350">
        <f t="shared" si="3"/>
        <v>1</v>
      </c>
      <c r="AB34" s="1350">
        <f t="shared" si="4"/>
        <v>1</v>
      </c>
      <c r="AC34" s="1350">
        <f t="shared" si="5"/>
        <v>1</v>
      </c>
    </row>
    <row r="35" spans="1:29" ht="15">
      <c r="A35" s="423"/>
      <c r="B35" s="375" t="s">
        <v>1783</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784"/>
      <c r="Q35" s="1349" t="str">
        <f t="shared" si="11"/>
        <v>公共部分装修</v>
      </c>
      <c r="R35" s="705" t="s">
        <v>14</v>
      </c>
      <c r="S35" s="706">
        <f t="shared" si="12"/>
        <v>100</v>
      </c>
      <c r="T35" s="705" t="s">
        <v>14</v>
      </c>
      <c r="U35" s="706">
        <f t="shared" si="13"/>
        <v>100</v>
      </c>
      <c r="V35" s="705" t="s">
        <v>14</v>
      </c>
      <c r="W35" s="706">
        <f t="shared" si="14"/>
        <v>100</v>
      </c>
      <c r="X35" s="1352"/>
      <c r="Y35" s="3786"/>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784"/>
      <c r="Q36" s="1349" t="str">
        <f t="shared" si="11"/>
        <v>成新度</v>
      </c>
      <c r="R36" s="705" t="s">
        <v>14</v>
      </c>
      <c r="S36" s="706" t="e">
        <f t="shared" si="12"/>
        <v>#N/A</v>
      </c>
      <c r="T36" s="705" t="s">
        <v>14</v>
      </c>
      <c r="U36" s="706" t="e">
        <f t="shared" si="13"/>
        <v>#N/A</v>
      </c>
      <c r="V36" s="705" t="s">
        <v>14</v>
      </c>
      <c r="W36" s="706" t="e">
        <f t="shared" si="14"/>
        <v>#N/A</v>
      </c>
      <c r="X36" s="1352"/>
      <c r="Y36" s="3786"/>
      <c r="Z36" s="1353" t="str">
        <f t="shared" si="15"/>
        <v>成新度</v>
      </c>
      <c r="AA36" s="1350" t="e">
        <f t="shared" si="3"/>
        <v>#N/A</v>
      </c>
      <c r="AB36" s="1350" t="e">
        <f t="shared" si="4"/>
        <v>#N/A</v>
      </c>
      <c r="AC36" s="1350" t="e">
        <f t="shared" si="5"/>
        <v>#N/A</v>
      </c>
    </row>
    <row r="37" spans="1:29" s="108" customFormat="1" ht="15">
      <c r="A37" s="424"/>
      <c r="B37" s="375" t="s">
        <v>1785</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784"/>
      <c r="Q37" s="1340" t="str">
        <f t="shared" si="11"/>
        <v>市政基础设施</v>
      </c>
      <c r="R37" s="701" t="s">
        <v>14</v>
      </c>
      <c r="S37" s="702">
        <f t="shared" si="12"/>
        <v>100</v>
      </c>
      <c r="T37" s="701" t="s">
        <v>14</v>
      </c>
      <c r="U37" s="702">
        <f t="shared" si="13"/>
        <v>100</v>
      </c>
      <c r="V37" s="701" t="s">
        <v>14</v>
      </c>
      <c r="W37" s="702">
        <f t="shared" si="14"/>
        <v>100</v>
      </c>
      <c r="X37" s="703"/>
      <c r="Y37" s="3786"/>
      <c r="Z37" s="52" t="str">
        <f t="shared" si="15"/>
        <v>市政基础设施</v>
      </c>
      <c r="AA37" s="704">
        <f t="shared" si="3"/>
        <v>1</v>
      </c>
      <c r="AB37" s="704">
        <f t="shared" si="4"/>
        <v>1</v>
      </c>
      <c r="AC37" s="704">
        <f t="shared" si="5"/>
        <v>1</v>
      </c>
    </row>
    <row r="38" spans="1:29" ht="15">
      <c r="A38" s="423"/>
      <c r="B38" s="375" t="s">
        <v>1786</v>
      </c>
      <c r="C38" s="1903"/>
      <c r="D38" s="386">
        <v>100</v>
      </c>
      <c r="E38" s="1903"/>
      <c r="F38" s="412">
        <f>SUMIF(114:114,E38,115:115)-SUMIF(114:114,C38,115:115)+100</f>
        <v>100</v>
      </c>
      <c r="G38" s="1903"/>
      <c r="H38" s="386">
        <f>SUMIF(114:114,G38,115:115)-SUMIF(114:114,C38,115:115)+100</f>
        <v>100</v>
      </c>
      <c r="I38" s="1903"/>
      <c r="J38" s="386">
        <f>SUMIF(114:114,I38,115:115)-SUMIF(114:114,C38,115:115)+100</f>
        <v>100</v>
      </c>
      <c r="K38" s="561"/>
      <c r="L38" s="2719"/>
      <c r="M38" s="2713"/>
      <c r="N38" s="2713"/>
      <c r="O38" s="2713"/>
      <c r="P38" s="3784" t="s">
        <v>1694</v>
      </c>
      <c r="Q38" s="1349" t="str">
        <f t="shared" si="11"/>
        <v>业态</v>
      </c>
      <c r="R38" s="705" t="s">
        <v>14</v>
      </c>
      <c r="S38" s="706">
        <f t="shared" si="12"/>
        <v>100</v>
      </c>
      <c r="T38" s="705" t="s">
        <v>14</v>
      </c>
      <c r="U38" s="706">
        <f t="shared" si="13"/>
        <v>100</v>
      </c>
      <c r="V38" s="705" t="s">
        <v>14</v>
      </c>
      <c r="W38" s="706">
        <f t="shared" si="14"/>
        <v>100</v>
      </c>
      <c r="X38" s="1352"/>
      <c r="Y38" s="3786" t="s">
        <v>1694</v>
      </c>
      <c r="Z38" s="1353" t="str">
        <f t="shared" si="15"/>
        <v>业态</v>
      </c>
      <c r="AA38" s="1350">
        <f t="shared" si="3"/>
        <v>1</v>
      </c>
      <c r="AB38" s="1350">
        <f t="shared" si="4"/>
        <v>1</v>
      </c>
      <c r="AC38" s="1350">
        <f t="shared" si="5"/>
        <v>1</v>
      </c>
    </row>
    <row r="39" spans="1:29" ht="15">
      <c r="A39" s="423"/>
      <c r="B39" s="375" t="s">
        <v>1787</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784"/>
      <c r="Q39" s="1349" t="str">
        <f t="shared" si="11"/>
        <v>层高</v>
      </c>
      <c r="R39" s="705" t="s">
        <v>14</v>
      </c>
      <c r="S39" s="706">
        <f t="shared" si="12"/>
        <v>100</v>
      </c>
      <c r="T39" s="705" t="s">
        <v>14</v>
      </c>
      <c r="U39" s="706">
        <f t="shared" si="13"/>
        <v>100</v>
      </c>
      <c r="V39" s="705" t="s">
        <v>14</v>
      </c>
      <c r="W39" s="706">
        <f t="shared" si="14"/>
        <v>100</v>
      </c>
      <c r="X39" s="1352"/>
      <c r="Y39" s="3786"/>
      <c r="Z39" s="1353" t="str">
        <f t="shared" si="15"/>
        <v>层高</v>
      </c>
      <c r="AA39" s="1350">
        <f t="shared" si="3"/>
        <v>1</v>
      </c>
      <c r="AB39" s="1350">
        <f t="shared" si="4"/>
        <v>1</v>
      </c>
      <c r="AC39" s="1350">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84"/>
      <c r="Q40" s="1349" t="str">
        <f t="shared" si="11"/>
        <v>单套建筑面积</v>
      </c>
      <c r="R40" s="705" t="s">
        <v>14</v>
      </c>
      <c r="S40" s="706">
        <f t="shared" si="12"/>
        <v>100</v>
      </c>
      <c r="T40" s="705" t="s">
        <v>14</v>
      </c>
      <c r="U40" s="706">
        <f t="shared" si="13"/>
        <v>100</v>
      </c>
      <c r="V40" s="705" t="s">
        <v>14</v>
      </c>
      <c r="W40" s="706">
        <f t="shared" si="14"/>
        <v>100</v>
      </c>
      <c r="X40" s="1352"/>
      <c r="Y40" s="3786"/>
      <c r="Z40" s="1353" t="str">
        <f t="shared" si="15"/>
        <v>单套建筑面积</v>
      </c>
      <c r="AA40" s="1350">
        <f t="shared" si="3"/>
        <v>1</v>
      </c>
      <c r="AB40" s="1350">
        <f t="shared" si="4"/>
        <v>1</v>
      </c>
      <c r="AC40" s="1350">
        <f t="shared" si="5"/>
        <v>1</v>
      </c>
    </row>
    <row r="41" spans="1:29" s="422" customFormat="1" ht="15">
      <c r="A41" s="419"/>
      <c r="B41" s="1351"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84"/>
      <c r="Q41" s="707" t="str">
        <f t="shared" si="11"/>
        <v>进深比</v>
      </c>
      <c r="R41" s="708" t="s">
        <v>14</v>
      </c>
      <c r="S41" s="709">
        <f t="shared" si="12"/>
        <v>100</v>
      </c>
      <c r="T41" s="708" t="s">
        <v>14</v>
      </c>
      <c r="U41" s="709">
        <f t="shared" si="13"/>
        <v>100</v>
      </c>
      <c r="V41" s="708" t="s">
        <v>14</v>
      </c>
      <c r="W41" s="709">
        <f t="shared" si="14"/>
        <v>100</v>
      </c>
      <c r="X41" s="710"/>
      <c r="Y41" s="3786"/>
      <c r="Z41" s="711" t="str">
        <f t="shared" si="15"/>
        <v>进深比</v>
      </c>
      <c r="AA41" s="1350">
        <f t="shared" si="3"/>
        <v>1</v>
      </c>
      <c r="AB41" s="1350">
        <f t="shared" si="4"/>
        <v>1</v>
      </c>
      <c r="AC41" s="1350">
        <f t="shared" si="5"/>
        <v>1</v>
      </c>
    </row>
    <row r="42" spans="1:29" ht="15">
      <c r="A42" s="423"/>
      <c r="B42" s="375" t="s">
        <v>1790</v>
      </c>
      <c r="C42" s="1903"/>
      <c r="D42" s="386">
        <v>100</v>
      </c>
      <c r="E42" s="1903"/>
      <c r="F42" s="412">
        <f>SUMIF(122:122,E42,123:123)-SUMIF(122:122,C42,123:123)+100</f>
        <v>100</v>
      </c>
      <c r="G42" s="1903"/>
      <c r="H42" s="386">
        <f>SUMIF(122:122,G42,123:123)-SUMIF(122:122,C42,123:123)+100</f>
        <v>100</v>
      </c>
      <c r="I42" s="1903"/>
      <c r="J42" s="386">
        <f>SUMIF(122:122,I42,123:123)-SUMIF(122:122,C42,123:123)+100</f>
        <v>100</v>
      </c>
      <c r="K42" s="561"/>
      <c r="L42" s="2719"/>
      <c r="M42" s="2713"/>
      <c r="N42" s="2713"/>
      <c r="O42" s="2713"/>
      <c r="P42" s="3784"/>
      <c r="Q42" s="1349" t="str">
        <f t="shared" si="11"/>
        <v>内部装修</v>
      </c>
      <c r="R42" s="705" t="s">
        <v>14</v>
      </c>
      <c r="S42" s="706">
        <f t="shared" si="12"/>
        <v>100</v>
      </c>
      <c r="T42" s="705" t="s">
        <v>14</v>
      </c>
      <c r="U42" s="706">
        <f t="shared" si="13"/>
        <v>100</v>
      </c>
      <c r="V42" s="705" t="s">
        <v>14</v>
      </c>
      <c r="W42" s="706">
        <f t="shared" si="14"/>
        <v>100</v>
      </c>
      <c r="X42" s="1352"/>
      <c r="Y42" s="3786"/>
      <c r="Z42" s="1353" t="str">
        <f t="shared" si="15"/>
        <v>内部装修</v>
      </c>
      <c r="AA42" s="1350">
        <f t="shared" si="3"/>
        <v>1</v>
      </c>
      <c r="AB42" s="1350">
        <f t="shared" si="4"/>
        <v>1</v>
      </c>
      <c r="AC42" s="1350">
        <f t="shared" si="5"/>
        <v>1</v>
      </c>
    </row>
    <row r="43" spans="1:29" ht="28.8">
      <c r="A43" s="423"/>
      <c r="B43" s="375" t="s">
        <v>1705</v>
      </c>
      <c r="C43" s="1903"/>
      <c r="D43" s="386">
        <v>100</v>
      </c>
      <c r="E43" s="1903"/>
      <c r="F43" s="412">
        <f>SUMIF(124:124,E43,125:125)-SUMIF(124:124,C43,125:125)+100</f>
        <v>100</v>
      </c>
      <c r="G43" s="1903"/>
      <c r="H43" s="386">
        <f>SUMIF(124:124,G43,125:125)-SUMIF(124:124,C43,125:125)+100</f>
        <v>100</v>
      </c>
      <c r="I43" s="1903"/>
      <c r="J43" s="386">
        <f>SUMIF(124:124,I43,125:125)-SUMIF(124:124,C43,125:125)+100</f>
        <v>100</v>
      </c>
      <c r="K43" s="561"/>
      <c r="L43" s="2719"/>
      <c r="M43" s="2713"/>
      <c r="N43" s="2713"/>
      <c r="O43" s="2713"/>
      <c r="P43" s="3784"/>
      <c r="Q43" s="1349" t="str">
        <f t="shared" si="11"/>
        <v>内部装修维护情况</v>
      </c>
      <c r="R43" s="705" t="s">
        <v>14</v>
      </c>
      <c r="S43" s="706">
        <f t="shared" si="12"/>
        <v>100</v>
      </c>
      <c r="T43" s="705" t="s">
        <v>14</v>
      </c>
      <c r="U43" s="706">
        <f t="shared" si="13"/>
        <v>100</v>
      </c>
      <c r="V43" s="705" t="s">
        <v>14</v>
      </c>
      <c r="W43" s="706">
        <f t="shared" si="14"/>
        <v>100</v>
      </c>
      <c r="X43" s="1352"/>
      <c r="Y43" s="3786"/>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84"/>
      <c r="Q44" s="1340">
        <f t="shared" si="11"/>
        <v>111</v>
      </c>
      <c r="R44" s="701" t="s">
        <v>14</v>
      </c>
      <c r="S44" s="702">
        <f t="shared" si="12"/>
        <v>100</v>
      </c>
      <c r="T44" s="701" t="s">
        <v>14</v>
      </c>
      <c r="U44" s="702">
        <f t="shared" si="13"/>
        <v>100</v>
      </c>
      <c r="V44" s="701" t="s">
        <v>14</v>
      </c>
      <c r="W44" s="702">
        <f t="shared" si="14"/>
        <v>100</v>
      </c>
      <c r="X44" s="703"/>
      <c r="Y44" s="3786"/>
      <c r="Z44" s="52">
        <f t="shared" si="15"/>
        <v>111</v>
      </c>
      <c r="AA44" s="704">
        <f t="shared" si="3"/>
        <v>1</v>
      </c>
      <c r="AB44" s="704">
        <f t="shared" si="4"/>
        <v>1</v>
      </c>
      <c r="AC44" s="704">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84"/>
      <c r="Q45" s="1349">
        <f t="shared" si="11"/>
        <v>111</v>
      </c>
      <c r="R45" s="705" t="s">
        <v>14</v>
      </c>
      <c r="S45" s="706">
        <f t="shared" si="12"/>
        <v>100</v>
      </c>
      <c r="T45" s="705" t="s">
        <v>14</v>
      </c>
      <c r="U45" s="706">
        <f t="shared" si="13"/>
        <v>100</v>
      </c>
      <c r="V45" s="705" t="s">
        <v>14</v>
      </c>
      <c r="W45" s="706">
        <f t="shared" si="14"/>
        <v>100</v>
      </c>
      <c r="X45" s="1352"/>
      <c r="Y45" s="3786"/>
      <c r="Z45" s="1353">
        <f t="shared" si="15"/>
        <v>111</v>
      </c>
      <c r="AA45" s="1350">
        <f t="shared" si="3"/>
        <v>1</v>
      </c>
      <c r="AB45" s="1350">
        <f t="shared" si="4"/>
        <v>1</v>
      </c>
      <c r="AC45" s="1350">
        <f t="shared" si="5"/>
        <v>1</v>
      </c>
    </row>
    <row r="46" spans="1:29" ht="15.6"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85"/>
      <c r="Q46" s="1349">
        <f t="shared" si="11"/>
        <v>111</v>
      </c>
      <c r="R46" s="705" t="s">
        <v>14</v>
      </c>
      <c r="S46" s="706">
        <f t="shared" si="12"/>
        <v>100</v>
      </c>
      <c r="T46" s="705" t="s">
        <v>14</v>
      </c>
      <c r="U46" s="706">
        <f t="shared" si="13"/>
        <v>100</v>
      </c>
      <c r="V46" s="705" t="s">
        <v>14</v>
      </c>
      <c r="W46" s="706">
        <f t="shared" si="14"/>
        <v>100</v>
      </c>
      <c r="X46" s="1352"/>
      <c r="Y46" s="3787"/>
      <c r="Z46" s="1353">
        <f t="shared" si="15"/>
        <v>111</v>
      </c>
      <c r="AA46" s="1350">
        <f t="shared" si="3"/>
        <v>1</v>
      </c>
      <c r="AB46" s="1350">
        <f t="shared" si="4"/>
        <v>1</v>
      </c>
      <c r="AC46" s="1350">
        <f t="shared" si="5"/>
        <v>1</v>
      </c>
    </row>
    <row r="47" spans="1:29" ht="14.4">
      <c r="A47" s="430" t="s">
        <v>1706</v>
      </c>
      <c r="B47" s="431"/>
      <c r="C47" s="1151" t="s">
        <v>0</v>
      </c>
      <c r="D47" s="1152"/>
      <c r="E47" s="1153"/>
      <c r="F47" s="1154"/>
      <c r="G47" s="1155"/>
      <c r="H47" s="1156"/>
      <c r="I47" s="1153"/>
      <c r="J47" s="1156"/>
      <c r="K47" s="714"/>
      <c r="L47" s="2721"/>
      <c r="M47" s="2722"/>
      <c r="N47" s="2713"/>
      <c r="O47" s="2722"/>
      <c r="P47" s="3779" t="str">
        <f>A47</f>
        <v>成交单价（元/平方米）</v>
      </c>
      <c r="Q47" s="3779"/>
      <c r="R47" s="3810">
        <f>E47</f>
        <v>0</v>
      </c>
      <c r="S47" s="3810"/>
      <c r="T47" s="3810">
        <f>G47</f>
        <v>0</v>
      </c>
      <c r="U47" s="3810"/>
      <c r="V47" s="3810">
        <f>I47</f>
        <v>0</v>
      </c>
      <c r="W47" s="3810"/>
      <c r="X47" s="690"/>
      <c r="Y47" s="712"/>
      <c r="Z47" s="690"/>
      <c r="AA47" s="690"/>
      <c r="AB47" s="690"/>
      <c r="AC47" s="690"/>
    </row>
    <row r="48" spans="1:29" ht="15" thickBot="1">
      <c r="A48" s="437" t="s">
        <v>1791</v>
      </c>
      <c r="B48" s="438"/>
      <c r="C48" s="1157" t="e">
        <f>R49</f>
        <v>#DIV/0!</v>
      </c>
      <c r="D48" s="2314" t="s">
        <v>2135</v>
      </c>
      <c r="E48" s="1158" t="e">
        <f>R48</f>
        <v>#DIV/0!</v>
      </c>
      <c r="F48" s="2315"/>
      <c r="G48" s="1157" t="e">
        <f>T48</f>
        <v>#DIV/0!</v>
      </c>
      <c r="H48" s="2315"/>
      <c r="I48" s="1158" t="e">
        <f>V48</f>
        <v>#DIV/0!</v>
      </c>
      <c r="J48" s="2315"/>
      <c r="K48" s="2317">
        <f>F48+H48+J48</f>
        <v>0</v>
      </c>
      <c r="L48" s="2721"/>
      <c r="M48" s="2722"/>
      <c r="N48" s="2713"/>
      <c r="O48" s="2722"/>
      <c r="P48" s="3779" t="str">
        <f>A48</f>
        <v>比较价值（元/平方米）</v>
      </c>
      <c r="Q48" s="3779"/>
      <c r="R48" s="3780" t="e">
        <f>IF(F1="售价",ROUND(PRODUCT(R47,AA7:AA46),0),ROUND(PRODUCT(R47,AA7:AA46),1))</f>
        <v>#DIV/0!</v>
      </c>
      <c r="S48" s="3780"/>
      <c r="T48" s="3780" t="e">
        <f>IF(F1="售价",ROUND(PRODUCT(T47,AB7:AB46),0),ROUND(PRODUCT(T47,AB7:AB46),1))</f>
        <v>#DIV/0!</v>
      </c>
      <c r="U48" s="3780"/>
      <c r="V48" s="3780" t="e">
        <f>IF(F1="售价",ROUND(PRODUCT(V47,AC7:AC46),0),ROUND(PRODUCT(V47,AC7:AC46),1))</f>
        <v>#DIV/0!</v>
      </c>
      <c r="W48" s="3780"/>
      <c r="X48" s="690"/>
      <c r="Y48" s="690"/>
      <c r="Z48" s="690"/>
      <c r="AA48" s="690"/>
      <c r="AB48" s="690"/>
      <c r="AC48" s="690"/>
    </row>
    <row r="49" spans="1:29" ht="15" thickBot="1">
      <c r="A49" s="441" t="s">
        <v>1792</v>
      </c>
      <c r="B49" s="442"/>
      <c r="C49" s="1160" t="e">
        <f>R49</f>
        <v>#DIV/0!</v>
      </c>
      <c r="D49" s="1160"/>
      <c r="E49" s="1160"/>
      <c r="F49" s="1160"/>
      <c r="G49" s="1160"/>
      <c r="H49" s="1160"/>
      <c r="I49" s="1160"/>
      <c r="J49" s="1160"/>
      <c r="K49" s="715"/>
      <c r="L49" s="2721"/>
      <c r="M49" s="2722"/>
      <c r="N49" s="2713"/>
      <c r="O49" s="2722"/>
      <c r="P49" s="3776" t="str">
        <f>A49</f>
        <v>估价对象XX用房的比较价值（楼面单价，元/平方米）</v>
      </c>
      <c r="Q49" s="3777"/>
      <c r="R49" s="3778" t="e">
        <f>IF(F1="售价",ROUND(IF(D48="简单平均",AVERAGE(R48:V48),R48*F48+T48*H48+V48*J48),0),ROUND(IF(D48="简单平均",AVERAGE(R48:V48),R48*F48+T48*H48+V48*J48),1))</f>
        <v>#DIV/0!</v>
      </c>
      <c r="S49" s="3778"/>
      <c r="T49" s="3778"/>
      <c r="U49" s="3778"/>
      <c r="V49" s="3778"/>
      <c r="W49" s="3778"/>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1796</v>
      </c>
      <c r="B57" s="690"/>
      <c r="C57" s="695"/>
      <c r="D57" s="695"/>
      <c r="E57" s="695"/>
      <c r="F57" s="696"/>
      <c r="G57" s="696"/>
      <c r="H57" s="695"/>
      <c r="I57" s="695"/>
      <c r="J57" s="695"/>
      <c r="K57" s="697"/>
      <c r="L57" s="939"/>
      <c r="M57" s="937"/>
      <c r="N57" s="937"/>
      <c r="O57" s="937"/>
      <c r="P57" s="2735"/>
      <c r="Q57" s="2736"/>
      <c r="R57" s="2722"/>
      <c r="S57" s="2722"/>
      <c r="T57" s="2722"/>
      <c r="U57" s="2722"/>
      <c r="V57" s="2722"/>
      <c r="W57" s="2722"/>
      <c r="X57" s="2722"/>
      <c r="Y57" s="2722"/>
      <c r="Z57" s="2722"/>
      <c r="AA57" s="2722"/>
      <c r="AB57" s="2722"/>
      <c r="AC57" s="2722"/>
    </row>
    <row r="58" spans="1:29" s="457" customFormat="1" ht="14.4">
      <c r="A58" s="454" t="s">
        <v>1677</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1714</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1679</v>
      </c>
      <c r="B61" s="459"/>
      <c r="C61" s="471" t="s">
        <v>1774</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1717</v>
      </c>
      <c r="B63" s="477" t="s">
        <v>1683</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1686</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1688</v>
      </c>
      <c r="B76" s="477" t="s">
        <v>1718</v>
      </c>
      <c r="C76" s="522" t="s">
        <v>1719</v>
      </c>
      <c r="D76" s="522" t="s">
        <v>1720</v>
      </c>
      <c r="E76" s="522" t="s">
        <v>1721</v>
      </c>
      <c r="F76" s="522" t="s">
        <v>1722</v>
      </c>
      <c r="G76" s="522" t="s">
        <v>1723</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1724</v>
      </c>
      <c r="C78" s="527" t="s">
        <v>1719</v>
      </c>
      <c r="D78" s="527" t="s">
        <v>1720</v>
      </c>
      <c r="E78" s="527" t="s">
        <v>1721</v>
      </c>
      <c r="F78" s="527" t="s">
        <v>1722</v>
      </c>
      <c r="G78" s="527" t="s">
        <v>1723</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1725</v>
      </c>
      <c r="C80" s="527" t="s">
        <v>1719</v>
      </c>
      <c r="D80" s="527" t="s">
        <v>1720</v>
      </c>
      <c r="E80" s="527" t="s">
        <v>1721</v>
      </c>
      <c r="F80" s="527" t="s">
        <v>1722</v>
      </c>
      <c r="G80" s="527" t="s">
        <v>1723</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1777</v>
      </c>
      <c r="C82" s="608" t="s">
        <v>1797</v>
      </c>
      <c r="D82" s="608" t="s">
        <v>1798</v>
      </c>
      <c r="E82" s="608" t="s">
        <v>1799</v>
      </c>
      <c r="F82" s="608" t="s">
        <v>1800</v>
      </c>
      <c r="G82" s="608" t="s">
        <v>1801</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1731</v>
      </c>
      <c r="C84" s="527" t="s">
        <v>1719</v>
      </c>
      <c r="D84" s="527" t="s">
        <v>1720</v>
      </c>
      <c r="E84" s="527" t="s">
        <v>1721</v>
      </c>
      <c r="F84" s="527" t="s">
        <v>1722</v>
      </c>
      <c r="G84" s="527" t="s">
        <v>1723</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1802</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4"/>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1692</v>
      </c>
      <c r="B100" s="477" t="s">
        <v>1803</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1736</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1738</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1740</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1804</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1805</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1806</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1807</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1742</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1743</v>
      </c>
      <c r="C124" s="527" t="s">
        <v>1719</v>
      </c>
      <c r="D124" s="527" t="s">
        <v>1720</v>
      </c>
      <c r="E124" s="527" t="s">
        <v>1721</v>
      </c>
      <c r="F124" s="527" t="s">
        <v>1722</v>
      </c>
      <c r="G124" s="527" t="s">
        <v>1723</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1658</v>
      </c>
      <c r="B1" s="1954" t="s">
        <v>1808</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IF(E1="项目模式",IF(C2="——",ROUND(C50*D3/10000,0),ROUND(C50*D3/10000,0)-D2),IF(E1="单套模式",IF(C2="——",ROUND(C50*D3/10000,4),ROUND(C50*D3/10000,4)-D2)))</f>
        <v>0</v>
      </c>
      <c r="C2" s="1878"/>
      <c r="D2" s="1112" t="e">
        <f ca="1">IF(E1="项目模式",SUMIF(INDIRECT("'"&amp;F2&amp;"'"&amp;"!A:A"),"承租人权益价值",INDIRECT("'"&amp;F2&amp;"'"&amp;"!c:c")),SUMIF(INDIRECT("'"&amp;F2&amp;"'"&amp;"!A:A"),"承租人权益价值（单套）",INDIRECT("'"&amp;F2&amp;"'"&amp;"!c:c")))</f>
        <v>#REF!</v>
      </c>
      <c r="E2" s="1879" t="s">
        <v>1461</v>
      </c>
      <c r="F2" s="1880"/>
      <c r="G2" s="905"/>
      <c r="H2" s="905"/>
      <c r="I2" s="905"/>
      <c r="J2" s="905"/>
      <c r="K2" s="905"/>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0</v>
      </c>
      <c r="C3" s="354" t="s">
        <v>1766</v>
      </c>
      <c r="D3" s="353">
        <f>IF(D1="",'数据-汇总表'!E3,SUMIF('数据-汇总表'!$C19:$C33,D1,'数据-汇总表'!$E19:$E33))</f>
        <v>112144.47999999998</v>
      </c>
      <c r="E3" s="1951"/>
      <c r="F3" s="906"/>
      <c r="G3" s="905"/>
      <c r="H3" s="905"/>
      <c r="I3" s="905"/>
      <c r="J3" s="905"/>
      <c r="K3" s="907"/>
      <c r="L3" s="2731"/>
      <c r="M3" s="2732"/>
      <c r="N3" s="2732"/>
      <c r="O3" s="2732"/>
      <c r="P3" s="699"/>
      <c r="Q3" s="699"/>
      <c r="R3" s="699"/>
      <c r="S3" s="699"/>
      <c r="T3" s="699"/>
      <c r="U3" s="699"/>
      <c r="V3" s="699"/>
      <c r="W3" s="699"/>
      <c r="X3" s="699"/>
      <c r="Y3" s="699"/>
      <c r="Z3" s="699"/>
      <c r="AA3" s="699"/>
      <c r="AB3" s="699"/>
      <c r="AC3" s="700"/>
    </row>
    <row r="4" spans="1:29" ht="14.4">
      <c r="A4" s="355" t="s">
        <v>1767</v>
      </c>
      <c r="B4" s="356"/>
      <c r="C4" s="3794" t="s">
        <v>1768</v>
      </c>
      <c r="D4" s="3795"/>
      <c r="E4" s="3796" t="s">
        <v>1769</v>
      </c>
      <c r="F4" s="3797"/>
      <c r="G4" s="3794" t="s">
        <v>1770</v>
      </c>
      <c r="H4" s="3795"/>
      <c r="I4" s="3794" t="s">
        <v>1771</v>
      </c>
      <c r="J4" s="3795"/>
      <c r="K4" s="559" t="s">
        <v>1772</v>
      </c>
      <c r="L4" s="2712"/>
      <c r="M4" s="2713"/>
      <c r="N4" s="2713"/>
      <c r="O4" s="2713"/>
      <c r="P4" s="3828" t="s">
        <v>1773</v>
      </c>
      <c r="Q4" s="3829"/>
      <c r="R4" s="3832" t="s">
        <v>1769</v>
      </c>
      <c r="S4" s="3833"/>
      <c r="T4" s="3832" t="s">
        <v>1770</v>
      </c>
      <c r="U4" s="3833"/>
      <c r="V4" s="3834" t="s">
        <v>1771</v>
      </c>
      <c r="W4" s="3834"/>
      <c r="X4" s="1955"/>
      <c r="Y4" s="3832" t="s">
        <v>1773</v>
      </c>
      <c r="Z4" s="3833"/>
      <c r="AA4" s="3836" t="s">
        <v>1769</v>
      </c>
      <c r="AB4" s="3836" t="s">
        <v>1770</v>
      </c>
      <c r="AC4" s="3825" t="s">
        <v>1771</v>
      </c>
    </row>
    <row r="5" spans="1:29">
      <c r="A5" s="358"/>
      <c r="B5" s="359"/>
      <c r="C5" s="3813" t="s">
        <v>1671</v>
      </c>
      <c r="D5" s="3814"/>
      <c r="E5" s="3820" t="s">
        <v>1672</v>
      </c>
      <c r="F5" s="3821"/>
      <c r="G5" s="3813" t="s">
        <v>1673</v>
      </c>
      <c r="H5" s="3814"/>
      <c r="I5" s="3813" t="s">
        <v>1674</v>
      </c>
      <c r="J5" s="3814"/>
      <c r="K5" s="559"/>
      <c r="L5" s="2712"/>
      <c r="M5" s="2713"/>
      <c r="N5" s="2713"/>
      <c r="O5" s="2713"/>
      <c r="P5" s="3830"/>
      <c r="Q5" s="3801"/>
      <c r="R5" s="3806"/>
      <c r="S5" s="3807"/>
      <c r="T5" s="3806"/>
      <c r="U5" s="3807"/>
      <c r="V5" s="3810"/>
      <c r="W5" s="3810"/>
      <c r="X5" s="1352"/>
      <c r="Y5" s="3806"/>
      <c r="Z5" s="3807"/>
      <c r="AA5" s="3792"/>
      <c r="AB5" s="3792"/>
      <c r="AC5" s="3826"/>
    </row>
    <row r="6" spans="1:29" ht="15" thickBot="1">
      <c r="A6" s="360"/>
      <c r="B6" s="361"/>
      <c r="C6" s="3811" t="s">
        <v>1675</v>
      </c>
      <c r="D6" s="3812"/>
      <c r="E6" s="3818" t="s">
        <v>1675</v>
      </c>
      <c r="F6" s="3819"/>
      <c r="G6" s="3811" t="s">
        <v>1675</v>
      </c>
      <c r="H6" s="3812"/>
      <c r="I6" s="3811" t="s">
        <v>1675</v>
      </c>
      <c r="J6" s="3812"/>
      <c r="K6" s="559" t="s">
        <v>1676</v>
      </c>
      <c r="L6" s="2712"/>
      <c r="M6" s="2713"/>
      <c r="N6" s="2713"/>
      <c r="O6" s="2713"/>
      <c r="P6" s="3831"/>
      <c r="Q6" s="3803"/>
      <c r="R6" s="3806"/>
      <c r="S6" s="3807"/>
      <c r="T6" s="3808"/>
      <c r="U6" s="3809"/>
      <c r="V6" s="3810"/>
      <c r="W6" s="3810"/>
      <c r="X6" s="1352"/>
      <c r="Y6" s="3808"/>
      <c r="Z6" s="3809"/>
      <c r="AA6" s="3793"/>
      <c r="AB6" s="3793"/>
      <c r="AC6" s="3827"/>
    </row>
    <row r="7" spans="1:29" s="108" customFormat="1" ht="15" thickBot="1">
      <c r="A7" s="362" t="s">
        <v>1677</v>
      </c>
      <c r="B7" s="363"/>
      <c r="C7" s="364">
        <f>'数据-取费表'!B2</f>
        <v>45295</v>
      </c>
      <c r="D7" s="365">
        <v>100</v>
      </c>
      <c r="E7" s="366"/>
      <c r="F7" s="367">
        <f>SUMIF(59:59,YEAR(E7)&amp;"-"&amp;MONTH(E7),60:60)</f>
        <v>0</v>
      </c>
      <c r="G7" s="366"/>
      <c r="H7" s="365">
        <f>SUMIF(59:59,YEAR(G7)&amp;"-"&amp;MONTH(G7),60:60)</f>
        <v>0</v>
      </c>
      <c r="I7" s="366"/>
      <c r="J7" s="365">
        <f>SUMIF(59:59,YEAR(I7)&amp;"-"&amp;MONTH(I7),60:60)</f>
        <v>0</v>
      </c>
      <c r="K7" s="560"/>
      <c r="L7" s="2714"/>
      <c r="M7" s="2715"/>
      <c r="N7" s="2715"/>
      <c r="O7" s="2715"/>
      <c r="P7" s="3835" t="s">
        <v>1678</v>
      </c>
      <c r="Q7" s="3817"/>
      <c r="R7" s="701" t="s">
        <v>14</v>
      </c>
      <c r="S7" s="702">
        <f t="shared" ref="S7:S15" si="0">F7</f>
        <v>0</v>
      </c>
      <c r="T7" s="701" t="s">
        <v>14</v>
      </c>
      <c r="U7" s="702">
        <f t="shared" ref="U7:U15" si="1">H7</f>
        <v>0</v>
      </c>
      <c r="V7" s="701" t="s">
        <v>14</v>
      </c>
      <c r="W7" s="702">
        <f t="shared" ref="W7:W15" si="2">J7</f>
        <v>0</v>
      </c>
      <c r="X7" s="703"/>
      <c r="Y7" s="3815" t="s">
        <v>1678</v>
      </c>
      <c r="Z7" s="3816"/>
      <c r="AA7" s="704" t="e">
        <f>D7/F7</f>
        <v>#DIV/0!</v>
      </c>
      <c r="AB7" s="704" t="e">
        <f>D7/H7</f>
        <v>#DIV/0!</v>
      </c>
      <c r="AC7" s="1956" t="e">
        <f>D7/J7</f>
        <v>#DIV/0!</v>
      </c>
    </row>
    <row r="8" spans="1:29" s="108" customFormat="1" ht="1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835" t="s">
        <v>1681</v>
      </c>
      <c r="Q8" s="3816"/>
      <c r="R8" s="701" t="s">
        <v>14</v>
      </c>
      <c r="S8" s="702">
        <f t="shared" si="0"/>
        <v>100</v>
      </c>
      <c r="T8" s="701" t="s">
        <v>14</v>
      </c>
      <c r="U8" s="702">
        <f t="shared" si="1"/>
        <v>100</v>
      </c>
      <c r="V8" s="701" t="s">
        <v>14</v>
      </c>
      <c r="W8" s="702">
        <f t="shared" si="2"/>
        <v>100</v>
      </c>
      <c r="X8" s="703"/>
      <c r="Y8" s="3815" t="s">
        <v>1681</v>
      </c>
      <c r="Z8" s="3816"/>
      <c r="AA8" s="704">
        <f t="shared" ref="AA8:AA47" si="3">D8/F8</f>
        <v>1</v>
      </c>
      <c r="AB8" s="704">
        <f t="shared" ref="AB8:AB47" si="4">D8/H8</f>
        <v>1</v>
      </c>
      <c r="AC8" s="1956">
        <f t="shared" ref="AC8:AC47" si="5">D8/J8</f>
        <v>1</v>
      </c>
    </row>
    <row r="9" spans="1:29" s="108" customFormat="1" ht="14.4">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90"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1956">
        <f t="shared" si="5"/>
        <v>1</v>
      </c>
    </row>
    <row r="10" spans="1:29" s="378" customFormat="1" ht="28.8">
      <c r="A10" s="374"/>
      <c r="B10" s="375" t="s">
        <v>1686</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90"/>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1956">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90"/>
      <c r="Q11" s="1340"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1956">
        <f t="shared" si="5"/>
        <v>1</v>
      </c>
    </row>
    <row r="12" spans="1:29" s="108" customFormat="1" ht="15">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790"/>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1956">
        <f>D12/J12</f>
        <v>1</v>
      </c>
    </row>
    <row r="13" spans="1:29" ht="15">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790"/>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1956">
        <f t="shared" si="5"/>
        <v>1</v>
      </c>
    </row>
    <row r="14" spans="1:29" ht="15.6"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790"/>
      <c r="Q14" s="1340">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1956">
        <f t="shared" si="5"/>
        <v>1</v>
      </c>
    </row>
    <row r="15" spans="1:29" ht="69">
      <c r="A15" s="391" t="s">
        <v>1688</v>
      </c>
      <c r="B15" s="577" t="s">
        <v>1809</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88" t="s">
        <v>1689</v>
      </c>
      <c r="Q15" s="1349" t="str">
        <f t="shared" si="6"/>
        <v>办公集聚程度</v>
      </c>
      <c r="R15" s="705" t="s">
        <v>14</v>
      </c>
      <c r="S15" s="706">
        <f t="shared" si="0"/>
        <v>100</v>
      </c>
      <c r="T15" s="705" t="s">
        <v>14</v>
      </c>
      <c r="U15" s="706">
        <f t="shared" si="1"/>
        <v>100</v>
      </c>
      <c r="V15" s="705" t="s">
        <v>14</v>
      </c>
      <c r="W15" s="706">
        <f t="shared" si="2"/>
        <v>100</v>
      </c>
      <c r="X15" s="1352"/>
      <c r="Y15" s="3781" t="s">
        <v>1689</v>
      </c>
      <c r="Z15" s="1353" t="str">
        <f t="shared" si="7"/>
        <v>办公集聚程度</v>
      </c>
      <c r="AA15" s="1350">
        <f t="shared" si="3"/>
        <v>1</v>
      </c>
      <c r="AB15" s="1350">
        <f t="shared" si="4"/>
        <v>1</v>
      </c>
      <c r="AC15" s="1959">
        <f t="shared" si="5"/>
        <v>1</v>
      </c>
    </row>
    <row r="16" spans="1:29" ht="15">
      <c r="A16" s="379"/>
      <c r="B16" s="578"/>
      <c r="C16" s="1901"/>
      <c r="D16" s="399"/>
      <c r="E16" s="398"/>
      <c r="F16" s="399"/>
      <c r="G16" s="1901"/>
      <c r="H16" s="401"/>
      <c r="I16" s="398"/>
      <c r="J16" s="399"/>
      <c r="K16" s="564"/>
      <c r="L16" s="2719"/>
      <c r="M16" s="2713"/>
      <c r="N16" s="2713"/>
      <c r="O16" s="2713"/>
      <c r="P16" s="3789"/>
      <c r="Q16" s="1349"/>
      <c r="R16" s="705"/>
      <c r="S16" s="706"/>
      <c r="T16" s="705"/>
      <c r="U16" s="706"/>
      <c r="V16" s="705"/>
      <c r="W16" s="706"/>
      <c r="X16" s="1352"/>
      <c r="Y16" s="3782"/>
      <c r="Z16" s="1353"/>
      <c r="AA16" s="1350">
        <v>1</v>
      </c>
      <c r="AB16" s="1350">
        <v>1</v>
      </c>
      <c r="AC16" s="1959">
        <v>1</v>
      </c>
    </row>
    <row r="17" spans="1:29" ht="82.8">
      <c r="A17" s="379"/>
      <c r="B17" s="579" t="s">
        <v>1257</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89"/>
      <c r="Q17" s="1349" t="str">
        <f>B17</f>
        <v>交通便捷度</v>
      </c>
      <c r="R17" s="705" t="s">
        <v>14</v>
      </c>
      <c r="S17" s="706">
        <f>F17</f>
        <v>100</v>
      </c>
      <c r="T17" s="705" t="s">
        <v>14</v>
      </c>
      <c r="U17" s="706">
        <f>H17</f>
        <v>100</v>
      </c>
      <c r="V17" s="705" t="s">
        <v>14</v>
      </c>
      <c r="W17" s="706">
        <f>J17</f>
        <v>100</v>
      </c>
      <c r="X17" s="1352"/>
      <c r="Y17" s="3782"/>
      <c r="Z17" s="1353" t="str">
        <f>Q17</f>
        <v>交通便捷度</v>
      </c>
      <c r="AA17" s="1350">
        <f t="shared" si="3"/>
        <v>1</v>
      </c>
      <c r="AB17" s="1350">
        <f t="shared" si="4"/>
        <v>1</v>
      </c>
      <c r="AC17" s="1959">
        <f t="shared" si="5"/>
        <v>1</v>
      </c>
    </row>
    <row r="18" spans="1:29" ht="15">
      <c r="A18" s="379"/>
      <c r="B18" s="580"/>
      <c r="C18" s="1961"/>
      <c r="D18" s="401"/>
      <c r="E18" s="1899"/>
      <c r="F18" s="401"/>
      <c r="G18" s="1900"/>
      <c r="H18" s="399"/>
      <c r="I18" s="1900"/>
      <c r="J18" s="399"/>
      <c r="K18" s="564"/>
      <c r="L18" s="2719"/>
      <c r="M18" s="2713"/>
      <c r="N18" s="2713"/>
      <c r="O18" s="2713"/>
      <c r="P18" s="3789"/>
      <c r="Q18" s="1349"/>
      <c r="R18" s="705"/>
      <c r="S18" s="706"/>
      <c r="T18" s="705"/>
      <c r="U18" s="706"/>
      <c r="V18" s="705"/>
      <c r="W18" s="706"/>
      <c r="X18" s="1352"/>
      <c r="Y18" s="3782"/>
      <c r="Z18" s="1353"/>
      <c r="AA18" s="1350">
        <v>1</v>
      </c>
      <c r="AB18" s="1350">
        <v>1</v>
      </c>
      <c r="AC18" s="1959">
        <v>1</v>
      </c>
    </row>
    <row r="19" spans="1:29" ht="41.4">
      <c r="A19" s="379"/>
      <c r="B19" s="579" t="s">
        <v>1810</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89"/>
      <c r="Q19" s="1349" t="str">
        <f>B19</f>
        <v>公共配套设施</v>
      </c>
      <c r="R19" s="705" t="s">
        <v>14</v>
      </c>
      <c r="S19" s="706">
        <f>F19</f>
        <v>100</v>
      </c>
      <c r="T19" s="705" t="s">
        <v>14</v>
      </c>
      <c r="U19" s="706">
        <f>H19</f>
        <v>100</v>
      </c>
      <c r="V19" s="705" t="s">
        <v>14</v>
      </c>
      <c r="W19" s="706">
        <f>J19</f>
        <v>100</v>
      </c>
      <c r="X19" s="1352"/>
      <c r="Y19" s="3782"/>
      <c r="Z19" s="1353" t="str">
        <f>Q19</f>
        <v>公共配套设施</v>
      </c>
      <c r="AA19" s="1350">
        <f t="shared" si="3"/>
        <v>1</v>
      </c>
      <c r="AB19" s="1350">
        <f t="shared" si="4"/>
        <v>1</v>
      </c>
      <c r="AC19" s="1959">
        <f t="shared" si="5"/>
        <v>1</v>
      </c>
    </row>
    <row r="20" spans="1:29" ht="15">
      <c r="A20" s="379"/>
      <c r="B20" s="580"/>
      <c r="C20" s="1901"/>
      <c r="D20" s="399"/>
      <c r="E20" s="1894"/>
      <c r="F20" s="399"/>
      <c r="G20" s="1895"/>
      <c r="H20" s="399"/>
      <c r="I20" s="1895"/>
      <c r="J20" s="399"/>
      <c r="K20" s="564"/>
      <c r="L20" s="2719"/>
      <c r="M20" s="2713"/>
      <c r="N20" s="2713"/>
      <c r="O20" s="2713"/>
      <c r="P20" s="3789"/>
      <c r="Q20" s="1349"/>
      <c r="R20" s="705"/>
      <c r="S20" s="706"/>
      <c r="T20" s="705"/>
      <c r="U20" s="706"/>
      <c r="V20" s="705"/>
      <c r="W20" s="706"/>
      <c r="X20" s="1352"/>
      <c r="Y20" s="3782"/>
      <c r="Z20" s="1353"/>
      <c r="AA20" s="1350">
        <v>1</v>
      </c>
      <c r="AB20" s="1350">
        <v>1</v>
      </c>
      <c r="AC20" s="1959">
        <v>1</v>
      </c>
    </row>
    <row r="21" spans="1:29" ht="27.6">
      <c r="A21" s="379"/>
      <c r="B21" s="581" t="s">
        <v>1811</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89"/>
      <c r="Q21" s="1349" t="str">
        <f>B21</f>
        <v>基础设施水平</v>
      </c>
      <c r="R21" s="705" t="s">
        <v>14</v>
      </c>
      <c r="S21" s="706">
        <f>F21</f>
        <v>100</v>
      </c>
      <c r="T21" s="705" t="s">
        <v>14</v>
      </c>
      <c r="U21" s="706">
        <f>H21</f>
        <v>100</v>
      </c>
      <c r="V21" s="705" t="s">
        <v>14</v>
      </c>
      <c r="W21" s="706">
        <f>J21</f>
        <v>100</v>
      </c>
      <c r="X21" s="1352"/>
      <c r="Y21" s="3782"/>
      <c r="Z21" s="1353" t="str">
        <f>Q21</f>
        <v>基础设施水平</v>
      </c>
      <c r="AA21" s="1350">
        <f t="shared" ref="AA21" si="8">D21/F21</f>
        <v>1</v>
      </c>
      <c r="AB21" s="1350">
        <f t="shared" ref="AB21" si="9">D21/H21</f>
        <v>1</v>
      </c>
      <c r="AC21" s="1959">
        <f t="shared" ref="AC21" si="10">D21/J21</f>
        <v>1</v>
      </c>
    </row>
    <row r="22" spans="1:29" ht="15">
      <c r="A22" s="379"/>
      <c r="B22" s="581"/>
      <c r="C22" s="1961"/>
      <c r="D22" s="399"/>
      <c r="E22" s="398"/>
      <c r="F22" s="399"/>
      <c r="G22" s="1901"/>
      <c r="H22" s="399"/>
      <c r="I22" s="1901"/>
      <c r="J22" s="399"/>
      <c r="K22" s="1127"/>
      <c r="L22" s="2719"/>
      <c r="M22" s="2713"/>
      <c r="N22" s="2713"/>
      <c r="O22" s="2713"/>
      <c r="P22" s="3789"/>
      <c r="Q22" s="1349"/>
      <c r="R22" s="705"/>
      <c r="S22" s="706"/>
      <c r="T22" s="705"/>
      <c r="U22" s="706"/>
      <c r="V22" s="705"/>
      <c r="W22" s="706"/>
      <c r="X22" s="1352"/>
      <c r="Y22" s="3782"/>
      <c r="Z22" s="1353"/>
      <c r="AA22" s="1350">
        <v>1</v>
      </c>
      <c r="AB22" s="1350">
        <v>1</v>
      </c>
      <c r="AC22" s="1959">
        <v>1</v>
      </c>
    </row>
    <row r="23" spans="1:29" ht="55.2">
      <c r="A23" s="379"/>
      <c r="B23" s="579" t="s">
        <v>1812</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89"/>
      <c r="Q23" s="1349" t="str">
        <f>B23</f>
        <v>环境质量</v>
      </c>
      <c r="R23" s="705" t="s">
        <v>14</v>
      </c>
      <c r="S23" s="706">
        <f>F23</f>
        <v>100</v>
      </c>
      <c r="T23" s="705" t="s">
        <v>14</v>
      </c>
      <c r="U23" s="706">
        <f>H23</f>
        <v>100</v>
      </c>
      <c r="V23" s="705" t="s">
        <v>14</v>
      </c>
      <c r="W23" s="706">
        <f>J23</f>
        <v>100</v>
      </c>
      <c r="X23" s="1352"/>
      <c r="Y23" s="3782"/>
      <c r="Z23" s="1353" t="str">
        <f>Q23</f>
        <v>环境质量</v>
      </c>
      <c r="AA23" s="1350">
        <f t="shared" si="3"/>
        <v>1</v>
      </c>
      <c r="AB23" s="1350">
        <f t="shared" si="4"/>
        <v>1</v>
      </c>
      <c r="AC23" s="1959">
        <f t="shared" si="5"/>
        <v>1</v>
      </c>
    </row>
    <row r="24" spans="1:29" ht="15">
      <c r="A24" s="379"/>
      <c r="B24" s="581"/>
      <c r="C24" s="1901"/>
      <c r="D24" s="399"/>
      <c r="E24" s="1894"/>
      <c r="F24" s="399"/>
      <c r="G24" s="1895"/>
      <c r="H24" s="399"/>
      <c r="I24" s="1895"/>
      <c r="J24" s="399"/>
      <c r="K24" s="564"/>
      <c r="L24" s="2719"/>
      <c r="M24" s="2713"/>
      <c r="N24" s="2713"/>
      <c r="O24" s="2713"/>
      <c r="P24" s="3789"/>
      <c r="Q24" s="1349"/>
      <c r="R24" s="705"/>
      <c r="S24" s="706"/>
      <c r="T24" s="705"/>
      <c r="U24" s="706"/>
      <c r="V24" s="705"/>
      <c r="W24" s="706"/>
      <c r="X24" s="1352"/>
      <c r="Y24" s="3782"/>
      <c r="Z24" s="1353"/>
      <c r="AA24" s="1350">
        <v>1</v>
      </c>
      <c r="AB24" s="1350">
        <v>1</v>
      </c>
      <c r="AC24" s="1959">
        <v>1</v>
      </c>
    </row>
    <row r="25" spans="1:29" ht="28.8">
      <c r="A25" s="358"/>
      <c r="B25" s="579" t="s">
        <v>1813</v>
      </c>
      <c r="C25" s="1905"/>
      <c r="D25" s="386">
        <v>100</v>
      </c>
      <c r="E25" s="385"/>
      <c r="F25" s="386">
        <f>SUMIF(87:87,E26,88:88)-SUMIF(87:87,C26,88:88)+100</f>
        <v>100</v>
      </c>
      <c r="G25" s="1905"/>
      <c r="H25" s="386">
        <f>SUMIF(87:87,G26,88:88)-SUMIF(87:87,C26,88:88)+100</f>
        <v>100</v>
      </c>
      <c r="I25" s="385"/>
      <c r="J25" s="386">
        <f>SUMIF(87:87,I26,88:88)-SUMIF(87:87,C26,88:88)+100</f>
        <v>100</v>
      </c>
      <c r="K25" s="563"/>
      <c r="L25" s="2719"/>
      <c r="M25" s="2713"/>
      <c r="N25" s="2713"/>
      <c r="O25" s="2713"/>
      <c r="P25" s="3789"/>
      <c r="Q25" s="1349" t="str">
        <f>B25</f>
        <v>毗邻道路的类型与等级</v>
      </c>
      <c r="R25" s="705" t="s">
        <v>14</v>
      </c>
      <c r="S25" s="706">
        <f>F25</f>
        <v>100</v>
      </c>
      <c r="T25" s="705" t="s">
        <v>14</v>
      </c>
      <c r="U25" s="706">
        <f>H25</f>
        <v>100</v>
      </c>
      <c r="V25" s="705" t="s">
        <v>14</v>
      </c>
      <c r="W25" s="706">
        <f>J25</f>
        <v>100</v>
      </c>
      <c r="X25" s="1352"/>
      <c r="Y25" s="3782"/>
      <c r="Z25" s="1353" t="str">
        <f>Q25</f>
        <v>毗邻道路的类型与等级</v>
      </c>
      <c r="AA25" s="1350">
        <f t="shared" si="3"/>
        <v>1</v>
      </c>
      <c r="AB25" s="1350">
        <f t="shared" si="4"/>
        <v>1</v>
      </c>
      <c r="AC25" s="1959">
        <f t="shared" si="5"/>
        <v>1</v>
      </c>
    </row>
    <row r="26" spans="1:29" ht="15">
      <c r="A26" s="358"/>
      <c r="B26" s="580"/>
      <c r="C26" s="582"/>
      <c r="D26" s="386"/>
      <c r="E26" s="565"/>
      <c r="F26" s="386"/>
      <c r="G26" s="582"/>
      <c r="H26" s="386"/>
      <c r="I26" s="565"/>
      <c r="J26" s="386"/>
      <c r="K26" s="564"/>
      <c r="L26" s="2719"/>
      <c r="M26" s="2713"/>
      <c r="N26" s="2713"/>
      <c r="O26" s="2713"/>
      <c r="P26" s="3789"/>
      <c r="Q26" s="1349"/>
      <c r="R26" s="705"/>
      <c r="S26" s="706"/>
      <c r="T26" s="705"/>
      <c r="U26" s="706"/>
      <c r="V26" s="705"/>
      <c r="W26" s="706"/>
      <c r="X26" s="1352"/>
      <c r="Y26" s="3782"/>
      <c r="Z26" s="1353"/>
      <c r="AA26" s="1350">
        <v>1</v>
      </c>
      <c r="AB26" s="1350">
        <v>1</v>
      </c>
      <c r="AC26" s="1959">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89"/>
      <c r="Q27" s="1349" t="str">
        <f t="shared" ref="Q27:Q47" si="11">B27</f>
        <v>楼层</v>
      </c>
      <c r="R27" s="705" t="s">
        <v>14</v>
      </c>
      <c r="S27" s="706">
        <f>F27</f>
        <v>100</v>
      </c>
      <c r="T27" s="705" t="s">
        <v>14</v>
      </c>
      <c r="U27" s="706">
        <f>H27</f>
        <v>100</v>
      </c>
      <c r="V27" s="705" t="s">
        <v>14</v>
      </c>
      <c r="W27" s="706">
        <f>J27</f>
        <v>100</v>
      </c>
      <c r="X27" s="1352"/>
      <c r="Y27" s="3782"/>
      <c r="Z27" s="1353" t="str">
        <f>Q27</f>
        <v>楼层</v>
      </c>
      <c r="AA27" s="1350">
        <f t="shared" si="3"/>
        <v>1</v>
      </c>
      <c r="AB27" s="1350">
        <f t="shared" si="4"/>
        <v>1</v>
      </c>
      <c r="AC27" s="1959">
        <f t="shared" si="5"/>
        <v>1</v>
      </c>
    </row>
    <row r="28" spans="1:29" s="108" customFormat="1" ht="15">
      <c r="A28" s="382"/>
      <c r="B28" s="579" t="s">
        <v>1814</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789"/>
      <c r="Q28" s="1340" t="str">
        <f t="shared" si="11"/>
        <v>朝向</v>
      </c>
      <c r="R28" s="701" t="s">
        <v>14</v>
      </c>
      <c r="S28" s="702">
        <f>F28</f>
        <v>100</v>
      </c>
      <c r="T28" s="701" t="s">
        <v>14</v>
      </c>
      <c r="U28" s="702">
        <f>H28</f>
        <v>100</v>
      </c>
      <c r="V28" s="701" t="s">
        <v>14</v>
      </c>
      <c r="W28" s="702">
        <f>J28</f>
        <v>100</v>
      </c>
      <c r="X28" s="703"/>
      <c r="Y28" s="3782"/>
      <c r="Z28" s="52" t="str">
        <f>Q28</f>
        <v>朝向</v>
      </c>
      <c r="AA28" s="1350">
        <f>D28/F28</f>
        <v>1</v>
      </c>
      <c r="AB28" s="1350">
        <f>D28/H28</f>
        <v>1</v>
      </c>
      <c r="AC28" s="1959">
        <f>D28/J28</f>
        <v>1</v>
      </c>
    </row>
    <row r="29" spans="1:29" ht="15">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789"/>
      <c r="Q29" s="1349">
        <f t="shared" si="11"/>
        <v>111</v>
      </c>
      <c r="R29" s="705" t="s">
        <v>14</v>
      </c>
      <c r="S29" s="706">
        <f t="shared" ref="S29:S47" si="12">F29</f>
        <v>100</v>
      </c>
      <c r="T29" s="705" t="s">
        <v>14</v>
      </c>
      <c r="U29" s="706">
        <f t="shared" ref="U29:U47" si="13">H29</f>
        <v>100</v>
      </c>
      <c r="V29" s="705" t="s">
        <v>14</v>
      </c>
      <c r="W29" s="706">
        <f t="shared" ref="W29:W47" si="14">J29</f>
        <v>100</v>
      </c>
      <c r="X29" s="1352"/>
      <c r="Y29" s="3782"/>
      <c r="Z29" s="1353">
        <f t="shared" ref="Z29:Z47" si="15">Q29</f>
        <v>111</v>
      </c>
      <c r="AA29" s="1350">
        <f t="shared" si="3"/>
        <v>1</v>
      </c>
      <c r="AB29" s="1350">
        <f t="shared" si="4"/>
        <v>1</v>
      </c>
      <c r="AC29" s="1959">
        <f t="shared" si="5"/>
        <v>1</v>
      </c>
    </row>
    <row r="30" spans="1:29" ht="15">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789"/>
      <c r="Q30" s="1349">
        <f t="shared" si="11"/>
        <v>111</v>
      </c>
      <c r="R30" s="705" t="s">
        <v>14</v>
      </c>
      <c r="S30" s="706">
        <f t="shared" si="12"/>
        <v>100</v>
      </c>
      <c r="T30" s="705" t="s">
        <v>14</v>
      </c>
      <c r="U30" s="706">
        <f t="shared" si="13"/>
        <v>100</v>
      </c>
      <c r="V30" s="705" t="s">
        <v>14</v>
      </c>
      <c r="W30" s="706">
        <f t="shared" si="14"/>
        <v>100</v>
      </c>
      <c r="X30" s="1352"/>
      <c r="Y30" s="3782"/>
      <c r="Z30" s="1353">
        <f t="shared" si="15"/>
        <v>111</v>
      </c>
      <c r="AA30" s="1350">
        <f t="shared" si="3"/>
        <v>1</v>
      </c>
      <c r="AB30" s="1350">
        <f t="shared" si="4"/>
        <v>1</v>
      </c>
      <c r="AC30" s="1959">
        <f t="shared" si="5"/>
        <v>1</v>
      </c>
    </row>
    <row r="31" spans="1:29" ht="15">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789"/>
      <c r="Q31" s="1349">
        <f t="shared" si="11"/>
        <v>111</v>
      </c>
      <c r="R31" s="705" t="s">
        <v>14</v>
      </c>
      <c r="S31" s="706">
        <f t="shared" si="12"/>
        <v>100</v>
      </c>
      <c r="T31" s="705" t="s">
        <v>14</v>
      </c>
      <c r="U31" s="706">
        <f t="shared" si="13"/>
        <v>100</v>
      </c>
      <c r="V31" s="705" t="s">
        <v>14</v>
      </c>
      <c r="W31" s="706">
        <f t="shared" si="14"/>
        <v>100</v>
      </c>
      <c r="X31" s="1352"/>
      <c r="Y31" s="3782"/>
      <c r="Z31" s="1353">
        <f t="shared" si="15"/>
        <v>111</v>
      </c>
      <c r="AA31" s="1350">
        <f t="shared" si="3"/>
        <v>1</v>
      </c>
      <c r="AB31" s="1350">
        <f t="shared" si="4"/>
        <v>1</v>
      </c>
      <c r="AC31" s="1959">
        <f t="shared" si="5"/>
        <v>1</v>
      </c>
    </row>
    <row r="32" spans="1:29" ht="15.6"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789"/>
      <c r="Q32" s="1349">
        <f t="shared" si="11"/>
        <v>111</v>
      </c>
      <c r="R32" s="705" t="s">
        <v>14</v>
      </c>
      <c r="S32" s="706">
        <f t="shared" si="12"/>
        <v>100</v>
      </c>
      <c r="T32" s="705" t="s">
        <v>14</v>
      </c>
      <c r="U32" s="706">
        <f t="shared" si="13"/>
        <v>100</v>
      </c>
      <c r="V32" s="705" t="s">
        <v>14</v>
      </c>
      <c r="W32" s="706">
        <f t="shared" si="14"/>
        <v>100</v>
      </c>
      <c r="X32" s="1352"/>
      <c r="Y32" s="3782"/>
      <c r="Z32" s="1353">
        <f t="shared" si="15"/>
        <v>111</v>
      </c>
      <c r="AA32" s="1350">
        <f t="shared" si="3"/>
        <v>1</v>
      </c>
      <c r="AB32" s="1350">
        <f t="shared" si="4"/>
        <v>1</v>
      </c>
      <c r="AC32" s="1959">
        <f t="shared" si="5"/>
        <v>1</v>
      </c>
    </row>
    <row r="33" spans="1:29" ht="15">
      <c r="A33" s="391" t="s">
        <v>1692</v>
      </c>
      <c r="B33" s="63" t="s">
        <v>1815</v>
      </c>
      <c r="C33" s="1964"/>
      <c r="D33" s="418">
        <v>100</v>
      </c>
      <c r="E33" s="1964"/>
      <c r="F33" s="412">
        <f>SUMIF(101:101,E33,102:102)-SUMIF(101:101,C33,102:102)+100</f>
        <v>100</v>
      </c>
      <c r="G33" s="1964"/>
      <c r="H33" s="386">
        <f>SUMIF(101:101,G33,102:102)-SUMIF(101:101,C33,102:102)+100</f>
        <v>100</v>
      </c>
      <c r="I33" s="1964"/>
      <c r="J33" s="418">
        <f>SUMIF(101:101,I33,102:102)-SUMIF(101:101,C33,102:102)+100</f>
        <v>100</v>
      </c>
      <c r="K33" s="561"/>
      <c r="L33" s="2719"/>
      <c r="M33" s="2713"/>
      <c r="N33" s="2713"/>
      <c r="O33" s="2713"/>
      <c r="P33" s="3783" t="s">
        <v>1694</v>
      </c>
      <c r="Q33" s="1349" t="str">
        <f t="shared" si="11"/>
        <v>建筑类型</v>
      </c>
      <c r="R33" s="705" t="s">
        <v>14</v>
      </c>
      <c r="S33" s="706">
        <f t="shared" si="12"/>
        <v>100</v>
      </c>
      <c r="T33" s="705" t="s">
        <v>14</v>
      </c>
      <c r="U33" s="706">
        <f t="shared" si="13"/>
        <v>100</v>
      </c>
      <c r="V33" s="705" t="s">
        <v>14</v>
      </c>
      <c r="W33" s="706">
        <f t="shared" si="14"/>
        <v>100</v>
      </c>
      <c r="X33" s="1352"/>
      <c r="Y33" s="3786" t="s">
        <v>1694</v>
      </c>
      <c r="Z33" s="1353" t="str">
        <f t="shared" si="15"/>
        <v>建筑类型</v>
      </c>
      <c r="AA33" s="1350">
        <f t="shared" si="3"/>
        <v>1</v>
      </c>
      <c r="AB33" s="1350">
        <f t="shared" si="4"/>
        <v>1</v>
      </c>
      <c r="AC33" s="1959">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84"/>
      <c r="Q34" s="707" t="str">
        <f t="shared" si="11"/>
        <v>项目建筑规模</v>
      </c>
      <c r="R34" s="708" t="s">
        <v>14</v>
      </c>
      <c r="S34" s="709" t="e">
        <f t="shared" si="12"/>
        <v>#N/A</v>
      </c>
      <c r="T34" s="708" t="s">
        <v>14</v>
      </c>
      <c r="U34" s="709" t="e">
        <f t="shared" si="13"/>
        <v>#N/A</v>
      </c>
      <c r="V34" s="708" t="s">
        <v>14</v>
      </c>
      <c r="W34" s="709" t="e">
        <f t="shared" si="14"/>
        <v>#N/A</v>
      </c>
      <c r="X34" s="710"/>
      <c r="Y34" s="3786"/>
      <c r="Z34" s="711" t="str">
        <f t="shared" si="15"/>
        <v>项目建筑规模</v>
      </c>
      <c r="AA34" s="1350" t="e">
        <f t="shared" si="3"/>
        <v>#N/A</v>
      </c>
      <c r="AB34" s="1350" t="e">
        <f t="shared" si="4"/>
        <v>#N/A</v>
      </c>
      <c r="AC34" s="1959"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84"/>
      <c r="Q35" s="1349" t="str">
        <f t="shared" si="11"/>
        <v>建筑结构</v>
      </c>
      <c r="R35" s="705" t="s">
        <v>14</v>
      </c>
      <c r="S35" s="706">
        <f t="shared" si="12"/>
        <v>100</v>
      </c>
      <c r="T35" s="705" t="s">
        <v>14</v>
      </c>
      <c r="U35" s="706">
        <f t="shared" si="13"/>
        <v>100</v>
      </c>
      <c r="V35" s="705" t="s">
        <v>14</v>
      </c>
      <c r="W35" s="706">
        <f t="shared" si="14"/>
        <v>100</v>
      </c>
      <c r="X35" s="1352"/>
      <c r="Y35" s="3786"/>
      <c r="Z35" s="1353" t="str">
        <f t="shared" si="15"/>
        <v>建筑结构</v>
      </c>
      <c r="AA35" s="1350">
        <f t="shared" si="3"/>
        <v>1</v>
      </c>
      <c r="AB35" s="1350">
        <f t="shared" si="4"/>
        <v>1</v>
      </c>
      <c r="AC35" s="1959">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84"/>
      <c r="Q36" s="1349" t="str">
        <f t="shared" si="11"/>
        <v>公共部分装修</v>
      </c>
      <c r="R36" s="705" t="s">
        <v>14</v>
      </c>
      <c r="S36" s="706">
        <f t="shared" si="12"/>
        <v>100</v>
      </c>
      <c r="T36" s="705" t="s">
        <v>14</v>
      </c>
      <c r="U36" s="706">
        <f t="shared" si="13"/>
        <v>100</v>
      </c>
      <c r="V36" s="705" t="s">
        <v>14</v>
      </c>
      <c r="W36" s="706">
        <f t="shared" si="14"/>
        <v>100</v>
      </c>
      <c r="X36" s="1352"/>
      <c r="Y36" s="3786"/>
      <c r="Z36" s="1353" t="str">
        <f t="shared" si="15"/>
        <v>公共部分装修</v>
      </c>
      <c r="AA36" s="1350">
        <f t="shared" si="3"/>
        <v>1</v>
      </c>
      <c r="AB36" s="1350">
        <f t="shared" si="4"/>
        <v>1</v>
      </c>
      <c r="AC36" s="1959">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84"/>
      <c r="Q37" s="1349" t="str">
        <f t="shared" si="11"/>
        <v>成新度</v>
      </c>
      <c r="R37" s="705" t="s">
        <v>14</v>
      </c>
      <c r="S37" s="706" t="e">
        <f t="shared" si="12"/>
        <v>#N/A</v>
      </c>
      <c r="T37" s="705" t="s">
        <v>14</v>
      </c>
      <c r="U37" s="706" t="e">
        <f t="shared" si="13"/>
        <v>#N/A</v>
      </c>
      <c r="V37" s="705" t="s">
        <v>14</v>
      </c>
      <c r="W37" s="706" t="e">
        <f t="shared" si="14"/>
        <v>#N/A</v>
      </c>
      <c r="X37" s="1352"/>
      <c r="Y37" s="3786"/>
      <c r="Z37" s="1353" t="str">
        <f t="shared" si="15"/>
        <v>成新度</v>
      </c>
      <c r="AA37" s="1350" t="e">
        <f t="shared" si="3"/>
        <v>#N/A</v>
      </c>
      <c r="AB37" s="1350" t="e">
        <f t="shared" si="4"/>
        <v>#N/A</v>
      </c>
      <c r="AC37" s="1959"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84"/>
      <c r="Q38" s="1340" t="str">
        <f t="shared" si="11"/>
        <v>写字楼等级</v>
      </c>
      <c r="R38" s="701" t="s">
        <v>14</v>
      </c>
      <c r="S38" s="702">
        <f t="shared" si="12"/>
        <v>100</v>
      </c>
      <c r="T38" s="701" t="s">
        <v>14</v>
      </c>
      <c r="U38" s="702">
        <f t="shared" si="13"/>
        <v>100</v>
      </c>
      <c r="V38" s="701" t="s">
        <v>14</v>
      </c>
      <c r="W38" s="702">
        <f t="shared" si="14"/>
        <v>100</v>
      </c>
      <c r="X38" s="703"/>
      <c r="Y38" s="3786"/>
      <c r="Z38" s="52" t="str">
        <f t="shared" si="15"/>
        <v>写字楼等级</v>
      </c>
      <c r="AA38" s="704">
        <f t="shared" si="3"/>
        <v>1</v>
      </c>
      <c r="AB38" s="704">
        <f t="shared" si="4"/>
        <v>1</v>
      </c>
      <c r="AC38" s="1956">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84" t="s">
        <v>1694</v>
      </c>
      <c r="Q39" s="1349" t="str">
        <f t="shared" si="11"/>
        <v>物业管理</v>
      </c>
      <c r="R39" s="705" t="s">
        <v>14</v>
      </c>
      <c r="S39" s="706">
        <f t="shared" si="12"/>
        <v>100</v>
      </c>
      <c r="T39" s="705" t="s">
        <v>14</v>
      </c>
      <c r="U39" s="706">
        <f t="shared" si="13"/>
        <v>100</v>
      </c>
      <c r="V39" s="705" t="s">
        <v>14</v>
      </c>
      <c r="W39" s="706">
        <f t="shared" si="14"/>
        <v>100</v>
      </c>
      <c r="X39" s="1352"/>
      <c r="Y39" s="3786" t="s">
        <v>1694</v>
      </c>
      <c r="Z39" s="1353" t="str">
        <f t="shared" si="15"/>
        <v>物业管理</v>
      </c>
      <c r="AA39" s="1350">
        <f t="shared" si="3"/>
        <v>1</v>
      </c>
      <c r="AB39" s="1350">
        <f t="shared" si="4"/>
        <v>1</v>
      </c>
      <c r="AC39" s="1959">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84"/>
      <c r="Q40" s="1349" t="str">
        <f t="shared" si="11"/>
        <v>市政基础设施</v>
      </c>
      <c r="R40" s="705" t="s">
        <v>14</v>
      </c>
      <c r="S40" s="706">
        <f t="shared" si="12"/>
        <v>100</v>
      </c>
      <c r="T40" s="705" t="s">
        <v>14</v>
      </c>
      <c r="U40" s="706">
        <f t="shared" si="13"/>
        <v>100</v>
      </c>
      <c r="V40" s="705" t="s">
        <v>14</v>
      </c>
      <c r="W40" s="706">
        <f t="shared" si="14"/>
        <v>100</v>
      </c>
      <c r="X40" s="1352"/>
      <c r="Y40" s="3786"/>
      <c r="Z40" s="1353" t="str">
        <f t="shared" si="15"/>
        <v>市政基础设施</v>
      </c>
      <c r="AA40" s="1350">
        <f t="shared" si="3"/>
        <v>1</v>
      </c>
      <c r="AB40" s="1350">
        <f t="shared" si="4"/>
        <v>1</v>
      </c>
      <c r="AC40" s="1959">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84"/>
      <c r="Q41" s="1349" t="str">
        <f t="shared" si="11"/>
        <v>层高</v>
      </c>
      <c r="R41" s="705" t="s">
        <v>14</v>
      </c>
      <c r="S41" s="706">
        <f t="shared" si="12"/>
        <v>100</v>
      </c>
      <c r="T41" s="705" t="s">
        <v>14</v>
      </c>
      <c r="U41" s="706">
        <f t="shared" si="13"/>
        <v>100</v>
      </c>
      <c r="V41" s="705" t="s">
        <v>14</v>
      </c>
      <c r="W41" s="706">
        <f t="shared" si="14"/>
        <v>100</v>
      </c>
      <c r="X41" s="1352"/>
      <c r="Y41" s="3786"/>
      <c r="Z41" s="1353" t="str">
        <f t="shared" si="15"/>
        <v>层高</v>
      </c>
      <c r="AA41" s="1350">
        <f t="shared" si="3"/>
        <v>1</v>
      </c>
      <c r="AB41" s="1350">
        <f t="shared" si="4"/>
        <v>1</v>
      </c>
      <c r="AC41" s="1959">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84"/>
      <c r="Q42" s="707" t="str">
        <f t="shared" si="11"/>
        <v>单套建筑面积</v>
      </c>
      <c r="R42" s="708" t="s">
        <v>14</v>
      </c>
      <c r="S42" s="709">
        <f t="shared" si="12"/>
        <v>100</v>
      </c>
      <c r="T42" s="708" t="s">
        <v>14</v>
      </c>
      <c r="U42" s="709">
        <f t="shared" si="13"/>
        <v>100</v>
      </c>
      <c r="V42" s="708" t="s">
        <v>14</v>
      </c>
      <c r="W42" s="709">
        <f t="shared" si="14"/>
        <v>100</v>
      </c>
      <c r="X42" s="710"/>
      <c r="Y42" s="3786"/>
      <c r="Z42" s="711" t="str">
        <f t="shared" si="15"/>
        <v>单套建筑面积</v>
      </c>
      <c r="AA42" s="1350">
        <f t="shared" si="3"/>
        <v>1</v>
      </c>
      <c r="AB42" s="1350">
        <f t="shared" si="4"/>
        <v>1</v>
      </c>
      <c r="AC42" s="1959">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84"/>
      <c r="Q43" s="1349" t="str">
        <f t="shared" si="11"/>
        <v>内部装修</v>
      </c>
      <c r="R43" s="705" t="s">
        <v>14</v>
      </c>
      <c r="S43" s="706">
        <f t="shared" si="12"/>
        <v>100</v>
      </c>
      <c r="T43" s="705" t="s">
        <v>14</v>
      </c>
      <c r="U43" s="706">
        <f t="shared" si="13"/>
        <v>100</v>
      </c>
      <c r="V43" s="705" t="s">
        <v>14</v>
      </c>
      <c r="W43" s="706">
        <f t="shared" si="14"/>
        <v>100</v>
      </c>
      <c r="X43" s="1352"/>
      <c r="Y43" s="3786"/>
      <c r="Z43" s="1353" t="str">
        <f t="shared" si="15"/>
        <v>内部装修</v>
      </c>
      <c r="AA43" s="1350">
        <f t="shared" si="3"/>
        <v>1</v>
      </c>
      <c r="AB43" s="1350">
        <f t="shared" si="4"/>
        <v>1</v>
      </c>
      <c r="AC43" s="1959">
        <f t="shared" si="5"/>
        <v>1</v>
      </c>
    </row>
    <row r="44" spans="1:29" ht="28.8">
      <c r="A44" s="423"/>
      <c r="B44" s="375" t="s">
        <v>1705</v>
      </c>
      <c r="C44" s="411"/>
      <c r="D44" s="386">
        <v>100</v>
      </c>
      <c r="E44" s="1903"/>
      <c r="F44" s="412">
        <f>SUMIF(125:125,E44,126:126)-SUMIF(125:125,C44,126:126)+100</f>
        <v>100</v>
      </c>
      <c r="G44" s="1903"/>
      <c r="H44" s="386">
        <f>SUMIF(125:125,G44,126:126)-SUMIF(125:125,C44,126:126)+100</f>
        <v>100</v>
      </c>
      <c r="I44" s="1903"/>
      <c r="J44" s="386">
        <f>SUMIF(125:125,I44,126:126)-SUMIF(125:125,C44,126:126)+100</f>
        <v>100</v>
      </c>
      <c r="K44" s="561"/>
      <c r="L44" s="2719"/>
      <c r="M44" s="2713"/>
      <c r="N44" s="2713"/>
      <c r="O44" s="2713"/>
      <c r="P44" s="3784"/>
      <c r="Q44" s="1349" t="str">
        <f t="shared" si="11"/>
        <v>内部装修维护情况</v>
      </c>
      <c r="R44" s="705" t="s">
        <v>14</v>
      </c>
      <c r="S44" s="706">
        <f t="shared" si="12"/>
        <v>100</v>
      </c>
      <c r="T44" s="705" t="s">
        <v>14</v>
      </c>
      <c r="U44" s="706">
        <f t="shared" si="13"/>
        <v>100</v>
      </c>
      <c r="V44" s="705" t="s">
        <v>14</v>
      </c>
      <c r="W44" s="706">
        <f t="shared" si="14"/>
        <v>100</v>
      </c>
      <c r="X44" s="1352"/>
      <c r="Y44" s="3786"/>
      <c r="Z44" s="1353" t="str">
        <f t="shared" si="15"/>
        <v>内部装修维护情况</v>
      </c>
      <c r="AA44" s="1350">
        <f t="shared" si="3"/>
        <v>1</v>
      </c>
      <c r="AB44" s="1350">
        <f t="shared" si="4"/>
        <v>1</v>
      </c>
      <c r="AC44" s="1959">
        <f t="shared" si="5"/>
        <v>1</v>
      </c>
    </row>
    <row r="45" spans="1:29" s="108" customFormat="1" ht="15">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84"/>
      <c r="Q45" s="1340">
        <f t="shared" si="11"/>
        <v>111</v>
      </c>
      <c r="R45" s="701" t="s">
        <v>14</v>
      </c>
      <c r="S45" s="702">
        <f t="shared" si="12"/>
        <v>100</v>
      </c>
      <c r="T45" s="701" t="s">
        <v>14</v>
      </c>
      <c r="U45" s="702">
        <f t="shared" si="13"/>
        <v>100</v>
      </c>
      <c r="V45" s="701" t="s">
        <v>14</v>
      </c>
      <c r="W45" s="702">
        <f t="shared" si="14"/>
        <v>100</v>
      </c>
      <c r="X45" s="703"/>
      <c r="Y45" s="3786"/>
      <c r="Z45" s="52">
        <f t="shared" si="15"/>
        <v>111</v>
      </c>
      <c r="AA45" s="704">
        <f t="shared" si="3"/>
        <v>1</v>
      </c>
      <c r="AB45" s="704">
        <f t="shared" si="4"/>
        <v>1</v>
      </c>
      <c r="AC45" s="1956">
        <f t="shared" si="5"/>
        <v>1</v>
      </c>
    </row>
    <row r="46" spans="1:29" ht="15">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84"/>
      <c r="Q46" s="1349">
        <f t="shared" si="11"/>
        <v>111</v>
      </c>
      <c r="R46" s="705" t="s">
        <v>14</v>
      </c>
      <c r="S46" s="706">
        <f t="shared" si="12"/>
        <v>100</v>
      </c>
      <c r="T46" s="705" t="s">
        <v>14</v>
      </c>
      <c r="U46" s="706">
        <f t="shared" si="13"/>
        <v>100</v>
      </c>
      <c r="V46" s="705" t="s">
        <v>14</v>
      </c>
      <c r="W46" s="706">
        <f t="shared" si="14"/>
        <v>100</v>
      </c>
      <c r="X46" s="1352"/>
      <c r="Y46" s="3786"/>
      <c r="Z46" s="1353">
        <f t="shared" si="15"/>
        <v>111</v>
      </c>
      <c r="AA46" s="1350">
        <f t="shared" si="3"/>
        <v>1</v>
      </c>
      <c r="AB46" s="1350">
        <f t="shared" si="4"/>
        <v>1</v>
      </c>
      <c r="AC46" s="1959">
        <f t="shared" si="5"/>
        <v>1</v>
      </c>
    </row>
    <row r="47" spans="1:29" ht="15.6"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85"/>
      <c r="Q47" s="1349">
        <f t="shared" si="11"/>
        <v>111</v>
      </c>
      <c r="R47" s="705" t="s">
        <v>14</v>
      </c>
      <c r="S47" s="706">
        <f t="shared" si="12"/>
        <v>100</v>
      </c>
      <c r="T47" s="705" t="s">
        <v>14</v>
      </c>
      <c r="U47" s="706">
        <f t="shared" si="13"/>
        <v>100</v>
      </c>
      <c r="V47" s="705" t="s">
        <v>14</v>
      </c>
      <c r="W47" s="706">
        <f t="shared" si="14"/>
        <v>100</v>
      </c>
      <c r="X47" s="1352"/>
      <c r="Y47" s="3787"/>
      <c r="Z47" s="1353">
        <f t="shared" si="15"/>
        <v>111</v>
      </c>
      <c r="AA47" s="1350">
        <f t="shared" si="3"/>
        <v>1</v>
      </c>
      <c r="AB47" s="1350">
        <f t="shared" si="4"/>
        <v>1</v>
      </c>
      <c r="AC47" s="1959">
        <f t="shared" si="5"/>
        <v>1</v>
      </c>
    </row>
    <row r="48" spans="1:29" ht="14.4">
      <c r="A48" s="430" t="s">
        <v>1706</v>
      </c>
      <c r="B48" s="431"/>
      <c r="C48" s="1151" t="s">
        <v>0</v>
      </c>
      <c r="D48" s="1152"/>
      <c r="E48" s="1153"/>
      <c r="F48" s="1154"/>
      <c r="G48" s="1155"/>
      <c r="H48" s="1156"/>
      <c r="I48" s="1153"/>
      <c r="J48" s="436"/>
      <c r="K48" s="714"/>
      <c r="L48" s="2721"/>
      <c r="M48" s="2713"/>
      <c r="N48" s="2713"/>
      <c r="O48" s="2713"/>
      <c r="P48" s="3790" t="str">
        <f>A48</f>
        <v>成交单价（元/平方米）</v>
      </c>
      <c r="Q48" s="3779"/>
      <c r="R48" s="3780">
        <f>E48</f>
        <v>0</v>
      </c>
      <c r="S48" s="3780"/>
      <c r="T48" s="3780">
        <f>G48</f>
        <v>0</v>
      </c>
      <c r="U48" s="3780"/>
      <c r="V48" s="3780">
        <f>I48</f>
        <v>0</v>
      </c>
      <c r="W48" s="3780"/>
      <c r="X48" s="397"/>
      <c r="Y48" s="712"/>
      <c r="Z48" s="397"/>
      <c r="AA48" s="397"/>
      <c r="AB48" s="397"/>
      <c r="AC48" s="578"/>
    </row>
    <row r="49" spans="1:29" ht="15" thickBot="1">
      <c r="A49" s="437" t="s">
        <v>1791</v>
      </c>
      <c r="B49" s="438"/>
      <c r="C49" s="1157" t="e">
        <f>R50</f>
        <v>#DIV/0!</v>
      </c>
      <c r="D49" s="2314" t="s">
        <v>2135</v>
      </c>
      <c r="E49" s="1158" t="e">
        <f>R49</f>
        <v>#DIV/0!</v>
      </c>
      <c r="F49" s="2315"/>
      <c r="G49" s="1157" t="e">
        <f>T49</f>
        <v>#DIV/0!</v>
      </c>
      <c r="H49" s="2315"/>
      <c r="I49" s="1158" t="e">
        <f>V49</f>
        <v>#DIV/0!</v>
      </c>
      <c r="J49" s="2315"/>
      <c r="K49" s="2317">
        <f>F49+H49+J49</f>
        <v>0</v>
      </c>
      <c r="L49" s="2721"/>
      <c r="M49" s="2713"/>
      <c r="N49" s="2713"/>
      <c r="O49" s="2713"/>
      <c r="P49" s="3790" t="str">
        <f>A49</f>
        <v>比较价值（元/平方米）</v>
      </c>
      <c r="Q49" s="3779"/>
      <c r="R49" s="3780" t="e">
        <f>IF(F1="售价",ROUND(PRODUCT(R48,AA7:AA47),0),ROUND(PRODUCT(R48,AA7:AA47),1))</f>
        <v>#DIV/0!</v>
      </c>
      <c r="S49" s="3780"/>
      <c r="T49" s="3780" t="e">
        <f>IF(F1="售价",ROUND(PRODUCT(T48,AB7:AB47),0),ROUND(PRODUCT(T48,AB7:AB47),1))</f>
        <v>#DIV/0!</v>
      </c>
      <c r="U49" s="3780"/>
      <c r="V49" s="3780" t="e">
        <f>IF(F1="售价",ROUND(PRODUCT(V48,AC7:AC47),0),ROUND(PRODUCT(V48,AC7:AC47),1))</f>
        <v>#DIV/0!</v>
      </c>
      <c r="W49" s="3780"/>
      <c r="X49" s="397"/>
      <c r="Y49" s="397"/>
      <c r="Z49" s="397"/>
      <c r="AA49" s="397"/>
      <c r="AB49" s="397"/>
      <c r="AC49" s="578"/>
    </row>
    <row r="50" spans="1:29" ht="15" thickBot="1">
      <c r="A50" s="441" t="s">
        <v>1792</v>
      </c>
      <c r="B50" s="442"/>
      <c r="C50" s="1160" t="e">
        <f>R50</f>
        <v>#DIV/0!</v>
      </c>
      <c r="D50" s="1160"/>
      <c r="E50" s="1160"/>
      <c r="F50" s="1160"/>
      <c r="G50" s="1160"/>
      <c r="H50" s="1160"/>
      <c r="I50" s="1160"/>
      <c r="J50" s="443"/>
      <c r="K50" s="715"/>
      <c r="L50" s="2721"/>
      <c r="M50" s="2713"/>
      <c r="N50" s="2713"/>
      <c r="O50" s="2713"/>
      <c r="P50" s="3822" t="str">
        <f>A50</f>
        <v>估价对象XX用房的比较价值（楼面单价，元/平方米）</v>
      </c>
      <c r="Q50" s="3823"/>
      <c r="R50" s="3824" t="e">
        <f>IF(F1="售价",ROUND(IF(D49="简单平均",AVERAGE(R49:V49),R49*F49+T49*H49+V49*J49),0),ROUND(IF(D49="简单平均",AVERAGE(R49:V49),R49*F49+T49*H49+V49*J49),1))</f>
        <v>#DIV/0!</v>
      </c>
      <c r="S50" s="3824"/>
      <c r="T50" s="3824"/>
      <c r="U50" s="3824"/>
      <c r="V50" s="3824"/>
      <c r="W50" s="3824"/>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1793</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1794</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1795</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1796</v>
      </c>
      <c r="B58" s="690"/>
      <c r="C58" s="695"/>
      <c r="D58" s="695"/>
      <c r="E58" s="695"/>
      <c r="F58" s="696"/>
      <c r="G58" s="696"/>
      <c r="H58" s="695"/>
      <c r="I58" s="695"/>
      <c r="J58" s="695"/>
      <c r="K58" s="697"/>
      <c r="L58" s="939"/>
      <c r="M58" s="937"/>
      <c r="N58" s="2766"/>
      <c r="O58" s="2766"/>
      <c r="P58" s="2755"/>
      <c r="Q58" s="2736"/>
      <c r="R58" s="2722"/>
      <c r="S58" s="2722"/>
      <c r="T58" s="2722"/>
      <c r="U58" s="2722"/>
      <c r="V58" s="2722"/>
      <c r="W58" s="2722"/>
      <c r="X58" s="2722"/>
      <c r="Y58" s="2722"/>
      <c r="Z58" s="2722"/>
      <c r="AA58" s="2722"/>
      <c r="AB58" s="2722"/>
      <c r="AC58" s="2722"/>
    </row>
    <row r="59" spans="1:29" s="457" customFormat="1" ht="14.4">
      <c r="A59" s="454" t="s">
        <v>1677</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1714</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1679</v>
      </c>
      <c r="B62" s="459"/>
      <c r="C62" s="471" t="s">
        <v>1774</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1717</v>
      </c>
      <c r="B64" s="477" t="s">
        <v>1683</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1686</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1688</v>
      </c>
      <c r="B77" s="477" t="s">
        <v>1819</v>
      </c>
      <c r="C77" s="522" t="s">
        <v>1719</v>
      </c>
      <c r="D77" s="522" t="s">
        <v>1720</v>
      </c>
      <c r="E77" s="522" t="s">
        <v>1721</v>
      </c>
      <c r="F77" s="522" t="s">
        <v>1722</v>
      </c>
      <c r="G77" s="522" t="s">
        <v>1723</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1724</v>
      </c>
      <c r="C79" s="527" t="s">
        <v>1719</v>
      </c>
      <c r="D79" s="527" t="s">
        <v>1720</v>
      </c>
      <c r="E79" s="527" t="s">
        <v>1721</v>
      </c>
      <c r="F79" s="527" t="s">
        <v>1722</v>
      </c>
      <c r="G79" s="527" t="s">
        <v>1723</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1725</v>
      </c>
      <c r="C81" s="527" t="s">
        <v>1719</v>
      </c>
      <c r="D81" s="527" t="s">
        <v>1720</v>
      </c>
      <c r="E81" s="527" t="s">
        <v>1721</v>
      </c>
      <c r="F81" s="527" t="s">
        <v>1722</v>
      </c>
      <c r="G81" s="527" t="s">
        <v>1723</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1811</v>
      </c>
      <c r="C83" s="608" t="s">
        <v>1797</v>
      </c>
      <c r="D83" s="608" t="s">
        <v>1798</v>
      </c>
      <c r="E83" s="608" t="s">
        <v>1799</v>
      </c>
      <c r="F83" s="608" t="s">
        <v>1800</v>
      </c>
      <c r="G83" s="608" t="s">
        <v>1801</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1820</v>
      </c>
      <c r="C85" s="527" t="s">
        <v>1719</v>
      </c>
      <c r="D85" s="527" t="s">
        <v>1720</v>
      </c>
      <c r="E85" s="527" t="s">
        <v>1721</v>
      </c>
      <c r="F85" s="527" t="s">
        <v>1722</v>
      </c>
      <c r="G85" s="527" t="s">
        <v>1723</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1821</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1692</v>
      </c>
      <c r="B101" s="477" t="s">
        <v>1734</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1735</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1736</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1738</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1822</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1739</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1740</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1823</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1806</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1742</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1743</v>
      </c>
      <c r="C125" s="527" t="s">
        <v>1719</v>
      </c>
      <c r="D125" s="527" t="s">
        <v>1720</v>
      </c>
      <c r="E125" s="527" t="s">
        <v>1721</v>
      </c>
      <c r="F125" s="527" t="s">
        <v>1722</v>
      </c>
      <c r="G125" s="527" t="s">
        <v>1723</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4" priority="20" stopIfTrue="1" operator="containsText" text="超过">
      <formula>NOT(ISERROR(SEARCH("超过",F53)))</formula>
    </cfRule>
  </conditionalFormatting>
  <conditionalFormatting sqref="H55">
    <cfRule type="containsText" dxfId="123" priority="19" stopIfTrue="1" operator="containsText" text="超过">
      <formula>NOT(ISERROR(SEARCH("超过",H55)))</formula>
    </cfRule>
  </conditionalFormatting>
  <conditionalFormatting sqref="F55">
    <cfRule type="containsText" dxfId="122" priority="18" stopIfTrue="1" operator="containsText" text="超过">
      <formula>NOT(ISERROR(SEARCH("超过",F55)))</formula>
    </cfRule>
  </conditionalFormatting>
  <conditionalFormatting sqref="F54 H54">
    <cfRule type="containsText" dxfId="121" priority="17" stopIfTrue="1" operator="containsText" text="超过">
      <formula>NOT(ISERROR(SEARCH("超过",F54)))</formula>
    </cfRule>
  </conditionalFormatting>
  <conditionalFormatting sqref="E53">
    <cfRule type="expression" dxfId="120" priority="16" stopIfTrue="1">
      <formula>$F$53="超过30%"</formula>
    </cfRule>
  </conditionalFormatting>
  <conditionalFormatting sqref="E54">
    <cfRule type="expression" dxfId="119" priority="15" stopIfTrue="1">
      <formula>$F$54="超过20%"</formula>
    </cfRule>
  </conditionalFormatting>
  <conditionalFormatting sqref="E55">
    <cfRule type="expression" dxfId="118" priority="14" stopIfTrue="1">
      <formula>$F$55="超过30%"</formula>
    </cfRule>
  </conditionalFormatting>
  <conditionalFormatting sqref="G55">
    <cfRule type="expression" dxfId="117" priority="13" stopIfTrue="1">
      <formula>$H$55="超过30%"</formula>
    </cfRule>
  </conditionalFormatting>
  <conditionalFormatting sqref="G53">
    <cfRule type="expression" dxfId="116" priority="12" stopIfTrue="1">
      <formula>$H$53="超过30%"</formula>
    </cfRule>
  </conditionalFormatting>
  <conditionalFormatting sqref="G54">
    <cfRule type="expression" dxfId="115" priority="11" stopIfTrue="1">
      <formula>$H$54="超过20%"</formula>
    </cfRule>
  </conditionalFormatting>
  <conditionalFormatting sqref="J53">
    <cfRule type="containsText" dxfId="114" priority="10" stopIfTrue="1" operator="containsText" text="超过">
      <formula>NOT(ISERROR(SEARCH("超过",J53)))</formula>
    </cfRule>
  </conditionalFormatting>
  <conditionalFormatting sqref="J55">
    <cfRule type="containsText" dxfId="113" priority="9" stopIfTrue="1" operator="containsText" text="超过">
      <formula>NOT(ISERROR(SEARCH("超过",J55)))</formula>
    </cfRule>
  </conditionalFormatting>
  <conditionalFormatting sqref="J54">
    <cfRule type="containsText" dxfId="112" priority="8" stopIfTrue="1" operator="containsText" text="超过">
      <formula>NOT(ISERROR(SEARCH("超过",J54)))</formula>
    </cfRule>
  </conditionalFormatting>
  <conditionalFormatting sqref="I53">
    <cfRule type="expression" dxfId="111" priority="7" stopIfTrue="1">
      <formula>$J$53="超过30%"</formula>
    </cfRule>
  </conditionalFormatting>
  <conditionalFormatting sqref="I54">
    <cfRule type="expression" dxfId="110" priority="6" stopIfTrue="1">
      <formula>$J$53+$J$54="超过20%"</formula>
    </cfRule>
  </conditionalFormatting>
  <conditionalFormatting sqref="I55">
    <cfRule type="expression" dxfId="109" priority="5" stopIfTrue="1">
      <formula>$J$55="超过30%"</formula>
    </cfRule>
  </conditionalFormatting>
  <conditionalFormatting sqref="F49">
    <cfRule type="expression" dxfId="108" priority="4">
      <formula>$D$49="简单平均"</formula>
    </cfRule>
  </conditionalFormatting>
  <conditionalFormatting sqref="H49">
    <cfRule type="expression" dxfId="107" priority="3">
      <formula>$D$49="简单平均"</formula>
    </cfRule>
  </conditionalFormatting>
  <conditionalFormatting sqref="J49">
    <cfRule type="expression" dxfId="106" priority="2">
      <formula>$D$49="简单平均"</formula>
    </cfRule>
  </conditionalFormatting>
  <conditionalFormatting sqref="F7:F47 H7:H47 J7:J47">
    <cfRule type="cellIs" dxfId="10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1658</v>
      </c>
      <c r="B1" s="1954" t="s">
        <v>1824</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IF(E1="项目模式",IF(C2="——",ROUND(C43*D3/10000,0),ROUND(C43*D3/10000,0)-D2),IF(E1="单套模式",IF(C2="——",ROUND(C43*D3/10000,4),ROUND(C43*D3/10000,4)-D2)))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5"/>
      <c r="L2" s="908"/>
      <c r="M2" s="909"/>
      <c r="N2" s="909"/>
      <c r="O2" s="909"/>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112144.47999999998</v>
      </c>
      <c r="E3" s="905"/>
      <c r="F3" s="906"/>
      <c r="G3" s="905"/>
      <c r="H3" s="905"/>
      <c r="I3" s="905"/>
      <c r="J3" s="905"/>
      <c r="K3" s="907"/>
      <c r="L3" s="908"/>
      <c r="M3" s="909"/>
      <c r="N3" s="909"/>
      <c r="O3" s="909"/>
      <c r="P3" s="699"/>
      <c r="Q3" s="699"/>
      <c r="R3" s="699"/>
      <c r="S3" s="699"/>
      <c r="T3" s="699"/>
      <c r="U3" s="699"/>
      <c r="V3" s="699"/>
      <c r="W3" s="699"/>
      <c r="X3" s="699"/>
      <c r="Y3" s="699"/>
      <c r="Z3" s="699"/>
      <c r="AA3" s="699"/>
      <c r="AB3" s="716"/>
      <c r="AC3" s="713"/>
    </row>
    <row r="4" spans="1:29" ht="14.4">
      <c r="A4" s="355" t="s">
        <v>1767</v>
      </c>
      <c r="B4" s="356"/>
      <c r="C4" s="3794" t="s">
        <v>1768</v>
      </c>
      <c r="D4" s="3795"/>
      <c r="E4" s="3796" t="s">
        <v>1769</v>
      </c>
      <c r="F4" s="3797"/>
      <c r="G4" s="3794" t="s">
        <v>1770</v>
      </c>
      <c r="H4" s="3795"/>
      <c r="I4" s="3794" t="s">
        <v>1771</v>
      </c>
      <c r="J4" s="3795"/>
      <c r="K4" s="559" t="s">
        <v>1772</v>
      </c>
      <c r="L4" s="910"/>
      <c r="M4" s="911"/>
      <c r="N4" s="911"/>
      <c r="O4" s="911"/>
      <c r="P4" s="3798" t="s">
        <v>1773</v>
      </c>
      <c r="Q4" s="3799"/>
      <c r="R4" s="3804" t="s">
        <v>1769</v>
      </c>
      <c r="S4" s="3805"/>
      <c r="T4" s="3804" t="s">
        <v>1770</v>
      </c>
      <c r="U4" s="3805"/>
      <c r="V4" s="3810" t="s">
        <v>1771</v>
      </c>
      <c r="W4" s="3810"/>
      <c r="X4" s="1352"/>
      <c r="Y4" s="3804" t="s">
        <v>1773</v>
      </c>
      <c r="Z4" s="3805"/>
      <c r="AA4" s="3791" t="s">
        <v>1769</v>
      </c>
      <c r="AB4" s="3792" t="s">
        <v>1770</v>
      </c>
      <c r="AC4" s="3791" t="s">
        <v>1771</v>
      </c>
    </row>
    <row r="5" spans="1:29">
      <c r="A5" s="358"/>
      <c r="B5" s="359"/>
      <c r="C5" s="3813" t="s">
        <v>1671</v>
      </c>
      <c r="D5" s="3814"/>
      <c r="E5" s="3820" t="s">
        <v>1672</v>
      </c>
      <c r="F5" s="3821"/>
      <c r="G5" s="3813" t="s">
        <v>1673</v>
      </c>
      <c r="H5" s="3814"/>
      <c r="I5" s="3813" t="s">
        <v>1674</v>
      </c>
      <c r="J5" s="3814"/>
      <c r="K5" s="559"/>
      <c r="L5" s="910"/>
      <c r="M5" s="911"/>
      <c r="N5" s="911"/>
      <c r="O5" s="911"/>
      <c r="P5" s="3800"/>
      <c r="Q5" s="3801"/>
      <c r="R5" s="3806"/>
      <c r="S5" s="3807"/>
      <c r="T5" s="3806"/>
      <c r="U5" s="3807"/>
      <c r="V5" s="3810"/>
      <c r="W5" s="3810"/>
      <c r="X5" s="1352"/>
      <c r="Y5" s="3806"/>
      <c r="Z5" s="3807"/>
      <c r="AA5" s="3792"/>
      <c r="AB5" s="3792"/>
      <c r="AC5" s="3792"/>
    </row>
    <row r="6" spans="1:29" ht="15" thickBot="1">
      <c r="A6" s="360"/>
      <c r="B6" s="361"/>
      <c r="C6" s="3811" t="s">
        <v>1675</v>
      </c>
      <c r="D6" s="3812"/>
      <c r="E6" s="3818" t="s">
        <v>1675</v>
      </c>
      <c r="F6" s="3819"/>
      <c r="G6" s="3811" t="s">
        <v>1675</v>
      </c>
      <c r="H6" s="3812"/>
      <c r="I6" s="3811" t="s">
        <v>1675</v>
      </c>
      <c r="J6" s="3812"/>
      <c r="K6" s="559" t="s">
        <v>1676</v>
      </c>
      <c r="L6" s="910"/>
      <c r="M6" s="911"/>
      <c r="N6" s="911"/>
      <c r="O6" s="911"/>
      <c r="P6" s="3802"/>
      <c r="Q6" s="3803"/>
      <c r="R6" s="3806"/>
      <c r="S6" s="3807"/>
      <c r="T6" s="3808"/>
      <c r="U6" s="3809"/>
      <c r="V6" s="3810"/>
      <c r="W6" s="3810"/>
      <c r="X6" s="1352"/>
      <c r="Y6" s="3808"/>
      <c r="Z6" s="3809"/>
      <c r="AA6" s="3793"/>
      <c r="AB6" s="3793"/>
      <c r="AC6" s="3793"/>
    </row>
    <row r="7" spans="1:29" s="108" customFormat="1" ht="15" thickBot="1">
      <c r="A7" s="362" t="s">
        <v>1677</v>
      </c>
      <c r="B7" s="363"/>
      <c r="C7" s="364">
        <f>'数据-取费表'!B2</f>
        <v>45295</v>
      </c>
      <c r="D7" s="365">
        <v>100</v>
      </c>
      <c r="E7" s="366"/>
      <c r="F7" s="367">
        <f>SUMIF(52:52,YEAR(E7)&amp;"-"&amp;MONTH(E7),53:53)</f>
        <v>0</v>
      </c>
      <c r="G7" s="366"/>
      <c r="H7" s="365">
        <f>SUMIF(52:52,YEAR(G7)&amp;"-"&amp;MONTH(G7),53:53)</f>
        <v>0</v>
      </c>
      <c r="I7" s="366"/>
      <c r="J7" s="365">
        <f>SUMIF(52:52,YEAR(I7)&amp;"-"&amp;MONTH(I7),53:53)</f>
        <v>0</v>
      </c>
      <c r="K7" s="560"/>
      <c r="L7" s="912"/>
      <c r="M7" s="913"/>
      <c r="N7" s="913"/>
      <c r="O7" s="913"/>
      <c r="P7" s="3815" t="s">
        <v>1678</v>
      </c>
      <c r="Q7" s="3817"/>
      <c r="R7" s="701" t="s">
        <v>14</v>
      </c>
      <c r="S7" s="702">
        <f t="shared" ref="S7:S15" si="0">F7</f>
        <v>0</v>
      </c>
      <c r="T7" s="701" t="s">
        <v>14</v>
      </c>
      <c r="U7" s="702">
        <f t="shared" ref="U7:U15" si="1">H7</f>
        <v>0</v>
      </c>
      <c r="V7" s="701" t="s">
        <v>14</v>
      </c>
      <c r="W7" s="702">
        <f t="shared" ref="W7:W15" si="2">J7</f>
        <v>0</v>
      </c>
      <c r="X7" s="703"/>
      <c r="Y7" s="3815" t="s">
        <v>1678</v>
      </c>
      <c r="Z7" s="3816"/>
      <c r="AA7" s="704" t="e">
        <f>D7/F7</f>
        <v>#DIV/0!</v>
      </c>
      <c r="AB7" s="704" t="e">
        <f>D7/H7</f>
        <v>#DIV/0!</v>
      </c>
      <c r="AC7" s="704" t="e">
        <f>D7/J7</f>
        <v>#DIV/0!</v>
      </c>
    </row>
    <row r="8" spans="1:29" s="108" customFormat="1" ht="1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2"/>
      <c r="M8" s="913"/>
      <c r="N8" s="913"/>
      <c r="O8" s="913"/>
      <c r="P8" s="3815" t="s">
        <v>1681</v>
      </c>
      <c r="Q8" s="3816"/>
      <c r="R8" s="701" t="s">
        <v>14</v>
      </c>
      <c r="S8" s="702">
        <f t="shared" si="0"/>
        <v>100</v>
      </c>
      <c r="T8" s="701" t="s">
        <v>14</v>
      </c>
      <c r="U8" s="702">
        <f t="shared" si="1"/>
        <v>100</v>
      </c>
      <c r="V8" s="701" t="s">
        <v>14</v>
      </c>
      <c r="W8" s="702">
        <f t="shared" si="2"/>
        <v>100</v>
      </c>
      <c r="X8" s="703"/>
      <c r="Y8" s="3815" t="s">
        <v>1681</v>
      </c>
      <c r="Z8" s="3816"/>
      <c r="AA8" s="704">
        <f t="shared" ref="AA8:AA40" si="3">D8/F8</f>
        <v>1</v>
      </c>
      <c r="AB8" s="704">
        <f t="shared" ref="AB8:AB40" si="4">D8/H8</f>
        <v>1</v>
      </c>
      <c r="AC8" s="704">
        <f t="shared" ref="AC8:AC40" si="5">D8/J8</f>
        <v>1</v>
      </c>
    </row>
    <row r="9" spans="1:29" s="108" customFormat="1" ht="14.4">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2"/>
      <c r="M9" s="913"/>
      <c r="N9" s="913"/>
      <c r="O9" s="914"/>
      <c r="P9" s="3779"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704">
        <f t="shared" si="5"/>
        <v>1</v>
      </c>
    </row>
    <row r="10" spans="1:29" s="378" customFormat="1" ht="28.8">
      <c r="A10" s="374"/>
      <c r="B10" s="375" t="s">
        <v>1686</v>
      </c>
      <c r="C10" s="3431"/>
      <c r="D10" s="127">
        <v>100</v>
      </c>
      <c r="E10" s="3431"/>
      <c r="F10" s="127">
        <f>SUMIF(59:59,E10,60:60)-SUMIF(59:59,C10,60:60)+100</f>
        <v>100</v>
      </c>
      <c r="G10" s="3432"/>
      <c r="H10" s="127">
        <f>SUMIF(59:59,G10,60:60)-SUMIF(59:59,C10,60:60)+100</f>
        <v>100</v>
      </c>
      <c r="I10" s="3431"/>
      <c r="J10" s="127">
        <f>SUMIF(59:59,I10,60:60)-SUMIF(59:59,C10,60:60)+100</f>
        <v>100</v>
      </c>
      <c r="K10" s="560"/>
      <c r="L10" s="915"/>
      <c r="M10" s="916"/>
      <c r="N10" s="916"/>
      <c r="O10" s="917"/>
      <c r="P10" s="3779"/>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8"/>
      <c r="M11" s="911"/>
      <c r="N11" s="911"/>
      <c r="O11" s="919"/>
      <c r="P11" s="3779"/>
      <c r="Q11" s="1340" t="str">
        <f t="shared" si="6"/>
        <v>容积率</v>
      </c>
      <c r="R11" s="701" t="s">
        <v>14</v>
      </c>
      <c r="S11" s="702">
        <f t="shared" si="0"/>
        <v>100</v>
      </c>
      <c r="T11" s="701" t="s">
        <v>14</v>
      </c>
      <c r="U11" s="702">
        <f t="shared" si="1"/>
        <v>100</v>
      </c>
      <c r="V11" s="701" t="s">
        <v>14</v>
      </c>
      <c r="W11" s="702">
        <f t="shared" si="2"/>
        <v>100</v>
      </c>
      <c r="X11" s="703"/>
      <c r="Y11" s="3654"/>
      <c r="Z11" s="52" t="str">
        <f t="shared" si="7"/>
        <v>容积率</v>
      </c>
      <c r="AA11" s="704">
        <f t="shared" si="3"/>
        <v>1</v>
      </c>
      <c r="AB11" s="704">
        <f t="shared" si="4"/>
        <v>1</v>
      </c>
      <c r="AC11" s="704">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2"/>
      <c r="M12" s="913"/>
      <c r="N12" s="913"/>
      <c r="O12" s="914"/>
      <c r="P12" s="3779"/>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0"/>
      <c r="M13" s="911"/>
      <c r="N13" s="911"/>
      <c r="O13" s="919"/>
      <c r="P13" s="3779"/>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0"/>
      <c r="M14" s="911"/>
      <c r="N14" s="911"/>
      <c r="O14" s="919"/>
      <c r="P14" s="3779"/>
      <c r="Q14" s="1340">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1688</v>
      </c>
      <c r="B15" s="61" t="s">
        <v>1825</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0"/>
      <c r="M15" s="911"/>
      <c r="N15" s="911"/>
      <c r="O15" s="919"/>
      <c r="P15" s="3781" t="s">
        <v>1689</v>
      </c>
      <c r="Q15" s="1349" t="str">
        <f t="shared" si="6"/>
        <v>产业集聚程度</v>
      </c>
      <c r="R15" s="705" t="s">
        <v>14</v>
      </c>
      <c r="S15" s="706">
        <f t="shared" si="0"/>
        <v>100</v>
      </c>
      <c r="T15" s="705" t="s">
        <v>14</v>
      </c>
      <c r="U15" s="706">
        <f t="shared" si="1"/>
        <v>100</v>
      </c>
      <c r="V15" s="705" t="s">
        <v>14</v>
      </c>
      <c r="W15" s="706">
        <f t="shared" si="2"/>
        <v>100</v>
      </c>
      <c r="X15" s="1352"/>
      <c r="Y15" s="3781"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0"/>
      <c r="M16" s="911"/>
      <c r="N16" s="911"/>
      <c r="O16" s="919"/>
      <c r="P16" s="3782"/>
      <c r="Q16" s="1349"/>
      <c r="R16" s="705"/>
      <c r="S16" s="706"/>
      <c r="T16" s="705"/>
      <c r="U16" s="706"/>
      <c r="V16" s="705"/>
      <c r="W16" s="706"/>
      <c r="X16" s="1352"/>
      <c r="Y16" s="3782"/>
      <c r="Z16" s="1353"/>
      <c r="AA16" s="1350">
        <v>1</v>
      </c>
      <c r="AB16" s="1350">
        <v>1</v>
      </c>
      <c r="AC16" s="1350">
        <v>1</v>
      </c>
    </row>
    <row r="17" spans="1:29" ht="96.6">
      <c r="A17" s="379"/>
      <c r="B17" s="402" t="s">
        <v>1257</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0"/>
      <c r="M17" s="911"/>
      <c r="N17" s="911"/>
      <c r="O17" s="919"/>
      <c r="P17" s="3782"/>
      <c r="Q17" s="1349" t="str">
        <f>B17</f>
        <v>交通便捷度</v>
      </c>
      <c r="R17" s="705" t="s">
        <v>14</v>
      </c>
      <c r="S17" s="706">
        <f>F17</f>
        <v>100</v>
      </c>
      <c r="T17" s="705" t="s">
        <v>14</v>
      </c>
      <c r="U17" s="706">
        <f>H17</f>
        <v>100</v>
      </c>
      <c r="V17" s="705" t="s">
        <v>14</v>
      </c>
      <c r="W17" s="706">
        <f>J17</f>
        <v>100</v>
      </c>
      <c r="X17" s="1352"/>
      <c r="Y17" s="3782"/>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0"/>
      <c r="M18" s="911"/>
      <c r="N18" s="911"/>
      <c r="O18" s="919"/>
      <c r="P18" s="3782"/>
      <c r="Q18" s="1349"/>
      <c r="R18" s="705"/>
      <c r="S18" s="706"/>
      <c r="T18" s="705"/>
      <c r="U18" s="706"/>
      <c r="V18" s="705"/>
      <c r="W18" s="706"/>
      <c r="X18" s="1352"/>
      <c r="Y18" s="3782"/>
      <c r="Z18" s="1353"/>
      <c r="AA18" s="1350">
        <v>1</v>
      </c>
      <c r="AB18" s="1350">
        <v>1</v>
      </c>
      <c r="AC18" s="1350">
        <v>1</v>
      </c>
    </row>
    <row r="19" spans="1:29" ht="41.4">
      <c r="A19" s="379"/>
      <c r="B19" s="402" t="s">
        <v>1810</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0"/>
      <c r="M19" s="911"/>
      <c r="N19" s="911"/>
      <c r="O19" s="919"/>
      <c r="P19" s="3782"/>
      <c r="Q19" s="1349" t="str">
        <f>B19</f>
        <v>公共配套设施</v>
      </c>
      <c r="R19" s="705" t="s">
        <v>14</v>
      </c>
      <c r="S19" s="706">
        <f>F19</f>
        <v>100</v>
      </c>
      <c r="T19" s="705" t="s">
        <v>14</v>
      </c>
      <c r="U19" s="706">
        <f>H19</f>
        <v>100</v>
      </c>
      <c r="V19" s="705" t="s">
        <v>14</v>
      </c>
      <c r="W19" s="706">
        <f>J19</f>
        <v>100</v>
      </c>
      <c r="X19" s="1352"/>
      <c r="Y19" s="3782"/>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0"/>
      <c r="M20" s="911"/>
      <c r="N20" s="911"/>
      <c r="O20" s="919"/>
      <c r="P20" s="3782"/>
      <c r="Q20" s="1349"/>
      <c r="R20" s="705"/>
      <c r="S20" s="706"/>
      <c r="T20" s="705"/>
      <c r="U20" s="706"/>
      <c r="V20" s="705"/>
      <c r="W20" s="706"/>
      <c r="X20" s="1352"/>
      <c r="Y20" s="3782"/>
      <c r="Z20" s="1353"/>
      <c r="AA20" s="1350">
        <v>1</v>
      </c>
      <c r="AB20" s="1350">
        <v>1</v>
      </c>
      <c r="AC20" s="1350">
        <v>1</v>
      </c>
    </row>
    <row r="21" spans="1:29" ht="41.4">
      <c r="A21" s="379"/>
      <c r="B21" s="1128" t="s">
        <v>1811</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0"/>
      <c r="M21" s="911"/>
      <c r="N21" s="911"/>
      <c r="O21" s="919"/>
      <c r="P21" s="3782"/>
      <c r="Q21" s="1349" t="str">
        <f>B21</f>
        <v>基础设施水平</v>
      </c>
      <c r="R21" s="705" t="s">
        <v>14</v>
      </c>
      <c r="S21" s="706">
        <f>F21</f>
        <v>100</v>
      </c>
      <c r="T21" s="705" t="s">
        <v>14</v>
      </c>
      <c r="U21" s="706">
        <f>H21</f>
        <v>100</v>
      </c>
      <c r="V21" s="705" t="s">
        <v>14</v>
      </c>
      <c r="W21" s="706">
        <f>J21</f>
        <v>100</v>
      </c>
      <c r="X21" s="1352"/>
      <c r="Y21" s="3782"/>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0"/>
      <c r="M22" s="911"/>
      <c r="N22" s="911"/>
      <c r="O22" s="919"/>
      <c r="P22" s="3782"/>
      <c r="Q22" s="1349"/>
      <c r="R22" s="705"/>
      <c r="S22" s="706"/>
      <c r="T22" s="705"/>
      <c r="U22" s="706"/>
      <c r="V22" s="705"/>
      <c r="W22" s="706"/>
      <c r="X22" s="1352"/>
      <c r="Y22" s="3782"/>
      <c r="Z22" s="1353"/>
      <c r="AA22" s="1350">
        <v>1</v>
      </c>
      <c r="AB22" s="1350">
        <v>1</v>
      </c>
      <c r="AC22" s="1350">
        <v>1</v>
      </c>
    </row>
    <row r="23" spans="1:29" ht="82.8">
      <c r="A23" s="379"/>
      <c r="B23" s="402" t="s">
        <v>1812</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0"/>
      <c r="M23" s="911"/>
      <c r="N23" s="911"/>
      <c r="O23" s="919"/>
      <c r="P23" s="3782"/>
      <c r="Q23" s="1349" t="str">
        <f>B23</f>
        <v>环境质量</v>
      </c>
      <c r="R23" s="705" t="s">
        <v>14</v>
      </c>
      <c r="S23" s="706">
        <f>F23</f>
        <v>100</v>
      </c>
      <c r="T23" s="705" t="s">
        <v>14</v>
      </c>
      <c r="U23" s="706">
        <f>H23</f>
        <v>100</v>
      </c>
      <c r="V23" s="705" t="s">
        <v>14</v>
      </c>
      <c r="W23" s="706">
        <f>J23</f>
        <v>100</v>
      </c>
      <c r="X23" s="1352"/>
      <c r="Y23" s="3782"/>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0"/>
      <c r="M24" s="911"/>
      <c r="N24" s="911"/>
      <c r="O24" s="919"/>
      <c r="P24" s="3782"/>
      <c r="Q24" s="1349"/>
      <c r="R24" s="705"/>
      <c r="S24" s="706"/>
      <c r="T24" s="705"/>
      <c r="U24" s="706"/>
      <c r="V24" s="705"/>
      <c r="W24" s="706"/>
      <c r="X24" s="1352"/>
      <c r="Y24" s="3782"/>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0"/>
      <c r="M25" s="911"/>
      <c r="N25" s="911"/>
      <c r="O25" s="919"/>
      <c r="P25" s="3782"/>
      <c r="Q25" s="1349">
        <f>B25</f>
        <v>111</v>
      </c>
      <c r="R25" s="705" t="s">
        <v>14</v>
      </c>
      <c r="S25" s="706">
        <f>F25</f>
        <v>100</v>
      </c>
      <c r="T25" s="705" t="s">
        <v>14</v>
      </c>
      <c r="U25" s="706">
        <f>H25</f>
        <v>100</v>
      </c>
      <c r="V25" s="705" t="s">
        <v>14</v>
      </c>
      <c r="W25" s="706">
        <f>J25</f>
        <v>100</v>
      </c>
      <c r="X25" s="1352"/>
      <c r="Y25" s="3782"/>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0"/>
      <c r="M26" s="911"/>
      <c r="N26" s="911"/>
      <c r="O26" s="919"/>
      <c r="P26" s="3782"/>
      <c r="Q26" s="1349">
        <f t="shared" ref="Q26:Q40" si="11">B26</f>
        <v>111</v>
      </c>
      <c r="R26" s="705" t="s">
        <v>14</v>
      </c>
      <c r="S26" s="706">
        <f>F26</f>
        <v>100</v>
      </c>
      <c r="T26" s="705" t="s">
        <v>14</v>
      </c>
      <c r="U26" s="706">
        <f>H26</f>
        <v>100</v>
      </c>
      <c r="V26" s="705" t="s">
        <v>14</v>
      </c>
      <c r="W26" s="706">
        <f>J26</f>
        <v>100</v>
      </c>
      <c r="X26" s="1352"/>
      <c r="Y26" s="3782"/>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2"/>
      <c r="M27" s="913"/>
      <c r="N27" s="913"/>
      <c r="O27" s="914"/>
      <c r="P27" s="3782"/>
      <c r="Q27" s="1340">
        <f t="shared" si="11"/>
        <v>111</v>
      </c>
      <c r="R27" s="701" t="s">
        <v>14</v>
      </c>
      <c r="S27" s="702">
        <f>F27</f>
        <v>100</v>
      </c>
      <c r="T27" s="701" t="s">
        <v>14</v>
      </c>
      <c r="U27" s="702">
        <f>H27</f>
        <v>100</v>
      </c>
      <c r="V27" s="701" t="s">
        <v>14</v>
      </c>
      <c r="W27" s="702">
        <f>J27</f>
        <v>100</v>
      </c>
      <c r="X27" s="703"/>
      <c r="Y27" s="3782"/>
      <c r="Z27" s="52">
        <f>Q27</f>
        <v>111</v>
      </c>
      <c r="AA27" s="1350">
        <f>D27/F27</f>
        <v>1</v>
      </c>
      <c r="AB27" s="1350">
        <f>D27/H27</f>
        <v>1</v>
      </c>
      <c r="AC27" s="1350">
        <f>D27/J27</f>
        <v>1</v>
      </c>
    </row>
    <row r="28" spans="1:29" ht="15.6"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0"/>
      <c r="M28" s="911"/>
      <c r="N28" s="911"/>
      <c r="O28" s="919"/>
      <c r="P28" s="3782"/>
      <c r="Q28" s="1349">
        <f t="shared" si="11"/>
        <v>111</v>
      </c>
      <c r="R28" s="705" t="s">
        <v>14</v>
      </c>
      <c r="S28" s="706">
        <f t="shared" ref="S28:S40" si="12">F28</f>
        <v>100</v>
      </c>
      <c r="T28" s="705" t="s">
        <v>14</v>
      </c>
      <c r="U28" s="706">
        <f t="shared" ref="U28:U40" si="13">H28</f>
        <v>100</v>
      </c>
      <c r="V28" s="705" t="s">
        <v>14</v>
      </c>
      <c r="W28" s="706">
        <f t="shared" ref="W28:W40" si="14">J28</f>
        <v>100</v>
      </c>
      <c r="X28" s="1352"/>
      <c r="Y28" s="3782"/>
      <c r="Z28" s="1353">
        <f t="shared" ref="Z28:Z40" si="15">Q28</f>
        <v>111</v>
      </c>
      <c r="AA28" s="1350">
        <f t="shared" si="3"/>
        <v>1</v>
      </c>
      <c r="AB28" s="1350">
        <f t="shared" si="4"/>
        <v>1</v>
      </c>
      <c r="AC28" s="1350">
        <f t="shared" si="5"/>
        <v>1</v>
      </c>
    </row>
    <row r="29" spans="1:29" ht="30">
      <c r="A29" s="417" t="s">
        <v>1692</v>
      </c>
      <c r="B29" s="63" t="s">
        <v>1815</v>
      </c>
      <c r="C29" s="1964"/>
      <c r="D29" s="418">
        <v>100</v>
      </c>
      <c r="E29" s="1964"/>
      <c r="F29" s="412">
        <f>SUMIF(88:88,E29,89:89)-SUMIF(88:88,C29,89:89)+100</f>
        <v>100</v>
      </c>
      <c r="G29" s="1964"/>
      <c r="H29" s="386">
        <f>SUMIF(88:88,G29,89:89)-SUMIF(88:88,C29,89:89)+100</f>
        <v>100</v>
      </c>
      <c r="I29" s="1964"/>
      <c r="J29" s="418">
        <f>SUMIF(88:88,I29,89:89)-SUMIF(88:88,C29,89:89)+100</f>
        <v>100</v>
      </c>
      <c r="K29" s="561"/>
      <c r="L29" s="920"/>
      <c r="M29" s="911"/>
      <c r="N29" s="911"/>
      <c r="O29" s="919"/>
      <c r="P29" s="3837" t="s">
        <v>1694</v>
      </c>
      <c r="Q29" s="1349" t="str">
        <f t="shared" si="11"/>
        <v>建筑类型</v>
      </c>
      <c r="R29" s="705" t="s">
        <v>14</v>
      </c>
      <c r="S29" s="706">
        <f t="shared" si="12"/>
        <v>100</v>
      </c>
      <c r="T29" s="705" t="s">
        <v>14</v>
      </c>
      <c r="U29" s="706">
        <f t="shared" si="13"/>
        <v>100</v>
      </c>
      <c r="V29" s="705" t="s">
        <v>14</v>
      </c>
      <c r="W29" s="706">
        <f t="shared" si="14"/>
        <v>100</v>
      </c>
      <c r="X29" s="1352"/>
      <c r="Y29" s="3786"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8"/>
      <c r="M30" s="921"/>
      <c r="N30" s="921"/>
      <c r="O30" s="922"/>
      <c r="P30" s="3786"/>
      <c r="Q30" s="707" t="str">
        <f t="shared" si="11"/>
        <v>项目建筑规模</v>
      </c>
      <c r="R30" s="708" t="s">
        <v>14</v>
      </c>
      <c r="S30" s="709" t="e">
        <f t="shared" si="12"/>
        <v>#N/A</v>
      </c>
      <c r="T30" s="708" t="s">
        <v>14</v>
      </c>
      <c r="U30" s="709" t="e">
        <f t="shared" si="13"/>
        <v>#N/A</v>
      </c>
      <c r="V30" s="708" t="s">
        <v>14</v>
      </c>
      <c r="W30" s="709" t="e">
        <f t="shared" si="14"/>
        <v>#N/A</v>
      </c>
      <c r="X30" s="710"/>
      <c r="Y30" s="3786"/>
      <c r="Z30" s="711"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0"/>
      <c r="M31" s="911"/>
      <c r="N31" s="911"/>
      <c r="O31" s="919"/>
      <c r="P31" s="3786"/>
      <c r="Q31" s="1349" t="str">
        <f t="shared" si="11"/>
        <v>建筑结构</v>
      </c>
      <c r="R31" s="705" t="s">
        <v>14</v>
      </c>
      <c r="S31" s="706">
        <f t="shared" si="12"/>
        <v>100</v>
      </c>
      <c r="T31" s="705" t="s">
        <v>14</v>
      </c>
      <c r="U31" s="706">
        <f t="shared" si="13"/>
        <v>100</v>
      </c>
      <c r="V31" s="705" t="s">
        <v>14</v>
      </c>
      <c r="W31" s="706">
        <f t="shared" si="14"/>
        <v>100</v>
      </c>
      <c r="X31" s="1352"/>
      <c r="Y31" s="3786"/>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0"/>
      <c r="M32" s="911"/>
      <c r="N32" s="911"/>
      <c r="O32" s="919"/>
      <c r="P32" s="3786"/>
      <c r="Q32" s="1349" t="str">
        <f t="shared" si="11"/>
        <v>公共部分装修</v>
      </c>
      <c r="R32" s="705" t="s">
        <v>14</v>
      </c>
      <c r="S32" s="706">
        <f t="shared" si="12"/>
        <v>100</v>
      </c>
      <c r="T32" s="705" t="s">
        <v>14</v>
      </c>
      <c r="U32" s="706">
        <f t="shared" si="13"/>
        <v>100</v>
      </c>
      <c r="V32" s="705" t="s">
        <v>14</v>
      </c>
      <c r="W32" s="706">
        <f t="shared" si="14"/>
        <v>100</v>
      </c>
      <c r="X32" s="1352"/>
      <c r="Y32" s="3786"/>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0"/>
      <c r="M33" s="911"/>
      <c r="N33" s="911"/>
      <c r="O33" s="919"/>
      <c r="P33" s="3786"/>
      <c r="Q33" s="1349" t="str">
        <f t="shared" si="11"/>
        <v>成新度</v>
      </c>
      <c r="R33" s="705" t="s">
        <v>14</v>
      </c>
      <c r="S33" s="706" t="e">
        <f t="shared" si="12"/>
        <v>#N/A</v>
      </c>
      <c r="T33" s="705" t="s">
        <v>14</v>
      </c>
      <c r="U33" s="706" t="e">
        <f t="shared" si="13"/>
        <v>#N/A</v>
      </c>
      <c r="V33" s="705" t="s">
        <v>14</v>
      </c>
      <c r="W33" s="706" t="e">
        <f t="shared" si="14"/>
        <v>#N/A</v>
      </c>
      <c r="X33" s="1352"/>
      <c r="Y33" s="3786"/>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2"/>
      <c r="M34" s="913"/>
      <c r="N34" s="913"/>
      <c r="O34" s="914"/>
      <c r="P34" s="3786"/>
      <c r="Q34" s="1340" t="str">
        <f t="shared" si="11"/>
        <v>物业管理</v>
      </c>
      <c r="R34" s="701" t="s">
        <v>14</v>
      </c>
      <c r="S34" s="702">
        <f t="shared" si="12"/>
        <v>100</v>
      </c>
      <c r="T34" s="701" t="s">
        <v>14</v>
      </c>
      <c r="U34" s="702">
        <f t="shared" si="13"/>
        <v>100</v>
      </c>
      <c r="V34" s="701" t="s">
        <v>14</v>
      </c>
      <c r="W34" s="702">
        <f t="shared" si="14"/>
        <v>100</v>
      </c>
      <c r="X34" s="703"/>
      <c r="Y34" s="3786"/>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0"/>
      <c r="M35" s="911"/>
      <c r="N35" s="911"/>
      <c r="O35" s="919"/>
      <c r="P35" s="3786" t="s">
        <v>1694</v>
      </c>
      <c r="Q35" s="1349" t="str">
        <f t="shared" si="11"/>
        <v>市政基础设施</v>
      </c>
      <c r="R35" s="705" t="s">
        <v>14</v>
      </c>
      <c r="S35" s="706">
        <f t="shared" si="12"/>
        <v>100</v>
      </c>
      <c r="T35" s="705" t="s">
        <v>14</v>
      </c>
      <c r="U35" s="706">
        <f t="shared" si="13"/>
        <v>100</v>
      </c>
      <c r="V35" s="705" t="s">
        <v>14</v>
      </c>
      <c r="W35" s="706">
        <f t="shared" si="14"/>
        <v>100</v>
      </c>
      <c r="X35" s="1352"/>
      <c r="Y35" s="3786"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0"/>
      <c r="M36" s="911"/>
      <c r="N36" s="911"/>
      <c r="O36" s="919"/>
      <c r="P36" s="3786"/>
      <c r="Q36" s="1349" t="str">
        <f t="shared" si="11"/>
        <v>内部装修</v>
      </c>
      <c r="R36" s="705" t="s">
        <v>14</v>
      </c>
      <c r="S36" s="706">
        <f t="shared" si="12"/>
        <v>100</v>
      </c>
      <c r="T36" s="705" t="s">
        <v>14</v>
      </c>
      <c r="U36" s="706">
        <f t="shared" si="13"/>
        <v>100</v>
      </c>
      <c r="V36" s="705" t="s">
        <v>14</v>
      </c>
      <c r="W36" s="706">
        <f t="shared" si="14"/>
        <v>100</v>
      </c>
      <c r="X36" s="1352"/>
      <c r="Y36" s="3786"/>
      <c r="Z36" s="1353" t="str">
        <f t="shared" si="15"/>
        <v>内部装修</v>
      </c>
      <c r="AA36" s="1350">
        <f t="shared" si="3"/>
        <v>1</v>
      </c>
      <c r="AB36" s="1350">
        <f t="shared" si="4"/>
        <v>1</v>
      </c>
      <c r="AC36" s="1350">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0"/>
      <c r="M37" s="911"/>
      <c r="N37" s="911"/>
      <c r="O37" s="919"/>
      <c r="P37" s="3786"/>
      <c r="Q37" s="1349" t="str">
        <f t="shared" si="11"/>
        <v>内部装修状况</v>
      </c>
      <c r="R37" s="705" t="s">
        <v>14</v>
      </c>
      <c r="S37" s="706">
        <f t="shared" si="12"/>
        <v>100</v>
      </c>
      <c r="T37" s="705" t="s">
        <v>14</v>
      </c>
      <c r="U37" s="706">
        <f t="shared" si="13"/>
        <v>100</v>
      </c>
      <c r="V37" s="705" t="s">
        <v>14</v>
      </c>
      <c r="W37" s="706">
        <f t="shared" si="14"/>
        <v>100</v>
      </c>
      <c r="X37" s="1352"/>
      <c r="Y37" s="3786"/>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8"/>
      <c r="M38" s="921"/>
      <c r="N38" s="921"/>
      <c r="O38" s="922"/>
      <c r="P38" s="3786"/>
      <c r="Q38" s="707">
        <f t="shared" si="11"/>
        <v>111</v>
      </c>
      <c r="R38" s="708" t="s">
        <v>14</v>
      </c>
      <c r="S38" s="709">
        <f t="shared" si="12"/>
        <v>100</v>
      </c>
      <c r="T38" s="708" t="s">
        <v>14</v>
      </c>
      <c r="U38" s="709">
        <f t="shared" si="13"/>
        <v>100</v>
      </c>
      <c r="V38" s="708" t="s">
        <v>14</v>
      </c>
      <c r="W38" s="709">
        <f t="shared" si="14"/>
        <v>100</v>
      </c>
      <c r="X38" s="710"/>
      <c r="Y38" s="3786"/>
      <c r="Z38" s="711">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0"/>
      <c r="M39" s="911"/>
      <c r="N39" s="911"/>
      <c r="O39" s="919"/>
      <c r="P39" s="3786"/>
      <c r="Q39" s="1349">
        <f t="shared" si="11"/>
        <v>111</v>
      </c>
      <c r="R39" s="705" t="s">
        <v>14</v>
      </c>
      <c r="S39" s="706">
        <f t="shared" si="12"/>
        <v>100</v>
      </c>
      <c r="T39" s="705" t="s">
        <v>14</v>
      </c>
      <c r="U39" s="706">
        <f t="shared" si="13"/>
        <v>100</v>
      </c>
      <c r="V39" s="705" t="s">
        <v>14</v>
      </c>
      <c r="W39" s="706">
        <f t="shared" si="14"/>
        <v>100</v>
      </c>
      <c r="X39" s="1352"/>
      <c r="Y39" s="3786"/>
      <c r="Z39" s="1353">
        <f t="shared" si="15"/>
        <v>111</v>
      </c>
      <c r="AA39" s="1350">
        <f t="shared" si="3"/>
        <v>1</v>
      </c>
      <c r="AB39" s="1350">
        <f t="shared" si="4"/>
        <v>1</v>
      </c>
      <c r="AC39" s="1350">
        <f t="shared" si="5"/>
        <v>1</v>
      </c>
    </row>
    <row r="40" spans="1:29" ht="15.6"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0"/>
      <c r="M40" s="911"/>
      <c r="N40" s="911"/>
      <c r="O40" s="919"/>
      <c r="P40" s="3787"/>
      <c r="Q40" s="1349">
        <f t="shared" si="11"/>
        <v>111</v>
      </c>
      <c r="R40" s="705" t="s">
        <v>14</v>
      </c>
      <c r="S40" s="706">
        <f t="shared" si="12"/>
        <v>100</v>
      </c>
      <c r="T40" s="705" t="s">
        <v>14</v>
      </c>
      <c r="U40" s="706">
        <f t="shared" si="13"/>
        <v>100</v>
      </c>
      <c r="V40" s="705" t="s">
        <v>14</v>
      </c>
      <c r="W40" s="706">
        <f t="shared" si="14"/>
        <v>100</v>
      </c>
      <c r="X40" s="1352"/>
      <c r="Y40" s="3787"/>
      <c r="Z40" s="1353">
        <f t="shared" si="15"/>
        <v>111</v>
      </c>
      <c r="AA40" s="1350">
        <f t="shared" si="3"/>
        <v>1</v>
      </c>
      <c r="AB40" s="1350">
        <f t="shared" si="4"/>
        <v>1</v>
      </c>
      <c r="AC40" s="1350">
        <f t="shared" si="5"/>
        <v>1</v>
      </c>
    </row>
    <row r="41" spans="1:29" ht="14.4">
      <c r="A41" s="430" t="s">
        <v>1706</v>
      </c>
      <c r="B41" s="431"/>
      <c r="C41" s="1151" t="s">
        <v>0</v>
      </c>
      <c r="D41" s="1152"/>
      <c r="E41" s="1153"/>
      <c r="F41" s="1154"/>
      <c r="G41" s="1155"/>
      <c r="H41" s="1156"/>
      <c r="I41" s="1153"/>
      <c r="J41" s="1156"/>
      <c r="K41" s="714"/>
      <c r="L41" s="923"/>
      <c r="M41" s="924"/>
      <c r="N41" s="911"/>
      <c r="O41" s="924"/>
      <c r="P41" s="3779" t="str">
        <f>A41</f>
        <v>成交单价（元/平方米）</v>
      </c>
      <c r="Q41" s="3779"/>
      <c r="R41" s="3780">
        <f>E41</f>
        <v>0</v>
      </c>
      <c r="S41" s="3780"/>
      <c r="T41" s="3780">
        <f>G41</f>
        <v>0</v>
      </c>
      <c r="U41" s="3780"/>
      <c r="V41" s="3780">
        <f>I41</f>
        <v>0</v>
      </c>
      <c r="W41" s="3780"/>
      <c r="X41" s="690"/>
      <c r="Y41" s="712"/>
      <c r="Z41" s="690"/>
      <c r="AA41" s="690"/>
      <c r="AB41" s="690"/>
      <c r="AC41" s="690"/>
    </row>
    <row r="42" spans="1:29" ht="15" thickBot="1">
      <c r="A42" s="437" t="s">
        <v>1791</v>
      </c>
      <c r="B42" s="438"/>
      <c r="C42" s="1157" t="e">
        <f>R43</f>
        <v>#DIV/0!</v>
      </c>
      <c r="D42" s="2314" t="s">
        <v>2135</v>
      </c>
      <c r="E42" s="1158" t="e">
        <f>R42</f>
        <v>#DIV/0!</v>
      </c>
      <c r="F42" s="2315"/>
      <c r="G42" s="1157" t="e">
        <f>T42</f>
        <v>#DIV/0!</v>
      </c>
      <c r="H42" s="2315"/>
      <c r="I42" s="1158" t="e">
        <f>V42</f>
        <v>#DIV/0!</v>
      </c>
      <c r="J42" s="2315"/>
      <c r="K42" s="2317">
        <f>F42+H42+J42</f>
        <v>0</v>
      </c>
      <c r="L42" s="923"/>
      <c r="M42" s="924"/>
      <c r="N42" s="911"/>
      <c r="O42" s="924"/>
      <c r="P42" s="3779" t="str">
        <f>A42</f>
        <v>比较价值（元/平方米）</v>
      </c>
      <c r="Q42" s="3779"/>
      <c r="R42" s="3780" t="e">
        <f>IF(F1="售价",ROUND(PRODUCT(R41,AA7:AA40),0),ROUND(PRODUCT(R41,AA7:AA40),1))</f>
        <v>#DIV/0!</v>
      </c>
      <c r="S42" s="3780"/>
      <c r="T42" s="3780" t="e">
        <f>IF(F1="售价",ROUND(PRODUCT(T41,AB7:AB40),0),ROUND(PRODUCT(T41,AB7:AB40),1))</f>
        <v>#DIV/0!</v>
      </c>
      <c r="U42" s="3780"/>
      <c r="V42" s="3780" t="e">
        <f>IF(F1="售价",ROUND(PRODUCT(V41,AC7:AC40),0),ROUND(PRODUCT(V41,AC7:AC40),1))</f>
        <v>#DIV/0!</v>
      </c>
      <c r="W42" s="3780"/>
      <c r="X42" s="690"/>
      <c r="Y42" s="690"/>
      <c r="Z42" s="690"/>
      <c r="AA42" s="690"/>
      <c r="AB42" s="690"/>
      <c r="AC42" s="690"/>
    </row>
    <row r="43" spans="1:29" ht="15" thickBot="1">
      <c r="A43" s="441" t="s">
        <v>1792</v>
      </c>
      <c r="B43" s="442"/>
      <c r="C43" s="1160" t="e">
        <f>R43</f>
        <v>#DIV/0!</v>
      </c>
      <c r="D43" s="1160"/>
      <c r="E43" s="1160"/>
      <c r="F43" s="1160"/>
      <c r="G43" s="1160"/>
      <c r="H43" s="1160"/>
      <c r="I43" s="1160"/>
      <c r="J43" s="1160"/>
      <c r="K43" s="715"/>
      <c r="L43" s="923"/>
      <c r="M43" s="924"/>
      <c r="N43" s="924"/>
      <c r="O43" s="924"/>
      <c r="P43" s="3776" t="str">
        <f>A43</f>
        <v>估价对象XX用房的比较价值（楼面单价，元/平方米）</v>
      </c>
      <c r="Q43" s="3777"/>
      <c r="R43" s="3778" t="e">
        <f>IF(F1="售价",ROUND(IF(D42="简单平均",AVERAGE(R42:V42),R42*F42+T42*H42+V42*J42),0),ROUND(IF(D42="简单平均",AVERAGE(R42:V42),R42*F42+T42*H42+V42*J42),1))</f>
        <v>#DIV/0!</v>
      </c>
      <c r="S43" s="3778"/>
      <c r="T43" s="3778"/>
      <c r="U43" s="3778"/>
      <c r="V43" s="3778"/>
      <c r="W43" s="3778"/>
      <c r="X43" s="690"/>
      <c r="Y43" s="690"/>
      <c r="Z43" s="690"/>
      <c r="AA43" s="690"/>
      <c r="AB43" s="690"/>
      <c r="AC43" s="690"/>
    </row>
    <row r="44" spans="1:29">
      <c r="A44" s="2722"/>
      <c r="B44" s="2722"/>
      <c r="C44" s="2722"/>
      <c r="D44" s="2722"/>
      <c r="E44" s="2722"/>
      <c r="F44" s="2722"/>
      <c r="G44" s="2726"/>
      <c r="H44" s="2722"/>
      <c r="I44" s="2722"/>
      <c r="J44" s="2722"/>
      <c r="K44" s="2727"/>
      <c r="L44" s="886"/>
      <c r="M44" s="924"/>
      <c r="N44" s="924"/>
      <c r="O44" s="924"/>
    </row>
    <row r="45" spans="1:29">
      <c r="A45" s="2722"/>
      <c r="B45" s="2722"/>
      <c r="C45" s="2722"/>
      <c r="D45" s="2722"/>
      <c r="E45" s="2722"/>
      <c r="F45" s="2722"/>
      <c r="G45" s="2722"/>
      <c r="H45" s="2722"/>
      <c r="I45" s="2722"/>
      <c r="J45" s="2722"/>
      <c r="K45" s="2727"/>
      <c r="L45" s="886"/>
      <c r="M45" s="924"/>
      <c r="N45" s="924"/>
      <c r="O45" s="924"/>
    </row>
    <row r="46" spans="1:29"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6"/>
      <c r="M46" s="924"/>
      <c r="N46" s="924"/>
      <c r="O46" s="924"/>
    </row>
    <row r="47" spans="1:29"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6"/>
      <c r="M47" s="924"/>
      <c r="N47" s="924"/>
      <c r="O47" s="924"/>
    </row>
    <row r="48" spans="1:29"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7"/>
      <c r="M48" s="925"/>
      <c r="N48" s="925"/>
      <c r="O48" s="925"/>
    </row>
    <row r="49" spans="1:17" s="451" customFormat="1">
      <c r="A49" s="2725"/>
      <c r="B49" s="2728"/>
      <c r="C49" s="2729"/>
      <c r="D49" s="2725"/>
      <c r="E49" s="2725"/>
      <c r="F49" s="2725"/>
      <c r="G49" s="2725"/>
      <c r="H49" s="2725"/>
      <c r="I49" s="2725"/>
      <c r="J49" s="2725"/>
      <c r="K49" s="2730"/>
      <c r="L49" s="927"/>
      <c r="M49" s="925"/>
      <c r="N49" s="925"/>
      <c r="O49" s="925"/>
    </row>
    <row r="50" spans="1:17">
      <c r="A50" s="2722"/>
      <c r="B50" s="2728"/>
      <c r="C50" s="2729"/>
      <c r="D50" s="2722"/>
      <c r="E50" s="2722"/>
      <c r="F50" s="2722"/>
      <c r="G50" s="2722"/>
      <c r="H50" s="2722"/>
      <c r="I50" s="2722"/>
      <c r="J50" s="2722"/>
      <c r="K50" s="2727"/>
      <c r="L50" s="886"/>
      <c r="M50" s="924"/>
      <c r="N50" s="924"/>
      <c r="O50" s="924"/>
    </row>
    <row r="51" spans="1:17" ht="22.2" thickBot="1">
      <c r="A51" s="694" t="s">
        <v>1796</v>
      </c>
      <c r="B51" s="690"/>
      <c r="C51" s="695"/>
      <c r="D51" s="695"/>
      <c r="E51" s="695"/>
      <c r="F51" s="696"/>
      <c r="G51" s="696"/>
      <c r="H51" s="695"/>
      <c r="I51" s="695"/>
      <c r="J51" s="695"/>
      <c r="K51" s="938"/>
      <c r="L51" s="939"/>
      <c r="M51" s="937"/>
      <c r="N51" s="937"/>
      <c r="O51" s="937"/>
      <c r="P51" s="452"/>
      <c r="Q51" s="453"/>
    </row>
    <row r="52" spans="1:17" s="457" customFormat="1" ht="14.4">
      <c r="A52" s="454" t="s">
        <v>1677</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c r="A53" s="458"/>
      <c r="B53" s="459"/>
      <c r="C53" s="1180">
        <v>100</v>
      </c>
      <c r="D53" s="461"/>
      <c r="E53" s="461"/>
      <c r="F53" s="461"/>
      <c r="G53" s="461"/>
      <c r="H53" s="461"/>
      <c r="I53" s="461"/>
      <c r="J53" s="461"/>
      <c r="K53" s="461"/>
      <c r="L53" s="461"/>
      <c r="M53" s="462"/>
      <c r="N53" s="461"/>
      <c r="O53" s="463"/>
      <c r="P53" s="453"/>
    </row>
    <row r="54" spans="1:17" s="108" customFormat="1" ht="15" thickBot="1">
      <c r="A54" s="464" t="s">
        <v>1714</v>
      </c>
      <c r="B54" s="465"/>
      <c r="C54" s="466"/>
      <c r="D54" s="467"/>
      <c r="E54" s="467"/>
      <c r="F54" s="467"/>
      <c r="G54" s="467"/>
      <c r="H54" s="467"/>
      <c r="I54" s="467"/>
      <c r="J54" s="467"/>
      <c r="K54" s="467"/>
      <c r="L54" s="467"/>
      <c r="M54" s="468"/>
      <c r="N54" s="2767"/>
      <c r="O54" s="2768"/>
      <c r="P54" s="453"/>
      <c r="Q54" s="453"/>
    </row>
    <row r="55" spans="1:17" s="108" customFormat="1" ht="14.4">
      <c r="A55" s="470" t="s">
        <v>1679</v>
      </c>
      <c r="B55" s="459"/>
      <c r="C55" s="471" t="s">
        <v>1774</v>
      </c>
      <c r="D55" s="472"/>
      <c r="E55" s="472"/>
      <c r="F55" s="472"/>
      <c r="G55" s="472"/>
      <c r="H55" s="472"/>
      <c r="I55" s="472"/>
      <c r="J55" s="472"/>
      <c r="K55" s="472"/>
      <c r="L55" s="473"/>
      <c r="M55" s="474"/>
      <c r="N55" s="929"/>
      <c r="O55" s="929"/>
      <c r="P55" s="475"/>
      <c r="Q55" s="453"/>
    </row>
    <row r="56" spans="1:17" s="108" customFormat="1" ht="14.4" thickBot="1">
      <c r="A56" s="470"/>
      <c r="B56" s="459"/>
      <c r="C56" s="587">
        <v>100</v>
      </c>
      <c r="D56" s="461"/>
      <c r="E56" s="461"/>
      <c r="F56" s="461"/>
      <c r="G56" s="461"/>
      <c r="H56" s="461"/>
      <c r="I56" s="461"/>
      <c r="J56" s="461"/>
      <c r="K56" s="461"/>
      <c r="L56" s="461"/>
      <c r="M56" s="463"/>
      <c r="N56" s="929"/>
      <c r="O56" s="929"/>
      <c r="P56" s="453"/>
      <c r="Q56" s="453"/>
    </row>
    <row r="57" spans="1:17" ht="14.4">
      <c r="A57" s="476" t="s">
        <v>1717</v>
      </c>
      <c r="B57" s="477" t="s">
        <v>1683</v>
      </c>
      <c r="C57" s="478">
        <f>C9</f>
        <v>0</v>
      </c>
      <c r="D57" s="479"/>
      <c r="E57" s="479"/>
      <c r="F57" s="479"/>
      <c r="G57" s="479"/>
      <c r="H57" s="479"/>
      <c r="I57" s="479"/>
      <c r="J57" s="479"/>
      <c r="K57" s="480"/>
      <c r="L57" s="481"/>
      <c r="M57" s="482"/>
      <c r="N57" s="930"/>
      <c r="O57" s="930"/>
      <c r="P57" s="42"/>
      <c r="Q57" s="453"/>
    </row>
    <row r="58" spans="1:17" ht="14.4" thickBot="1">
      <c r="A58" s="483"/>
      <c r="B58" s="484"/>
      <c r="C58" s="485">
        <v>100</v>
      </c>
      <c r="D58" s="485"/>
      <c r="E58" s="485"/>
      <c r="F58" s="485"/>
      <c r="G58" s="485"/>
      <c r="H58" s="485"/>
      <c r="I58" s="485"/>
      <c r="J58" s="485"/>
      <c r="K58" s="485"/>
      <c r="L58" s="485"/>
      <c r="M58" s="486"/>
      <c r="N58" s="931"/>
      <c r="O58" s="931"/>
      <c r="P58" s="42"/>
      <c r="Q58" s="453"/>
    </row>
    <row r="59" spans="1:17" ht="29.4" thickTop="1">
      <c r="A59" s="483"/>
      <c r="B59" s="487" t="s">
        <v>1686</v>
      </c>
      <c r="C59" s="532"/>
      <c r="D59" s="532"/>
      <c r="E59" s="532"/>
      <c r="F59" s="532"/>
      <c r="G59" s="532"/>
      <c r="H59" s="532"/>
      <c r="I59" s="532"/>
      <c r="J59" s="532"/>
      <c r="K59" s="533"/>
      <c r="L59" s="534"/>
      <c r="M59" s="535"/>
      <c r="N59" s="930"/>
      <c r="O59" s="930"/>
      <c r="P59" s="42"/>
      <c r="Q59" s="453"/>
    </row>
    <row r="60" spans="1:17" ht="14.4" thickBot="1">
      <c r="A60" s="483"/>
      <c r="B60" s="492"/>
      <c r="C60" s="485"/>
      <c r="D60" s="485"/>
      <c r="E60" s="485"/>
      <c r="F60" s="485"/>
      <c r="G60" s="485"/>
      <c r="H60" s="485"/>
      <c r="I60" s="485"/>
      <c r="J60" s="485"/>
      <c r="K60" s="485"/>
      <c r="L60" s="485"/>
      <c r="M60" s="486"/>
      <c r="N60" s="931"/>
      <c r="O60" s="931"/>
      <c r="P60" s="42"/>
      <c r="Q60" s="453"/>
    </row>
    <row r="61" spans="1:17" ht="1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1"/>
      <c r="O61" s="931"/>
      <c r="P61" s="42"/>
      <c r="Q61" s="453"/>
    </row>
    <row r="62" spans="1:17">
      <c r="A62" s="483"/>
      <c r="B62" s="497"/>
      <c r="C62" s="498">
        <v>0</v>
      </c>
      <c r="D62" s="498">
        <v>2</v>
      </c>
      <c r="E62" s="498"/>
      <c r="F62" s="498"/>
      <c r="G62" s="498"/>
      <c r="H62" s="498"/>
      <c r="I62" s="498"/>
      <c r="J62" s="498"/>
      <c r="K62" s="499"/>
      <c r="L62" s="500"/>
      <c r="M62" s="501"/>
      <c r="N62" s="930"/>
      <c r="O62" s="930"/>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1"/>
      <c r="O63" s="931"/>
      <c r="P63" s="42"/>
      <c r="Q63" s="453"/>
    </row>
    <row r="64" spans="1:17" s="422" customFormat="1" ht="14.4" thickTop="1">
      <c r="A64" s="502"/>
      <c r="B64" s="487">
        <f>B12</f>
        <v>111</v>
      </c>
      <c r="C64" s="503"/>
      <c r="D64" s="503"/>
      <c r="E64" s="503"/>
      <c r="F64" s="503"/>
      <c r="G64" s="503"/>
      <c r="H64" s="504"/>
      <c r="I64" s="504"/>
      <c r="J64" s="504"/>
      <c r="K64" s="504"/>
      <c r="L64" s="505"/>
      <c r="M64" s="506"/>
      <c r="N64" s="932"/>
      <c r="O64" s="932"/>
      <c r="P64" s="507"/>
      <c r="Q64" s="508"/>
    </row>
    <row r="65" spans="1:17" s="422" customFormat="1" ht="14.4" thickBot="1">
      <c r="A65" s="502"/>
      <c r="B65" s="492"/>
      <c r="C65" s="509"/>
      <c r="D65" s="485"/>
      <c r="E65" s="485"/>
      <c r="F65" s="485"/>
      <c r="G65" s="485"/>
      <c r="H65" s="485"/>
      <c r="I65" s="485"/>
      <c r="J65" s="485"/>
      <c r="K65" s="485"/>
      <c r="L65" s="485"/>
      <c r="M65" s="486"/>
      <c r="N65" s="931"/>
      <c r="O65" s="931"/>
      <c r="P65" s="507"/>
      <c r="Q65" s="508"/>
    </row>
    <row r="66" spans="1:17" s="422" customFormat="1" ht="14.4" thickTop="1">
      <c r="A66" s="502"/>
      <c r="B66" s="487">
        <f>B13</f>
        <v>111</v>
      </c>
      <c r="C66" s="503"/>
      <c r="D66" s="503"/>
      <c r="E66" s="503"/>
      <c r="F66" s="503"/>
      <c r="G66" s="503"/>
      <c r="H66" s="504"/>
      <c r="I66" s="504"/>
      <c r="J66" s="504"/>
      <c r="K66" s="504"/>
      <c r="L66" s="505"/>
      <c r="M66" s="506"/>
      <c r="N66" s="932"/>
      <c r="O66" s="932"/>
      <c r="P66" s="421"/>
      <c r="Q66" s="510"/>
    </row>
    <row r="67" spans="1:17" s="422" customFormat="1" ht="14.4" thickBot="1">
      <c r="A67" s="502"/>
      <c r="B67" s="492"/>
      <c r="C67" s="509"/>
      <c r="D67" s="485"/>
      <c r="E67" s="485"/>
      <c r="F67" s="485"/>
      <c r="G67" s="509"/>
      <c r="H67" s="511"/>
      <c r="I67" s="511"/>
      <c r="J67" s="511"/>
      <c r="K67" s="511"/>
      <c r="L67" s="511"/>
      <c r="M67" s="512"/>
      <c r="N67" s="932"/>
      <c r="O67" s="932"/>
      <c r="P67" s="507"/>
      <c r="Q67" s="508"/>
    </row>
    <row r="68" spans="1:17" s="422" customFormat="1" ht="14.4" thickTop="1">
      <c r="A68" s="502"/>
      <c r="B68" s="495">
        <f>B14</f>
        <v>111</v>
      </c>
      <c r="C68" s="472"/>
      <c r="D68" s="472"/>
      <c r="E68" s="472"/>
      <c r="F68" s="472"/>
      <c r="G68" s="472"/>
      <c r="H68" s="513"/>
      <c r="I68" s="513"/>
      <c r="J68" s="513"/>
      <c r="K68" s="513"/>
      <c r="L68" s="514"/>
      <c r="M68" s="515"/>
      <c r="N68" s="932"/>
      <c r="O68" s="932"/>
      <c r="P68" s="516"/>
      <c r="Q68" s="508"/>
    </row>
    <row r="69" spans="1:17" s="422" customFormat="1" ht="14.4" thickBot="1">
      <c r="A69" s="517"/>
      <c r="B69" s="518"/>
      <c r="C69" s="519"/>
      <c r="D69" s="519"/>
      <c r="E69" s="519"/>
      <c r="F69" s="519"/>
      <c r="G69" s="519"/>
      <c r="H69" s="520"/>
      <c r="I69" s="520"/>
      <c r="J69" s="520"/>
      <c r="K69" s="520"/>
      <c r="L69" s="520"/>
      <c r="M69" s="521"/>
      <c r="N69" s="932"/>
      <c r="O69" s="932"/>
      <c r="P69" s="507"/>
      <c r="Q69" s="508"/>
    </row>
    <row r="70" spans="1:17" ht="14.4">
      <c r="A70" s="476" t="s">
        <v>1688</v>
      </c>
      <c r="B70" s="477" t="s">
        <v>1827</v>
      </c>
      <c r="C70" s="522" t="s">
        <v>1719</v>
      </c>
      <c r="D70" s="522" t="s">
        <v>1720</v>
      </c>
      <c r="E70" s="522" t="s">
        <v>1721</v>
      </c>
      <c r="F70" s="522" t="s">
        <v>1722</v>
      </c>
      <c r="G70" s="522" t="s">
        <v>1723</v>
      </c>
      <c r="H70" s="478"/>
      <c r="I70" s="478"/>
      <c r="J70" s="478"/>
      <c r="K70" s="523"/>
      <c r="L70" s="524"/>
      <c r="M70" s="525"/>
      <c r="N70" s="930"/>
      <c r="O70" s="930"/>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1"/>
      <c r="O71" s="931"/>
      <c r="P71" s="42"/>
      <c r="Q71" s="453"/>
    </row>
    <row r="72" spans="1:17" ht="15" thickTop="1">
      <c r="A72" s="483"/>
      <c r="B72" s="487" t="s">
        <v>1724</v>
      </c>
      <c r="C72" s="527" t="s">
        <v>1719</v>
      </c>
      <c r="D72" s="527" t="s">
        <v>1720</v>
      </c>
      <c r="E72" s="527" t="s">
        <v>1721</v>
      </c>
      <c r="F72" s="527" t="s">
        <v>1722</v>
      </c>
      <c r="G72" s="527" t="s">
        <v>1723</v>
      </c>
      <c r="H72" s="488"/>
      <c r="I72" s="488"/>
      <c r="J72" s="488"/>
      <c r="K72" s="489"/>
      <c r="L72" s="490"/>
      <c r="M72" s="491"/>
      <c r="N72" s="930"/>
      <c r="O72" s="930"/>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1"/>
      <c r="O73" s="931"/>
      <c r="P73" s="42"/>
      <c r="Q73" s="453"/>
    </row>
    <row r="74" spans="1:17" ht="15" thickTop="1">
      <c r="A74" s="483"/>
      <c r="B74" s="487" t="s">
        <v>1725</v>
      </c>
      <c r="C74" s="527" t="s">
        <v>1719</v>
      </c>
      <c r="D74" s="527" t="s">
        <v>1720</v>
      </c>
      <c r="E74" s="527" t="s">
        <v>1721</v>
      </c>
      <c r="F74" s="527" t="s">
        <v>1722</v>
      </c>
      <c r="G74" s="527" t="s">
        <v>1723</v>
      </c>
      <c r="H74" s="488"/>
      <c r="I74" s="488"/>
      <c r="J74" s="488"/>
      <c r="K74" s="489"/>
      <c r="L74" s="490"/>
      <c r="M74" s="491"/>
      <c r="N74" s="930"/>
      <c r="O74" s="930"/>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1"/>
      <c r="O75" s="931"/>
      <c r="P75" s="42"/>
      <c r="Q75" s="453"/>
    </row>
    <row r="76" spans="1:17" ht="15" thickTop="1">
      <c r="A76" s="483"/>
      <c r="B76" s="495" t="s">
        <v>1811</v>
      </c>
      <c r="C76" s="608" t="s">
        <v>1797</v>
      </c>
      <c r="D76" s="608" t="s">
        <v>1798</v>
      </c>
      <c r="E76" s="608" t="s">
        <v>1799</v>
      </c>
      <c r="F76" s="608" t="s">
        <v>1800</v>
      </c>
      <c r="G76" s="608" t="s">
        <v>1801</v>
      </c>
      <c r="H76" s="488"/>
      <c r="I76" s="488"/>
      <c r="J76" s="488"/>
      <c r="K76" s="488"/>
      <c r="L76" s="488"/>
      <c r="M76" s="1126"/>
      <c r="N76" s="931"/>
      <c r="O76" s="931"/>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1"/>
      <c r="O77" s="931"/>
      <c r="P77" s="42"/>
      <c r="Q77" s="453"/>
    </row>
    <row r="78" spans="1:17" ht="15" thickTop="1">
      <c r="A78" s="483"/>
      <c r="B78" s="487" t="s">
        <v>1820</v>
      </c>
      <c r="C78" s="527" t="s">
        <v>1719</v>
      </c>
      <c r="D78" s="527" t="s">
        <v>1720</v>
      </c>
      <c r="E78" s="527" t="s">
        <v>1721</v>
      </c>
      <c r="F78" s="527" t="s">
        <v>1722</v>
      </c>
      <c r="G78" s="527" t="s">
        <v>1723</v>
      </c>
      <c r="H78" s="488"/>
      <c r="I78" s="488"/>
      <c r="J78" s="488"/>
      <c r="K78" s="489"/>
      <c r="L78" s="490"/>
      <c r="M78" s="491"/>
      <c r="N78" s="930"/>
      <c r="O78" s="930"/>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1"/>
      <c r="O79" s="931"/>
      <c r="P79" s="42"/>
      <c r="Q79" s="453"/>
    </row>
    <row r="80" spans="1:17" s="108" customFormat="1" ht="14.4" thickTop="1">
      <c r="A80" s="528"/>
      <c r="B80" s="487">
        <f>B25</f>
        <v>111</v>
      </c>
      <c r="C80" s="503"/>
      <c r="D80" s="503"/>
      <c r="E80" s="503"/>
      <c r="F80" s="503"/>
      <c r="G80" s="503"/>
      <c r="H80" s="503"/>
      <c r="I80" s="503"/>
      <c r="J80" s="503"/>
      <c r="K80" s="503"/>
      <c r="L80" s="529"/>
      <c r="M80" s="530"/>
      <c r="N80" s="929"/>
      <c r="O80" s="929"/>
      <c r="P80" s="42"/>
      <c r="Q80" s="453"/>
    </row>
    <row r="81" spans="1:17" s="108" customFormat="1" ht="14.4" thickBot="1">
      <c r="A81" s="528"/>
      <c r="B81" s="492"/>
      <c r="C81" s="509"/>
      <c r="D81" s="485"/>
      <c r="E81" s="485"/>
      <c r="F81" s="485"/>
      <c r="G81" s="485"/>
      <c r="H81" s="485"/>
      <c r="I81" s="485"/>
      <c r="J81" s="485"/>
      <c r="K81" s="485"/>
      <c r="L81" s="485"/>
      <c r="M81" s="486"/>
      <c r="N81" s="931"/>
      <c r="O81" s="931"/>
      <c r="P81" s="42"/>
      <c r="Q81" s="453"/>
    </row>
    <row r="82" spans="1:17" s="108" customFormat="1" ht="14.4" thickTop="1">
      <c r="A82" s="528"/>
      <c r="B82" s="487">
        <f>B26</f>
        <v>111</v>
      </c>
      <c r="C82" s="503"/>
      <c r="D82" s="503"/>
      <c r="E82" s="503"/>
      <c r="F82" s="503"/>
      <c r="G82" s="503"/>
      <c r="H82" s="503"/>
      <c r="I82" s="503"/>
      <c r="J82" s="503"/>
      <c r="K82" s="503"/>
      <c r="L82" s="529"/>
      <c r="M82" s="530"/>
      <c r="N82" s="929"/>
      <c r="O82" s="929"/>
      <c r="P82" s="42"/>
      <c r="Q82" s="453"/>
    </row>
    <row r="83" spans="1:17" s="108" customFormat="1" ht="14.4" thickBot="1">
      <c r="A83" s="528"/>
      <c r="B83" s="492"/>
      <c r="C83" s="509"/>
      <c r="D83" s="485"/>
      <c r="E83" s="485"/>
      <c r="F83" s="485"/>
      <c r="G83" s="485"/>
      <c r="H83" s="485"/>
      <c r="I83" s="485"/>
      <c r="J83" s="485"/>
      <c r="K83" s="485"/>
      <c r="L83" s="485"/>
      <c r="M83" s="486"/>
      <c r="N83" s="931"/>
      <c r="O83" s="931"/>
      <c r="P83" s="42"/>
      <c r="Q83" s="453"/>
    </row>
    <row r="84" spans="1:17" s="422" customFormat="1" ht="14.4" thickTop="1">
      <c r="A84" s="502"/>
      <c r="B84" s="487">
        <f>B27</f>
        <v>111</v>
      </c>
      <c r="C84" s="503"/>
      <c r="D84" s="503"/>
      <c r="E84" s="503"/>
      <c r="F84" s="503"/>
      <c r="G84" s="503"/>
      <c r="H84" s="503"/>
      <c r="I84" s="503"/>
      <c r="J84" s="503"/>
      <c r="K84" s="503"/>
      <c r="L84" s="529"/>
      <c r="M84" s="530"/>
      <c r="N84" s="932"/>
      <c r="O84" s="932"/>
      <c r="P84" s="507"/>
      <c r="Q84" s="508"/>
    </row>
    <row r="85" spans="1:17" s="422" customFormat="1" ht="14.4" thickBot="1">
      <c r="A85" s="502"/>
      <c r="B85" s="492"/>
      <c r="C85" s="509"/>
      <c r="D85" s="485"/>
      <c r="E85" s="485"/>
      <c r="F85" s="485"/>
      <c r="G85" s="485"/>
      <c r="H85" s="485"/>
      <c r="I85" s="485"/>
      <c r="J85" s="485"/>
      <c r="K85" s="485"/>
      <c r="L85" s="485"/>
      <c r="M85" s="486"/>
      <c r="N85" s="932"/>
      <c r="O85" s="932"/>
      <c r="P85" s="507"/>
      <c r="Q85" s="508"/>
    </row>
    <row r="86" spans="1:17" ht="14.4" thickTop="1">
      <c r="A86" s="483"/>
      <c r="B86" s="495">
        <f>B28</f>
        <v>111</v>
      </c>
      <c r="C86" s="472"/>
      <c r="D86" s="472"/>
      <c r="E86" s="472"/>
      <c r="F86" s="472"/>
      <c r="G86" s="536"/>
      <c r="H86" s="536"/>
      <c r="I86" s="536"/>
      <c r="J86" s="536"/>
      <c r="K86" s="537"/>
      <c r="L86" s="538"/>
      <c r="M86" s="539"/>
      <c r="N86" s="930"/>
      <c r="O86" s="930"/>
      <c r="P86" s="42"/>
      <c r="Q86" s="453"/>
    </row>
    <row r="87" spans="1:17" ht="14.4" thickBot="1">
      <c r="A87" s="1925"/>
      <c r="B87" s="518"/>
      <c r="C87" s="519"/>
      <c r="D87" s="519"/>
      <c r="E87" s="519"/>
      <c r="F87" s="519"/>
      <c r="G87" s="540"/>
      <c r="H87" s="540"/>
      <c r="I87" s="540"/>
      <c r="J87" s="540"/>
      <c r="K87" s="540"/>
      <c r="L87" s="540"/>
      <c r="M87" s="541"/>
      <c r="N87" s="931"/>
      <c r="O87" s="931"/>
      <c r="P87" s="42"/>
      <c r="Q87" s="453"/>
    </row>
    <row r="88" spans="1:17" ht="14.4">
      <c r="A88" s="476" t="s">
        <v>1692</v>
      </c>
      <c r="B88" s="477" t="s">
        <v>1734</v>
      </c>
      <c r="C88" s="479"/>
      <c r="D88" s="479"/>
      <c r="E88" s="479"/>
      <c r="F88" s="479"/>
      <c r="G88" s="479"/>
      <c r="H88" s="479"/>
      <c r="I88" s="479"/>
      <c r="J88" s="479"/>
      <c r="K88" s="480"/>
      <c r="L88" s="481"/>
      <c r="M88" s="482"/>
      <c r="N88" s="930"/>
      <c r="O88" s="930"/>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1"/>
      <c r="O89" s="931"/>
      <c r="P89" s="42"/>
      <c r="Q89" s="453"/>
    </row>
    <row r="90" spans="1:17" ht="1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9"/>
      <c r="O90" s="929"/>
      <c r="P90" s="42"/>
      <c r="Q90" s="453"/>
    </row>
    <row r="91" spans="1:17" s="422" customFormat="1">
      <c r="A91" s="542"/>
      <c r="B91" s="543"/>
      <c r="C91" s="544"/>
      <c r="D91" s="544"/>
      <c r="E91" s="544"/>
      <c r="F91" s="544"/>
      <c r="G91" s="544"/>
      <c r="H91" s="544"/>
      <c r="I91" s="544"/>
      <c r="J91" s="545"/>
      <c r="K91" s="545"/>
      <c r="L91" s="546"/>
      <c r="M91" s="547"/>
      <c r="N91" s="932"/>
      <c r="O91" s="932"/>
      <c r="P91" s="507"/>
      <c r="Q91" s="508"/>
    </row>
    <row r="92" spans="1:17" s="422" customFormat="1" ht="14.4" thickBot="1">
      <c r="A92" s="502"/>
      <c r="B92" s="492"/>
      <c r="C92" s="509"/>
      <c r="D92" s="485"/>
      <c r="E92" s="485"/>
      <c r="F92" s="485"/>
      <c r="G92" s="485"/>
      <c r="H92" s="485"/>
      <c r="I92" s="485"/>
      <c r="J92" s="485"/>
      <c r="K92" s="485"/>
      <c r="L92" s="485"/>
      <c r="M92" s="486"/>
      <c r="N92" s="931"/>
      <c r="O92" s="931"/>
      <c r="P92" s="507"/>
      <c r="Q92" s="508"/>
    </row>
    <row r="93" spans="1:17" ht="15" thickTop="1">
      <c r="A93" s="548"/>
      <c r="B93" s="487" t="s">
        <v>1736</v>
      </c>
      <c r="C93" s="503"/>
      <c r="D93" s="503"/>
      <c r="E93" s="532"/>
      <c r="F93" s="532"/>
      <c r="G93" s="532"/>
      <c r="H93" s="532"/>
      <c r="I93" s="532"/>
      <c r="J93" s="532"/>
      <c r="K93" s="533"/>
      <c r="L93" s="534"/>
      <c r="M93" s="535"/>
      <c r="N93" s="930"/>
      <c r="O93" s="930"/>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1"/>
      <c r="O94" s="931"/>
      <c r="P94" s="42"/>
      <c r="Q94" s="453"/>
    </row>
    <row r="95" spans="1:17" ht="15" thickTop="1">
      <c r="A95" s="548"/>
      <c r="B95" s="487" t="s">
        <v>1738</v>
      </c>
      <c r="C95" s="503"/>
      <c r="D95" s="503"/>
      <c r="E95" s="503"/>
      <c r="F95" s="532"/>
      <c r="G95" s="532"/>
      <c r="H95" s="532"/>
      <c r="I95" s="532"/>
      <c r="J95" s="532"/>
      <c r="K95" s="533"/>
      <c r="L95" s="534"/>
      <c r="M95" s="535"/>
      <c r="N95" s="930"/>
      <c r="O95" s="930"/>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1"/>
      <c r="O96" s="931"/>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0"/>
      <c r="O97" s="930"/>
      <c r="P97" s="42"/>
      <c r="Q97" s="453"/>
    </row>
    <row r="98" spans="1:17">
      <c r="A98" s="548"/>
      <c r="B98" s="495"/>
      <c r="C98" s="552">
        <v>0.5</v>
      </c>
      <c r="D98" s="552">
        <v>0.6</v>
      </c>
      <c r="E98" s="552">
        <v>0.7</v>
      </c>
      <c r="F98" s="552">
        <v>0.8</v>
      </c>
      <c r="G98" s="552">
        <v>0.9</v>
      </c>
      <c r="H98" s="552">
        <v>1.0001</v>
      </c>
      <c r="I98" s="571"/>
      <c r="J98" s="571"/>
      <c r="K98" s="572"/>
      <c r="L98" s="573"/>
      <c r="M98" s="574"/>
      <c r="N98" s="930"/>
      <c r="O98" s="930"/>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1"/>
      <c r="O99" s="931"/>
      <c r="P99" s="42"/>
      <c r="Q99" s="453"/>
    </row>
    <row r="100" spans="1:17" s="422" customFormat="1" ht="15" thickTop="1">
      <c r="A100" s="542"/>
      <c r="B100" s="487" t="s">
        <v>1739</v>
      </c>
      <c r="C100" s="503"/>
      <c r="D100" s="503"/>
      <c r="E100" s="503"/>
      <c r="F100" s="503"/>
      <c r="G100" s="503"/>
      <c r="H100" s="532"/>
      <c r="I100" s="532"/>
      <c r="J100" s="532"/>
      <c r="K100" s="533"/>
      <c r="L100" s="534"/>
      <c r="M100" s="535"/>
      <c r="N100" s="932"/>
      <c r="O100" s="932"/>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2"/>
      <c r="O101" s="932"/>
      <c r="P101" s="507"/>
      <c r="Q101" s="508"/>
    </row>
    <row r="102" spans="1:17" ht="15" thickTop="1">
      <c r="A102" s="548"/>
      <c r="B102" s="487" t="s">
        <v>1740</v>
      </c>
      <c r="C102" s="503"/>
      <c r="D102" s="503"/>
      <c r="E102" s="503"/>
      <c r="F102" s="503"/>
      <c r="G102" s="503"/>
      <c r="H102" s="532"/>
      <c r="I102" s="532"/>
      <c r="J102" s="532"/>
      <c r="K102" s="533"/>
      <c r="L102" s="534"/>
      <c r="M102" s="535"/>
      <c r="N102" s="930"/>
      <c r="O102" s="930"/>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1"/>
      <c r="O103" s="931"/>
      <c r="P103" s="42"/>
      <c r="Q103" s="453"/>
    </row>
    <row r="104" spans="1:17" ht="15" thickTop="1">
      <c r="A104" s="548"/>
      <c r="B104" s="487" t="s">
        <v>1742</v>
      </c>
      <c r="C104" s="503"/>
      <c r="D104" s="503"/>
      <c r="E104" s="503"/>
      <c r="F104" s="503"/>
      <c r="G104" s="503"/>
      <c r="H104" s="532"/>
      <c r="I104" s="532"/>
      <c r="J104" s="532"/>
      <c r="K104" s="533"/>
      <c r="L104" s="534"/>
      <c r="M104" s="535"/>
      <c r="N104" s="930"/>
      <c r="O104" s="930"/>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1"/>
      <c r="O105" s="931"/>
      <c r="P105" s="42"/>
      <c r="Q105" s="453"/>
    </row>
    <row r="106" spans="1:17" ht="29.4" thickTop="1">
      <c r="A106" s="548"/>
      <c r="B106" s="584" t="s">
        <v>1828</v>
      </c>
      <c r="C106" s="527" t="s">
        <v>1719</v>
      </c>
      <c r="D106" s="527" t="s">
        <v>1720</v>
      </c>
      <c r="E106" s="527" t="s">
        <v>1721</v>
      </c>
      <c r="F106" s="527" t="s">
        <v>1722</v>
      </c>
      <c r="G106" s="527" t="s">
        <v>1723</v>
      </c>
      <c r="H106" s="488"/>
      <c r="I106" s="488"/>
      <c r="J106" s="488"/>
      <c r="K106" s="489"/>
      <c r="L106" s="490"/>
      <c r="M106" s="491"/>
      <c r="N106" s="931"/>
      <c r="O106" s="931"/>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1"/>
      <c r="O107" s="931"/>
      <c r="P107" s="42"/>
      <c r="Q107" s="453"/>
    </row>
    <row r="108" spans="1:17" s="422" customFormat="1" ht="14.4" thickTop="1">
      <c r="A108" s="542"/>
      <c r="B108" s="487">
        <f>B38</f>
        <v>111</v>
      </c>
      <c r="C108" s="503"/>
      <c r="D108" s="503"/>
      <c r="E108" s="503"/>
      <c r="F108" s="503"/>
      <c r="G108" s="503"/>
      <c r="H108" s="504"/>
      <c r="I108" s="504"/>
      <c r="J108" s="504"/>
      <c r="K108" s="504"/>
      <c r="L108" s="505"/>
      <c r="M108" s="506"/>
      <c r="N108" s="932"/>
      <c r="O108" s="932"/>
      <c r="P108" s="507"/>
      <c r="Q108" s="508"/>
    </row>
    <row r="109" spans="1:17" s="422" customFormat="1" ht="14.4" thickBot="1">
      <c r="A109" s="502"/>
      <c r="B109" s="484"/>
      <c r="C109" s="509"/>
      <c r="D109" s="485"/>
      <c r="E109" s="485"/>
      <c r="F109" s="485"/>
      <c r="G109" s="509"/>
      <c r="H109" s="511"/>
      <c r="I109" s="511"/>
      <c r="J109" s="511"/>
      <c r="K109" s="511"/>
      <c r="L109" s="511"/>
      <c r="M109" s="512"/>
      <c r="N109" s="932"/>
      <c r="O109" s="932"/>
      <c r="P109" s="507"/>
      <c r="Q109" s="508"/>
    </row>
    <row r="110" spans="1:17" ht="14.4" thickTop="1">
      <c r="A110" s="548"/>
      <c r="B110" s="487">
        <f>B39</f>
        <v>111</v>
      </c>
      <c r="C110" s="503"/>
      <c r="D110" s="503"/>
      <c r="E110" s="503"/>
      <c r="F110" s="503"/>
      <c r="G110" s="503"/>
      <c r="H110" s="504"/>
      <c r="I110" s="504"/>
      <c r="J110" s="504"/>
      <c r="K110" s="504"/>
      <c r="L110" s="505"/>
      <c r="M110" s="506"/>
      <c r="N110" s="930"/>
      <c r="O110" s="930"/>
      <c r="P110" s="42"/>
      <c r="Q110" s="453"/>
    </row>
    <row r="111" spans="1:17" ht="14.4" thickBot="1">
      <c r="A111" s="483"/>
      <c r="B111" s="492"/>
      <c r="C111" s="509"/>
      <c r="D111" s="485"/>
      <c r="E111" s="485"/>
      <c r="F111" s="485"/>
      <c r="G111" s="509"/>
      <c r="H111" s="511"/>
      <c r="I111" s="511"/>
      <c r="J111" s="511"/>
      <c r="K111" s="511"/>
      <c r="L111" s="511"/>
      <c r="M111" s="512"/>
      <c r="N111" s="931"/>
      <c r="O111" s="931"/>
      <c r="P111" s="42"/>
      <c r="Q111" s="453"/>
    </row>
    <row r="112" spans="1:17" ht="14.4" thickTop="1">
      <c r="A112" s="548"/>
      <c r="B112" s="495">
        <f>B40</f>
        <v>111</v>
      </c>
      <c r="C112" s="472"/>
      <c r="D112" s="472"/>
      <c r="E112" s="472"/>
      <c r="F112" s="472"/>
      <c r="G112" s="536"/>
      <c r="H112" s="536"/>
      <c r="I112" s="536"/>
      <c r="J112" s="536"/>
      <c r="K112" s="472"/>
      <c r="L112" s="473"/>
      <c r="M112" s="539"/>
      <c r="N112" s="930"/>
      <c r="O112" s="930"/>
      <c r="P112" s="42"/>
      <c r="Q112" s="453"/>
    </row>
    <row r="113" spans="1:17" ht="14.4" thickBot="1">
      <c r="A113" s="1925"/>
      <c r="B113" s="518"/>
      <c r="C113" s="519"/>
      <c r="D113" s="519"/>
      <c r="E113" s="519"/>
      <c r="F113" s="519"/>
      <c r="G113" s="540"/>
      <c r="H113" s="540"/>
      <c r="I113" s="540"/>
      <c r="J113" s="540"/>
      <c r="K113" s="540"/>
      <c r="L113" s="540"/>
      <c r="M113" s="541"/>
      <c r="N113" s="931"/>
      <c r="O113" s="931"/>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4" priority="20" stopIfTrue="1" operator="containsText" text="超过">
      <formula>NOT(ISERROR(SEARCH("超过",F46)))</formula>
    </cfRule>
  </conditionalFormatting>
  <conditionalFormatting sqref="H48">
    <cfRule type="containsText" dxfId="103" priority="19" stopIfTrue="1" operator="containsText" text="超过">
      <formula>NOT(ISERROR(SEARCH("超过",H48)))</formula>
    </cfRule>
  </conditionalFormatting>
  <conditionalFormatting sqref="F48">
    <cfRule type="containsText" dxfId="102" priority="18" stopIfTrue="1" operator="containsText" text="超过">
      <formula>NOT(ISERROR(SEARCH("超过",F48)))</formula>
    </cfRule>
  </conditionalFormatting>
  <conditionalFormatting sqref="F47 H47">
    <cfRule type="containsText" dxfId="101" priority="17" stopIfTrue="1" operator="containsText" text="超过">
      <formula>NOT(ISERROR(SEARCH("超过",F47)))</formula>
    </cfRule>
  </conditionalFormatting>
  <conditionalFormatting sqref="E46">
    <cfRule type="expression" dxfId="100" priority="16" stopIfTrue="1">
      <formula>$F$46="超过30%"</formula>
    </cfRule>
  </conditionalFormatting>
  <conditionalFormatting sqref="E47">
    <cfRule type="expression" dxfId="99" priority="15" stopIfTrue="1">
      <formula>$F$47="超过20%"</formula>
    </cfRule>
  </conditionalFormatting>
  <conditionalFormatting sqref="E48">
    <cfRule type="expression" dxfId="98" priority="14" stopIfTrue="1">
      <formula>$F$48="超过30%"</formula>
    </cfRule>
  </conditionalFormatting>
  <conditionalFormatting sqref="G48">
    <cfRule type="expression" dxfId="97" priority="13" stopIfTrue="1">
      <formula>$H$48="超过30%"</formula>
    </cfRule>
  </conditionalFormatting>
  <conditionalFormatting sqref="G46">
    <cfRule type="expression" dxfId="96" priority="12" stopIfTrue="1">
      <formula>$H$46="超过30%"</formula>
    </cfRule>
  </conditionalFormatting>
  <conditionalFormatting sqref="G47">
    <cfRule type="expression" dxfId="95" priority="11" stopIfTrue="1">
      <formula>$H$47="超过20%"</formula>
    </cfRule>
  </conditionalFormatting>
  <conditionalFormatting sqref="J46">
    <cfRule type="containsText" dxfId="94" priority="10" stopIfTrue="1" operator="containsText" text="超过">
      <formula>NOT(ISERROR(SEARCH("超过",J46)))</formula>
    </cfRule>
  </conditionalFormatting>
  <conditionalFormatting sqref="J48">
    <cfRule type="containsText" dxfId="93" priority="9" stopIfTrue="1" operator="containsText" text="超过">
      <formula>NOT(ISERROR(SEARCH("超过",J48)))</formula>
    </cfRule>
  </conditionalFormatting>
  <conditionalFormatting sqref="J47">
    <cfRule type="containsText" dxfId="92" priority="8" stopIfTrue="1" operator="containsText" text="超过">
      <formula>NOT(ISERROR(SEARCH("超过",J47)))</formula>
    </cfRule>
  </conditionalFormatting>
  <conditionalFormatting sqref="I46">
    <cfRule type="expression" dxfId="91" priority="7" stopIfTrue="1">
      <formula>$J$46="超过30%"</formula>
    </cfRule>
  </conditionalFormatting>
  <conditionalFormatting sqref="I47">
    <cfRule type="expression" dxfId="90" priority="6" stopIfTrue="1">
      <formula>$J$47="超过20%"</formula>
    </cfRule>
  </conditionalFormatting>
  <conditionalFormatting sqref="I48">
    <cfRule type="expression" dxfId="89" priority="5" stopIfTrue="1">
      <formula>$J$48="超过30%"</formula>
    </cfRule>
  </conditionalFormatting>
  <conditionalFormatting sqref="F42">
    <cfRule type="expression" dxfId="88" priority="4">
      <formula>$D$42="简单平均"</formula>
    </cfRule>
  </conditionalFormatting>
  <conditionalFormatting sqref="H42">
    <cfRule type="expression" dxfId="87" priority="3">
      <formula>$D$42="简单平均"</formula>
    </cfRule>
  </conditionalFormatting>
  <conditionalFormatting sqref="J42">
    <cfRule type="expression" dxfId="86" priority="2">
      <formula>$D$42="简单平均"</formula>
    </cfRule>
  </conditionalFormatting>
  <conditionalFormatting sqref="F7:F40 H7:H40 J7:J40">
    <cfRule type="cellIs" dxfId="8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3"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1829</v>
      </c>
      <c r="B1" s="1220" t="s">
        <v>3334</v>
      </c>
      <c r="C1" s="1221" t="s">
        <v>1660</v>
      </c>
      <c r="D1" s="1222"/>
      <c r="E1" s="3430"/>
      <c r="F1" s="1876"/>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1162"/>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5"/>
      <c r="H3" s="905"/>
      <c r="I3" s="905"/>
      <c r="J3" s="905"/>
      <c r="K3" s="907"/>
      <c r="L3" s="2731"/>
      <c r="M3" s="2732" t="e">
        <f ca="1">IF(C2="——",IF(B37="元/平方米",ROUND(C39*D3/10000,0),ROUND(F3*C39/10000,0)),IF(B37="元/平方米",ROUND(C39*D3/10000,0),ROUND(F3*C39/10000,0))-D2)</f>
        <v>#DIV/0!</v>
      </c>
      <c r="N3" s="2732"/>
      <c r="O3" s="2732"/>
      <c r="P3" s="1162"/>
      <c r="Q3" s="699"/>
      <c r="R3" s="699"/>
      <c r="S3" s="699"/>
      <c r="T3" s="699"/>
      <c r="U3" s="699"/>
      <c r="V3" s="699"/>
      <c r="W3" s="699"/>
      <c r="X3" s="699"/>
      <c r="Y3" s="699"/>
      <c r="Z3" s="699"/>
      <c r="AA3" s="699"/>
      <c r="AB3" s="716"/>
      <c r="AC3" s="713"/>
    </row>
    <row r="4" spans="1:29" ht="14.4">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804" t="s">
        <v>1769</v>
      </c>
      <c r="S4" s="3805"/>
      <c r="T4" s="3804" t="s">
        <v>1770</v>
      </c>
      <c r="U4" s="3805"/>
      <c r="V4" s="3810" t="s">
        <v>1771</v>
      </c>
      <c r="W4" s="3810"/>
      <c r="X4" s="1352"/>
      <c r="Y4" s="3804" t="s">
        <v>1773</v>
      </c>
      <c r="Z4" s="3805"/>
      <c r="AA4" s="3791" t="s">
        <v>1769</v>
      </c>
      <c r="AB4" s="3792" t="s">
        <v>1770</v>
      </c>
      <c r="AC4" s="3791" t="s">
        <v>1771</v>
      </c>
    </row>
    <row r="5" spans="1:29">
      <c r="A5" s="358"/>
      <c r="B5" s="359"/>
      <c r="C5" s="3813" t="s">
        <v>1671</v>
      </c>
      <c r="D5" s="3814"/>
      <c r="E5" s="3820" t="s">
        <v>1672</v>
      </c>
      <c r="F5" s="3821"/>
      <c r="G5" s="3813" t="s">
        <v>1673</v>
      </c>
      <c r="H5" s="3814"/>
      <c r="I5" s="3813" t="s">
        <v>1674</v>
      </c>
      <c r="J5" s="3814"/>
      <c r="K5" s="559"/>
      <c r="L5" s="2712"/>
      <c r="M5" s="2713"/>
      <c r="N5" s="2713"/>
      <c r="O5" s="2713"/>
      <c r="P5" s="3800"/>
      <c r="Q5" s="3801"/>
      <c r="R5" s="3806"/>
      <c r="S5" s="3807"/>
      <c r="T5" s="3806"/>
      <c r="U5" s="3807"/>
      <c r="V5" s="3810"/>
      <c r="W5" s="3810"/>
      <c r="X5" s="1352"/>
      <c r="Y5" s="3806"/>
      <c r="Z5" s="3807"/>
      <c r="AA5" s="3792"/>
      <c r="AB5" s="3792"/>
      <c r="AC5" s="3792"/>
    </row>
    <row r="6" spans="1:29" ht="15" thickBot="1">
      <c r="A6" s="360"/>
      <c r="B6" s="361"/>
      <c r="C6" s="3811" t="s">
        <v>1675</v>
      </c>
      <c r="D6" s="3812"/>
      <c r="E6" s="3818" t="s">
        <v>1675</v>
      </c>
      <c r="F6" s="3819"/>
      <c r="G6" s="3811" t="s">
        <v>1675</v>
      </c>
      <c r="H6" s="3812"/>
      <c r="I6" s="3811" t="s">
        <v>1675</v>
      </c>
      <c r="J6" s="3812"/>
      <c r="K6" s="559" t="s">
        <v>1676</v>
      </c>
      <c r="L6" s="2712"/>
      <c r="M6" s="2713"/>
      <c r="N6" s="2713"/>
      <c r="O6" s="2713"/>
      <c r="P6" s="3802"/>
      <c r="Q6" s="3803"/>
      <c r="R6" s="3806"/>
      <c r="S6" s="3807"/>
      <c r="T6" s="3808"/>
      <c r="U6" s="3809"/>
      <c r="V6" s="3810"/>
      <c r="W6" s="3810"/>
      <c r="X6" s="1352"/>
      <c r="Y6" s="3808"/>
      <c r="Z6" s="3809"/>
      <c r="AA6" s="3793"/>
      <c r="AB6" s="3793"/>
      <c r="AC6" s="3793"/>
    </row>
    <row r="7" spans="1:29" s="108" customFormat="1" ht="15" thickBot="1">
      <c r="A7" s="362" t="s">
        <v>1677</v>
      </c>
      <c r="B7" s="363"/>
      <c r="C7" s="364">
        <f>'数据-取费表'!B2</f>
        <v>45295</v>
      </c>
      <c r="D7" s="365">
        <v>100</v>
      </c>
      <c r="E7" s="366"/>
      <c r="F7" s="367">
        <f>SUMIF(48:48,YEAR(E7)&amp;"-"&amp;MONTH(E7),49:49)</f>
        <v>0</v>
      </c>
      <c r="G7" s="366"/>
      <c r="H7" s="365">
        <f>SUMIF(48:48,YEAR(G7)&amp;"-"&amp;MONTH(G7),49:49)</f>
        <v>0</v>
      </c>
      <c r="I7" s="366"/>
      <c r="J7" s="365">
        <f>SUMIF(48:48,YEAR(I7)&amp;"-"&amp;MONTH(I7),49:49)</f>
        <v>0</v>
      </c>
      <c r="K7" s="560"/>
      <c r="L7" s="2714"/>
      <c r="M7" s="2715"/>
      <c r="N7" s="2715"/>
      <c r="O7" s="2715"/>
      <c r="P7" s="3815" t="s">
        <v>1678</v>
      </c>
      <c r="Q7" s="3817"/>
      <c r="R7" s="701" t="s">
        <v>14</v>
      </c>
      <c r="S7" s="702">
        <f t="shared" ref="S7:S14" si="0">F7</f>
        <v>0</v>
      </c>
      <c r="T7" s="701" t="s">
        <v>14</v>
      </c>
      <c r="U7" s="702">
        <f t="shared" ref="U7:U14" si="1">H7</f>
        <v>0</v>
      </c>
      <c r="V7" s="701" t="s">
        <v>14</v>
      </c>
      <c r="W7" s="702">
        <f t="shared" ref="W7:W14" si="2">J7</f>
        <v>0</v>
      </c>
      <c r="X7" s="703"/>
      <c r="Y7" s="3815" t="s">
        <v>1678</v>
      </c>
      <c r="Z7" s="3816"/>
      <c r="AA7" s="704" t="e">
        <f>D7/F7</f>
        <v>#DIV/0!</v>
      </c>
      <c r="AB7" s="704" t="e">
        <f>D7/H7</f>
        <v>#DIV/0!</v>
      </c>
      <c r="AC7" s="704" t="e">
        <f>D7/J7</f>
        <v>#DIV/0!</v>
      </c>
    </row>
    <row r="8" spans="1:29" s="108" customFormat="1" ht="1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815" t="s">
        <v>1681</v>
      </c>
      <c r="Q8" s="3816"/>
      <c r="R8" s="701" t="s">
        <v>14</v>
      </c>
      <c r="S8" s="702">
        <f t="shared" si="0"/>
        <v>100</v>
      </c>
      <c r="T8" s="701" t="s">
        <v>14</v>
      </c>
      <c r="U8" s="702">
        <f t="shared" si="1"/>
        <v>100</v>
      </c>
      <c r="V8" s="701" t="s">
        <v>14</v>
      </c>
      <c r="W8" s="702">
        <f t="shared" si="2"/>
        <v>100</v>
      </c>
      <c r="X8" s="703"/>
      <c r="Y8" s="3815" t="s">
        <v>1681</v>
      </c>
      <c r="Z8" s="3816"/>
      <c r="AA8" s="704">
        <f t="shared" ref="AA8:AA36" si="3">D8/F8</f>
        <v>1</v>
      </c>
      <c r="AB8" s="704">
        <f t="shared" ref="AB8:AB36" si="4">D8/H8</f>
        <v>1</v>
      </c>
      <c r="AC8" s="704">
        <f t="shared" ref="AC8:AC36" si="5">D8/J8</f>
        <v>1</v>
      </c>
    </row>
    <row r="9" spans="1:29" s="108" customFormat="1" ht="14.4">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79" t="s">
        <v>1684</v>
      </c>
      <c r="Q9" s="1340" t="str">
        <f t="shared" ref="Q9:Q14" si="6">B9</f>
        <v>用途</v>
      </c>
      <c r="R9" s="701" t="s">
        <v>14</v>
      </c>
      <c r="S9" s="702">
        <f t="shared" si="0"/>
        <v>100</v>
      </c>
      <c r="T9" s="701" t="s">
        <v>14</v>
      </c>
      <c r="U9" s="702">
        <f t="shared" si="1"/>
        <v>100</v>
      </c>
      <c r="V9" s="701" t="s">
        <v>14</v>
      </c>
      <c r="W9" s="702">
        <f t="shared" si="2"/>
        <v>100</v>
      </c>
      <c r="X9" s="703"/>
      <c r="Y9" s="3654" t="s">
        <v>1685</v>
      </c>
      <c r="Z9" s="52" t="str">
        <f t="shared" ref="Z9:Z14" si="7">Q9</f>
        <v>用途</v>
      </c>
      <c r="AA9" s="704">
        <f t="shared" si="3"/>
        <v>1</v>
      </c>
      <c r="AB9" s="704">
        <f t="shared" si="4"/>
        <v>1</v>
      </c>
      <c r="AC9" s="704">
        <f t="shared" si="5"/>
        <v>1</v>
      </c>
    </row>
    <row r="10" spans="1:29" s="378" customFormat="1" ht="28.8">
      <c r="A10" s="589"/>
      <c r="B10" s="590" t="s">
        <v>1686</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79"/>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79"/>
      <c r="Q11" s="1340">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79"/>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79"/>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96.6">
      <c r="A14" s="355" t="s">
        <v>1688</v>
      </c>
      <c r="B14" s="577" t="s">
        <v>1831</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81" t="s">
        <v>1689</v>
      </c>
      <c r="Q14" s="1349" t="str">
        <f t="shared" si="6"/>
        <v>交通便捷度</v>
      </c>
      <c r="R14" s="705" t="s">
        <v>14</v>
      </c>
      <c r="S14" s="706">
        <f t="shared" si="0"/>
        <v>100</v>
      </c>
      <c r="T14" s="705" t="s">
        <v>14</v>
      </c>
      <c r="U14" s="706">
        <f t="shared" si="1"/>
        <v>100</v>
      </c>
      <c r="V14" s="705" t="s">
        <v>14</v>
      </c>
      <c r="W14" s="706">
        <f t="shared" si="2"/>
        <v>100</v>
      </c>
      <c r="X14" s="1352"/>
      <c r="Y14" s="3781" t="s">
        <v>1689</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782"/>
      <c r="Q15" s="1349"/>
      <c r="R15" s="705"/>
      <c r="S15" s="706"/>
      <c r="T15" s="705"/>
      <c r="U15" s="706"/>
      <c r="V15" s="705"/>
      <c r="W15" s="706"/>
      <c r="X15" s="1352"/>
      <c r="Y15" s="3782"/>
      <c r="Z15" s="1353"/>
      <c r="AA15" s="1350">
        <v>1</v>
      </c>
      <c r="AB15" s="1350">
        <v>1</v>
      </c>
      <c r="AC15" s="1350">
        <v>1</v>
      </c>
    </row>
    <row r="16" spans="1:29" ht="41.4">
      <c r="A16" s="358"/>
      <c r="B16" s="579" t="s">
        <v>1810</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82"/>
      <c r="Q16" s="1349" t="str">
        <f>B16</f>
        <v>公共配套设施</v>
      </c>
      <c r="R16" s="705" t="s">
        <v>14</v>
      </c>
      <c r="S16" s="706">
        <f>F16</f>
        <v>100</v>
      </c>
      <c r="T16" s="705" t="s">
        <v>14</v>
      </c>
      <c r="U16" s="706">
        <f>H16</f>
        <v>100</v>
      </c>
      <c r="V16" s="705" t="s">
        <v>14</v>
      </c>
      <c r="W16" s="706">
        <f>J16</f>
        <v>100</v>
      </c>
      <c r="X16" s="1352"/>
      <c r="Y16" s="3782"/>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782"/>
      <c r="Q17" s="1349"/>
      <c r="R17" s="705"/>
      <c r="S17" s="706"/>
      <c r="T17" s="705"/>
      <c r="U17" s="706"/>
      <c r="V17" s="705"/>
      <c r="W17" s="706"/>
      <c r="X17" s="1352"/>
      <c r="Y17" s="3782"/>
      <c r="Z17" s="1353"/>
      <c r="AA17" s="1350">
        <v>1</v>
      </c>
      <c r="AB17" s="1350">
        <v>1</v>
      </c>
      <c r="AC17" s="1350">
        <v>1</v>
      </c>
    </row>
    <row r="18" spans="1:29" ht="41.4">
      <c r="A18" s="358"/>
      <c r="B18" s="581" t="s">
        <v>1811</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82"/>
      <c r="Q18" s="1349" t="str">
        <f>B18</f>
        <v>基础设施水平</v>
      </c>
      <c r="R18" s="705" t="s">
        <v>14</v>
      </c>
      <c r="S18" s="706">
        <f>F18</f>
        <v>100</v>
      </c>
      <c r="T18" s="705" t="s">
        <v>14</v>
      </c>
      <c r="U18" s="706">
        <f>H18</f>
        <v>100</v>
      </c>
      <c r="V18" s="705" t="s">
        <v>14</v>
      </c>
      <c r="W18" s="706">
        <f>J18</f>
        <v>100</v>
      </c>
      <c r="X18" s="1352"/>
      <c r="Y18" s="3782"/>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782"/>
      <c r="Q19" s="1349"/>
      <c r="R19" s="705"/>
      <c r="S19" s="706"/>
      <c r="T19" s="705"/>
      <c r="U19" s="706"/>
      <c r="V19" s="705"/>
      <c r="W19" s="706"/>
      <c r="X19" s="1352"/>
      <c r="Y19" s="3782"/>
      <c r="Z19" s="1353"/>
      <c r="AA19" s="1350">
        <v>1</v>
      </c>
      <c r="AB19" s="1350">
        <v>1</v>
      </c>
      <c r="AC19" s="1350">
        <v>1</v>
      </c>
    </row>
    <row r="20" spans="1:29" ht="55.2">
      <c r="A20" s="358"/>
      <c r="B20" s="579" t="s">
        <v>1832</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82"/>
      <c r="Q20" s="1349" t="str">
        <f>B20</f>
        <v>自然及人文环境</v>
      </c>
      <c r="R20" s="705" t="s">
        <v>14</v>
      </c>
      <c r="S20" s="706">
        <f>F20</f>
        <v>100</v>
      </c>
      <c r="T20" s="705" t="s">
        <v>14</v>
      </c>
      <c r="U20" s="706">
        <f>H20</f>
        <v>100</v>
      </c>
      <c r="V20" s="705" t="s">
        <v>14</v>
      </c>
      <c r="W20" s="706">
        <f>J20</f>
        <v>100</v>
      </c>
      <c r="X20" s="1352"/>
      <c r="Y20" s="3782"/>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782"/>
      <c r="Q21" s="1349"/>
      <c r="R21" s="705"/>
      <c r="S21" s="706"/>
      <c r="T21" s="705"/>
      <c r="U21" s="706"/>
      <c r="V21" s="705"/>
      <c r="W21" s="706"/>
      <c r="X21" s="1352"/>
      <c r="Y21" s="3782"/>
      <c r="Z21" s="1353"/>
      <c r="AA21" s="1350">
        <v>1</v>
      </c>
      <c r="AB21" s="1350">
        <v>1</v>
      </c>
      <c r="AC21" s="1350">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82"/>
      <c r="Q22" s="1349" t="str">
        <f>B22</f>
        <v>楼层</v>
      </c>
      <c r="R22" s="705" t="s">
        <v>14</v>
      </c>
      <c r="S22" s="706">
        <f>F22</f>
        <v>100</v>
      </c>
      <c r="T22" s="705" t="s">
        <v>14</v>
      </c>
      <c r="U22" s="706">
        <f>H22</f>
        <v>100</v>
      </c>
      <c r="V22" s="705" t="s">
        <v>14</v>
      </c>
      <c r="W22" s="706">
        <f>J22</f>
        <v>100</v>
      </c>
      <c r="X22" s="1352"/>
      <c r="Y22" s="3782"/>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82"/>
      <c r="Q23" s="1349">
        <f>B23</f>
        <v>111</v>
      </c>
      <c r="R23" s="705" t="s">
        <v>14</v>
      </c>
      <c r="S23" s="706">
        <f>F23</f>
        <v>100</v>
      </c>
      <c r="T23" s="705" t="s">
        <v>14</v>
      </c>
      <c r="U23" s="706">
        <f>H23</f>
        <v>100</v>
      </c>
      <c r="V23" s="705" t="s">
        <v>14</v>
      </c>
      <c r="W23" s="706">
        <f>J23</f>
        <v>100</v>
      </c>
      <c r="X23" s="1352"/>
      <c r="Y23" s="3782"/>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82"/>
      <c r="Q24" s="1349">
        <f t="shared" ref="Q24:Q36" si="11">B24</f>
        <v>111</v>
      </c>
      <c r="R24" s="705" t="s">
        <v>14</v>
      </c>
      <c r="S24" s="706">
        <f>F24</f>
        <v>100</v>
      </c>
      <c r="T24" s="705" t="s">
        <v>14</v>
      </c>
      <c r="U24" s="706">
        <f>H24</f>
        <v>100</v>
      </c>
      <c r="V24" s="705" t="s">
        <v>14</v>
      </c>
      <c r="W24" s="706">
        <f>J24</f>
        <v>100</v>
      </c>
      <c r="X24" s="1352"/>
      <c r="Y24" s="3782"/>
      <c r="Z24" s="1353">
        <f>Q24</f>
        <v>111</v>
      </c>
      <c r="AA24" s="1350">
        <f t="shared" si="3"/>
        <v>1</v>
      </c>
      <c r="AB24" s="1350">
        <f t="shared" si="4"/>
        <v>1</v>
      </c>
      <c r="AC24" s="1350">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82"/>
      <c r="Q25" s="1340">
        <f t="shared" si="11"/>
        <v>111</v>
      </c>
      <c r="R25" s="701" t="s">
        <v>14</v>
      </c>
      <c r="S25" s="702">
        <f>F25</f>
        <v>100</v>
      </c>
      <c r="T25" s="701" t="s">
        <v>14</v>
      </c>
      <c r="U25" s="702">
        <f>H25</f>
        <v>100</v>
      </c>
      <c r="V25" s="701" t="s">
        <v>14</v>
      </c>
      <c r="W25" s="702">
        <f>J25</f>
        <v>100</v>
      </c>
      <c r="X25" s="703"/>
      <c r="Y25" s="3782"/>
      <c r="Z25" s="52">
        <f>Q25</f>
        <v>111</v>
      </c>
      <c r="AA25" s="1350">
        <f>D25/F25</f>
        <v>1</v>
      </c>
      <c r="AB25" s="1350">
        <f>D25/H25</f>
        <v>1</v>
      </c>
      <c r="AC25" s="1350">
        <f>D25/J25</f>
        <v>1</v>
      </c>
    </row>
    <row r="26" spans="1:29" ht="30">
      <c r="A26" s="600" t="s">
        <v>1692</v>
      </c>
      <c r="B26" s="62" t="s">
        <v>1834</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837" t="s">
        <v>1694</v>
      </c>
      <c r="Q26" s="1349" t="str">
        <f t="shared" si="11"/>
        <v>配套类型</v>
      </c>
      <c r="R26" s="705" t="s">
        <v>14</v>
      </c>
      <c r="S26" s="706">
        <f t="shared" ref="S26:S36" si="12">F26</f>
        <v>0</v>
      </c>
      <c r="T26" s="705" t="s">
        <v>14</v>
      </c>
      <c r="U26" s="706">
        <f t="shared" ref="U26:U36" si="13">H26</f>
        <v>0</v>
      </c>
      <c r="V26" s="705" t="s">
        <v>14</v>
      </c>
      <c r="W26" s="706">
        <f t="shared" ref="W26:W36" si="14">J26</f>
        <v>0</v>
      </c>
      <c r="X26" s="1352"/>
      <c r="Y26" s="3786" t="s">
        <v>1694</v>
      </c>
      <c r="Z26" s="1353" t="str">
        <f t="shared" ref="Z26:Z36" si="15">Q26</f>
        <v>配套类型</v>
      </c>
      <c r="AA26" s="1350" t="e">
        <f t="shared" si="3"/>
        <v>#DIV/0!</v>
      </c>
      <c r="AB26" s="1350" t="e">
        <f t="shared" si="4"/>
        <v>#DIV/0!</v>
      </c>
      <c r="AC26" s="1350"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86"/>
      <c r="Q27" s="707" t="str">
        <f t="shared" si="11"/>
        <v>项目停车位配比</v>
      </c>
      <c r="R27" s="708" t="s">
        <v>14</v>
      </c>
      <c r="S27" s="709">
        <f t="shared" si="12"/>
        <v>100</v>
      </c>
      <c r="T27" s="708" t="s">
        <v>14</v>
      </c>
      <c r="U27" s="709">
        <f t="shared" si="13"/>
        <v>100</v>
      </c>
      <c r="V27" s="708" t="s">
        <v>14</v>
      </c>
      <c r="W27" s="709">
        <f t="shared" si="14"/>
        <v>100</v>
      </c>
      <c r="X27" s="710"/>
      <c r="Y27" s="3786"/>
      <c r="Z27" s="711" t="str">
        <f t="shared" si="15"/>
        <v>项目停车位配比</v>
      </c>
      <c r="AA27" s="1350">
        <f t="shared" si="3"/>
        <v>1</v>
      </c>
      <c r="AB27" s="1350">
        <f t="shared" si="4"/>
        <v>1</v>
      </c>
      <c r="AC27" s="1350">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86"/>
      <c r="Q28" s="1349" t="str">
        <f t="shared" si="11"/>
        <v>公共部分装修</v>
      </c>
      <c r="R28" s="705" t="s">
        <v>14</v>
      </c>
      <c r="S28" s="706">
        <f t="shared" si="12"/>
        <v>100</v>
      </c>
      <c r="T28" s="705" t="s">
        <v>14</v>
      </c>
      <c r="U28" s="706">
        <f t="shared" si="13"/>
        <v>100</v>
      </c>
      <c r="V28" s="705" t="s">
        <v>14</v>
      </c>
      <c r="W28" s="706">
        <f t="shared" si="14"/>
        <v>100</v>
      </c>
      <c r="X28" s="1352"/>
      <c r="Y28" s="3786"/>
      <c r="Z28" s="1353" t="str">
        <f t="shared" si="15"/>
        <v>公共部分装修</v>
      </c>
      <c r="AA28" s="1350">
        <f t="shared" si="3"/>
        <v>1</v>
      </c>
      <c r="AB28" s="1350">
        <f t="shared" si="4"/>
        <v>1</v>
      </c>
      <c r="AC28" s="1350">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86"/>
      <c r="Q29" s="1349" t="str">
        <f t="shared" si="11"/>
        <v>成新率</v>
      </c>
      <c r="R29" s="705" t="s">
        <v>14</v>
      </c>
      <c r="S29" s="706" t="e">
        <f t="shared" si="12"/>
        <v>#N/A</v>
      </c>
      <c r="T29" s="705" t="s">
        <v>14</v>
      </c>
      <c r="U29" s="706" t="e">
        <f t="shared" si="13"/>
        <v>#N/A</v>
      </c>
      <c r="V29" s="705" t="s">
        <v>14</v>
      </c>
      <c r="W29" s="706" t="e">
        <f t="shared" si="14"/>
        <v>#N/A</v>
      </c>
      <c r="X29" s="1352"/>
      <c r="Y29" s="3786"/>
      <c r="Z29" s="1353" t="str">
        <f t="shared" si="15"/>
        <v>成新率</v>
      </c>
      <c r="AA29" s="1350" t="e">
        <f t="shared" si="3"/>
        <v>#N/A</v>
      </c>
      <c r="AB29" s="1350" t="e">
        <f t="shared" si="4"/>
        <v>#N/A</v>
      </c>
      <c r="AC29" s="1350"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86"/>
      <c r="Q30" s="1349" t="str">
        <f t="shared" si="11"/>
        <v>物业等级</v>
      </c>
      <c r="R30" s="705" t="s">
        <v>14</v>
      </c>
      <c r="S30" s="706">
        <f t="shared" si="12"/>
        <v>100</v>
      </c>
      <c r="T30" s="705" t="s">
        <v>14</v>
      </c>
      <c r="U30" s="706">
        <f t="shared" si="13"/>
        <v>100</v>
      </c>
      <c r="V30" s="705" t="s">
        <v>14</v>
      </c>
      <c r="W30" s="706">
        <f t="shared" si="14"/>
        <v>100</v>
      </c>
      <c r="X30" s="1352"/>
      <c r="Y30" s="3786"/>
      <c r="Z30" s="1353" t="str">
        <f t="shared" si="15"/>
        <v>物业等级</v>
      </c>
      <c r="AA30" s="1350">
        <f t="shared" si="3"/>
        <v>1</v>
      </c>
      <c r="AB30" s="1350">
        <f t="shared" si="4"/>
        <v>1</v>
      </c>
      <c r="AC30" s="1350">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86"/>
      <c r="Q31" s="1340" t="str">
        <f t="shared" si="11"/>
        <v>停车位面积</v>
      </c>
      <c r="R31" s="701" t="s">
        <v>14</v>
      </c>
      <c r="S31" s="702" t="e">
        <f t="shared" si="12"/>
        <v>#N/A</v>
      </c>
      <c r="T31" s="701" t="s">
        <v>14</v>
      </c>
      <c r="U31" s="702" t="e">
        <f t="shared" si="13"/>
        <v>#N/A</v>
      </c>
      <c r="V31" s="701" t="s">
        <v>14</v>
      </c>
      <c r="W31" s="702" t="e">
        <f t="shared" si="14"/>
        <v>#N/A</v>
      </c>
      <c r="X31" s="703"/>
      <c r="Y31" s="3786"/>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86" t="s">
        <v>1694</v>
      </c>
      <c r="Q32" s="1349" t="str">
        <f t="shared" si="11"/>
        <v>车位类型</v>
      </c>
      <c r="R32" s="705" t="s">
        <v>14</v>
      </c>
      <c r="S32" s="706">
        <f t="shared" si="12"/>
        <v>100</v>
      </c>
      <c r="T32" s="705" t="s">
        <v>14</v>
      </c>
      <c r="U32" s="706">
        <f t="shared" si="13"/>
        <v>100</v>
      </c>
      <c r="V32" s="705" t="s">
        <v>14</v>
      </c>
      <c r="W32" s="706">
        <f t="shared" si="14"/>
        <v>100</v>
      </c>
      <c r="X32" s="1352"/>
      <c r="Y32" s="3786" t="s">
        <v>1694</v>
      </c>
      <c r="Z32" s="1353" t="str">
        <f t="shared" si="15"/>
        <v>车位类型</v>
      </c>
      <c r="AA32" s="1350">
        <f t="shared" si="3"/>
        <v>1</v>
      </c>
      <c r="AB32" s="1350">
        <f t="shared" si="4"/>
        <v>1</v>
      </c>
      <c r="AC32" s="1350">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86"/>
      <c r="Q33" s="1349" t="str">
        <f t="shared" si="11"/>
        <v>是否直接入户</v>
      </c>
      <c r="R33" s="705" t="s">
        <v>14</v>
      </c>
      <c r="S33" s="706">
        <f t="shared" si="12"/>
        <v>100</v>
      </c>
      <c r="T33" s="705" t="s">
        <v>14</v>
      </c>
      <c r="U33" s="706">
        <f t="shared" si="13"/>
        <v>100</v>
      </c>
      <c r="V33" s="705" t="s">
        <v>14</v>
      </c>
      <c r="W33" s="706">
        <f t="shared" si="14"/>
        <v>100</v>
      </c>
      <c r="X33" s="1352"/>
      <c r="Y33" s="3786"/>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86"/>
      <c r="Q34" s="1349">
        <f t="shared" si="11"/>
        <v>111</v>
      </c>
      <c r="R34" s="705" t="s">
        <v>14</v>
      </c>
      <c r="S34" s="706">
        <f t="shared" si="12"/>
        <v>100</v>
      </c>
      <c r="T34" s="705" t="s">
        <v>14</v>
      </c>
      <c r="U34" s="706">
        <f t="shared" si="13"/>
        <v>100</v>
      </c>
      <c r="V34" s="705" t="s">
        <v>14</v>
      </c>
      <c r="W34" s="706">
        <f t="shared" si="14"/>
        <v>100</v>
      </c>
      <c r="X34" s="1352"/>
      <c r="Y34" s="3786"/>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86"/>
      <c r="Q35" s="707">
        <f t="shared" si="11"/>
        <v>111</v>
      </c>
      <c r="R35" s="708" t="s">
        <v>14</v>
      </c>
      <c r="S35" s="709">
        <f t="shared" si="12"/>
        <v>100</v>
      </c>
      <c r="T35" s="708" t="s">
        <v>14</v>
      </c>
      <c r="U35" s="709">
        <f t="shared" si="13"/>
        <v>100</v>
      </c>
      <c r="V35" s="708" t="s">
        <v>14</v>
      </c>
      <c r="W35" s="709">
        <f t="shared" si="14"/>
        <v>100</v>
      </c>
      <c r="X35" s="710"/>
      <c r="Y35" s="3786"/>
      <c r="Z35" s="711">
        <f t="shared" si="15"/>
        <v>111</v>
      </c>
      <c r="AA35" s="1350">
        <f t="shared" si="3"/>
        <v>1</v>
      </c>
      <c r="AB35" s="1350">
        <f t="shared" si="4"/>
        <v>1</v>
      </c>
      <c r="AC35" s="1350">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86"/>
      <c r="Q36" s="1349">
        <f t="shared" si="11"/>
        <v>111</v>
      </c>
      <c r="R36" s="705" t="s">
        <v>14</v>
      </c>
      <c r="S36" s="706">
        <f t="shared" si="12"/>
        <v>100</v>
      </c>
      <c r="T36" s="705" t="s">
        <v>14</v>
      </c>
      <c r="U36" s="706">
        <f t="shared" si="13"/>
        <v>100</v>
      </c>
      <c r="V36" s="705" t="s">
        <v>14</v>
      </c>
      <c r="W36" s="706">
        <f t="shared" si="14"/>
        <v>100</v>
      </c>
      <c r="X36" s="1352"/>
      <c r="Y36" s="3786"/>
      <c r="Z36" s="1353">
        <f t="shared" si="15"/>
        <v>111</v>
      </c>
      <c r="AA36" s="1350">
        <f t="shared" si="3"/>
        <v>1</v>
      </c>
      <c r="AB36" s="1350">
        <f t="shared" si="4"/>
        <v>1</v>
      </c>
      <c r="AC36" s="1350">
        <f t="shared" si="5"/>
        <v>1</v>
      </c>
    </row>
    <row r="37" spans="1:29" ht="14.4">
      <c r="A37" s="430" t="s">
        <v>1842</v>
      </c>
      <c r="B37" s="1970" t="s">
        <v>3355</v>
      </c>
      <c r="C37" s="1151" t="s">
        <v>0</v>
      </c>
      <c r="D37" s="1152"/>
      <c r="E37" s="1153"/>
      <c r="F37" s="1154"/>
      <c r="G37" s="1155"/>
      <c r="H37" s="1156"/>
      <c r="I37" s="1153"/>
      <c r="J37" s="1156"/>
      <c r="K37" s="568"/>
      <c r="L37" s="2721"/>
      <c r="M37" s="2722"/>
      <c r="N37" s="2713"/>
      <c r="O37" s="2722"/>
      <c r="P37" s="3779" t="str">
        <f>A37</f>
        <v>成交单价</v>
      </c>
      <c r="Q37" s="3779"/>
      <c r="R37" s="3780">
        <f>E37</f>
        <v>0</v>
      </c>
      <c r="S37" s="3780"/>
      <c r="T37" s="3780">
        <f>G37</f>
        <v>0</v>
      </c>
      <c r="U37" s="3780"/>
      <c r="V37" s="3780">
        <f>I37</f>
        <v>0</v>
      </c>
      <c r="W37" s="3780"/>
      <c r="X37" s="690"/>
      <c r="Y37" s="712"/>
      <c r="Z37" s="690"/>
      <c r="AA37" s="690"/>
      <c r="AB37" s="690"/>
      <c r="AC37" s="690"/>
    </row>
    <row r="38" spans="1:29" ht="15" thickBot="1">
      <c r="A38" s="437" t="s">
        <v>1843</v>
      </c>
      <c r="B38" s="438" t="str">
        <f>B37</f>
        <v>元/平方米</v>
      </c>
      <c r="C38" s="1157" t="e">
        <f>R39</f>
        <v>#DIV/0!</v>
      </c>
      <c r="D38" s="2314" t="s">
        <v>2135</v>
      </c>
      <c r="E38" s="1158" t="e">
        <f>R38</f>
        <v>#DIV/0!</v>
      </c>
      <c r="F38" s="2315"/>
      <c r="G38" s="1157" t="e">
        <f>T38</f>
        <v>#DIV/0!</v>
      </c>
      <c r="H38" s="2315"/>
      <c r="I38" s="1158" t="e">
        <f>V38</f>
        <v>#DIV/0!</v>
      </c>
      <c r="J38" s="2315"/>
      <c r="K38" s="2317">
        <f>F38+H38+J38</f>
        <v>0</v>
      </c>
      <c r="L38" s="2721"/>
      <c r="M38" s="2722"/>
      <c r="N38" s="2722"/>
      <c r="O38" s="2722"/>
      <c r="P38" s="3779" t="str">
        <f>A38</f>
        <v>比较价值（元/平方米）</v>
      </c>
      <c r="Q38" s="3779"/>
      <c r="R38" s="3780" t="e">
        <f>IF(F1="售价",ROUND(PRODUCT(R37,AA7:AA36),0),ROUND(PRODUCT(R37,AA7:AA36),1))</f>
        <v>#DIV/0!</v>
      </c>
      <c r="S38" s="3780"/>
      <c r="T38" s="3780" t="e">
        <f>IF(F1="售价",ROUND(PRODUCT(T37,AB7:AB36),0),ROUND(PRODUCT(T37,AB7:AB36),1))</f>
        <v>#DIV/0!</v>
      </c>
      <c r="U38" s="3780"/>
      <c r="V38" s="3780" t="e">
        <f>IF(F1="售价",ROUND(PRODUCT(V37,AC7:AC36),0),ROUND(PRODUCT(V37,AC7:AC36),1))</f>
        <v>#DIV/0!</v>
      </c>
      <c r="W38" s="3780"/>
      <c r="X38" s="690"/>
      <c r="Y38" s="690"/>
      <c r="Z38" s="690"/>
      <c r="AA38" s="690"/>
      <c r="AB38" s="690"/>
      <c r="AC38" s="690"/>
    </row>
    <row r="39" spans="1:29" ht="15" thickBot="1">
      <c r="A39" s="441" t="s">
        <v>1844</v>
      </c>
      <c r="B39" s="442"/>
      <c r="C39" s="1160" t="e">
        <f>R39</f>
        <v>#DIV/0!</v>
      </c>
      <c r="D39" s="1160"/>
      <c r="E39" s="1160"/>
      <c r="F39" s="1160"/>
      <c r="G39" s="1160"/>
      <c r="H39" s="1160"/>
      <c r="I39" s="1160"/>
      <c r="J39" s="1160"/>
      <c r="K39" s="569"/>
      <c r="L39" s="2721"/>
      <c r="M39" s="2722"/>
      <c r="N39" s="2722"/>
      <c r="O39" s="2722"/>
      <c r="P39" s="3776" t="str">
        <f>A39</f>
        <v>估价对象XX用房的比较价值（楼面单价，元/平方米）</v>
      </c>
      <c r="Q39" s="3777"/>
      <c r="R39" s="3838" t="e">
        <f>IF(F1="售价",ROUND(IF(D38="简单平均",AVERAGE(R38:W38),R38*F38+T38*H38+V38*J38),0),ROUND(IF(D38="简单平均",AVERAGE(R38:V38),R38*F38+T38*H38+V38*J38),1))</f>
        <v>#DIV/0!</v>
      </c>
      <c r="S39" s="3838"/>
      <c r="T39" s="3838"/>
      <c r="U39" s="3838"/>
      <c r="V39" s="3838"/>
      <c r="W39" s="3838"/>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3" t="s">
        <v>1848</v>
      </c>
      <c r="B47" s="924"/>
      <c r="C47" s="937"/>
      <c r="D47" s="937"/>
      <c r="E47" s="937"/>
      <c r="F47" s="1164"/>
      <c r="G47" s="1164"/>
      <c r="H47" s="937"/>
      <c r="I47" s="937"/>
      <c r="J47" s="937"/>
      <c r="K47" s="938"/>
      <c r="L47" s="939"/>
      <c r="M47" s="937"/>
      <c r="N47" s="2766"/>
      <c r="O47" s="2766"/>
      <c r="P47" s="2755"/>
      <c r="Q47" s="2736"/>
      <c r="R47" s="2722"/>
      <c r="S47" s="2722"/>
      <c r="T47" s="2722"/>
      <c r="U47" s="2722"/>
      <c r="V47" s="2722"/>
      <c r="W47" s="2722"/>
      <c r="X47" s="2722"/>
      <c r="Y47" s="2722"/>
      <c r="Z47" s="2722"/>
      <c r="AA47" s="2722"/>
      <c r="AB47" s="2722"/>
      <c r="AC47" s="2722"/>
    </row>
    <row r="48" spans="1:29" s="457" customFormat="1" ht="14.4">
      <c r="A48" s="454" t="s">
        <v>1849</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1714</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1679</v>
      </c>
      <c r="B51" s="459"/>
      <c r="C51" s="471" t="s">
        <v>1774</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1717</v>
      </c>
      <c r="B53" s="477" t="s">
        <v>1683</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1686</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1725</v>
      </c>
      <c r="C65" s="527" t="s">
        <v>1719</v>
      </c>
      <c r="D65" s="527" t="s">
        <v>1720</v>
      </c>
      <c r="E65" s="527" t="s">
        <v>1721</v>
      </c>
      <c r="F65" s="527" t="s">
        <v>1722</v>
      </c>
      <c r="G65" s="527" t="s">
        <v>1723</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1811</v>
      </c>
      <c r="C67" s="608" t="s">
        <v>1797</v>
      </c>
      <c r="D67" s="608" t="s">
        <v>1798</v>
      </c>
      <c r="E67" s="608" t="s">
        <v>1799</v>
      </c>
      <c r="F67" s="608" t="s">
        <v>1800</v>
      </c>
      <c r="G67" s="608" t="s">
        <v>1801</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1731</v>
      </c>
      <c r="C69" s="527" t="s">
        <v>1719</v>
      </c>
      <c r="D69" s="527" t="s">
        <v>1720</v>
      </c>
      <c r="E69" s="527" t="s">
        <v>1721</v>
      </c>
      <c r="F69" s="527" t="s">
        <v>1722</v>
      </c>
      <c r="G69" s="527" t="s">
        <v>1723</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1850</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1692</v>
      </c>
      <c r="B79" s="477" t="s">
        <v>1851</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1852</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1738</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1854</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1856</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1857</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4" priority="18" stopIfTrue="1" operator="containsText" text="超过">
      <formula>NOT(ISERROR(SEARCH("超过",F42)))</formula>
    </cfRule>
  </conditionalFormatting>
  <conditionalFormatting sqref="J44">
    <cfRule type="containsText" dxfId="83" priority="17" stopIfTrue="1" operator="containsText" text="超过">
      <formula>NOT(ISERROR(SEARCH("超过",J44)))</formula>
    </cfRule>
  </conditionalFormatting>
  <conditionalFormatting sqref="H44">
    <cfRule type="containsText" dxfId="82" priority="16" stopIfTrue="1" operator="containsText" text="超过">
      <formula>NOT(ISERROR(SEARCH("超过",H44)))</formula>
    </cfRule>
  </conditionalFormatting>
  <conditionalFormatting sqref="F44">
    <cfRule type="containsText" dxfId="81" priority="15" stopIfTrue="1" operator="containsText" text="超过">
      <formula>NOT(ISERROR(SEARCH("超过",F44)))</formula>
    </cfRule>
  </conditionalFormatting>
  <conditionalFormatting sqref="F43 H43 J43">
    <cfRule type="containsText" dxfId="80" priority="14" stopIfTrue="1" operator="containsText" text="超过">
      <formula>NOT(ISERROR(SEARCH("超过",F43)))</formula>
    </cfRule>
  </conditionalFormatting>
  <conditionalFormatting sqref="E42">
    <cfRule type="expression" dxfId="79" priority="13" stopIfTrue="1">
      <formula>$F$42="超过30%"</formula>
    </cfRule>
  </conditionalFormatting>
  <conditionalFormatting sqref="G44">
    <cfRule type="expression" dxfId="78" priority="12" stopIfTrue="1">
      <formula>$H$54+$H$44="超过30%"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G42">
    <cfRule type="expression" dxfId="75" priority="9" stopIfTrue="1">
      <formula>$H$52+$H$42="超过30%"</formula>
    </cfRule>
  </conditionalFormatting>
  <conditionalFormatting sqref="G43">
    <cfRule type="expression" dxfId="74" priority="8" stopIfTrue="1">
      <formula>$H$43="超过20%"</formula>
    </cfRule>
  </conditionalFormatting>
  <conditionalFormatting sqref="I42">
    <cfRule type="expression" dxfId="73" priority="7" stopIfTrue="1">
      <formula>$J$52+$J$42="超过30%"</formula>
    </cfRule>
  </conditionalFormatting>
  <conditionalFormatting sqref="I43">
    <cfRule type="expression" dxfId="72" priority="6" stopIfTrue="1">
      <formula>$J$53+$J$43="超过20%"</formula>
    </cfRule>
  </conditionalFormatting>
  <conditionalFormatting sqref="I44">
    <cfRule type="expression" dxfId="71" priority="5" stopIfTrue="1">
      <formula>$J$44="超过30%"</formula>
    </cfRule>
  </conditionalFormatting>
  <conditionalFormatting sqref="F38">
    <cfRule type="expression" dxfId="70" priority="4">
      <formula>$D$38="简单平均"</formula>
    </cfRule>
  </conditionalFormatting>
  <conditionalFormatting sqref="H38">
    <cfRule type="expression" dxfId="69" priority="3">
      <formula>$D$38="简单平均"</formula>
    </cfRule>
  </conditionalFormatting>
  <conditionalFormatting sqref="J38">
    <cfRule type="expression" dxfId="68" priority="2">
      <formula>$D$38="简单平均"</formula>
    </cfRule>
  </conditionalFormatting>
  <conditionalFormatting sqref="F7:F36 H7:H36 J7:J36">
    <cfRule type="cellIs" dxfId="6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0" customFormat="1" ht="28.5" customHeight="1" thickBot="1">
      <c r="A1" s="1219" t="s">
        <v>1829</v>
      </c>
      <c r="B1" s="1220" t="s">
        <v>3335</v>
      </c>
      <c r="C1" s="1221" t="s">
        <v>1660</v>
      </c>
      <c r="D1" s="1222"/>
      <c r="E1" s="3430"/>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1" t="b">
        <f>IF(E1="项目模式",IF(C2="——",ROUND(C37*D3/10000,0),ROUND(C37*D3/10000,0)-D2),IF(E1="单套模式",IF(C2="——",ROUND(C37*D3/10000,4),ROUND(C37*D3/10000,4)-D2)))</f>
        <v>0</v>
      </c>
      <c r="C2" s="1878"/>
      <c r="D2" s="904" t="e">
        <f ca="1">IF(E1="项目模式",SUMIF(INDIRECT("'"&amp;F2&amp;"'"&amp;"!A:A"),"承租人权益价值",INDIRECT("'"&amp;F2&amp;"'"&amp;"!c:c")),SUMIF(INDIRECT("'"&amp;F2&amp;"'"&amp;"!A:A"),"承租人权益价值（单套）",INDIRECT("'"&amp;F2&amp;"'"&amp;"!c:c")))</f>
        <v>#REF!</v>
      </c>
      <c r="E2" s="1879" t="s">
        <v>1461</v>
      </c>
      <c r="F2" s="1880"/>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4.4">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804" t="s">
        <v>1769</v>
      </c>
      <c r="S4" s="3805"/>
      <c r="T4" s="3804" t="s">
        <v>1770</v>
      </c>
      <c r="U4" s="3805"/>
      <c r="V4" s="3810" t="s">
        <v>1771</v>
      </c>
      <c r="W4" s="3810"/>
      <c r="X4" s="1352"/>
      <c r="Y4" s="3804" t="s">
        <v>1773</v>
      </c>
      <c r="Z4" s="3805"/>
      <c r="AA4" s="3791" t="s">
        <v>1769</v>
      </c>
      <c r="AB4" s="3792" t="s">
        <v>1770</v>
      </c>
      <c r="AC4" s="3791" t="s">
        <v>1771</v>
      </c>
    </row>
    <row r="5" spans="1:29">
      <c r="A5" s="358"/>
      <c r="B5" s="359"/>
      <c r="C5" s="3813" t="s">
        <v>1671</v>
      </c>
      <c r="D5" s="3814"/>
      <c r="E5" s="3820" t="s">
        <v>1672</v>
      </c>
      <c r="F5" s="3821"/>
      <c r="G5" s="3813" t="s">
        <v>1673</v>
      </c>
      <c r="H5" s="3814"/>
      <c r="I5" s="3813" t="s">
        <v>1674</v>
      </c>
      <c r="J5" s="3814"/>
      <c r="K5" s="559"/>
      <c r="L5" s="2712"/>
      <c r="M5" s="2713"/>
      <c r="N5" s="2713"/>
      <c r="O5" s="2713"/>
      <c r="P5" s="3800"/>
      <c r="Q5" s="3801"/>
      <c r="R5" s="3806"/>
      <c r="S5" s="3807"/>
      <c r="T5" s="3806"/>
      <c r="U5" s="3807"/>
      <c r="V5" s="3810"/>
      <c r="W5" s="3810"/>
      <c r="X5" s="1352"/>
      <c r="Y5" s="3806"/>
      <c r="Z5" s="3807"/>
      <c r="AA5" s="3792"/>
      <c r="AB5" s="3792"/>
      <c r="AC5" s="3792"/>
    </row>
    <row r="6" spans="1:29" ht="15" thickBot="1">
      <c r="A6" s="360"/>
      <c r="B6" s="361"/>
      <c r="C6" s="3811" t="s">
        <v>1675</v>
      </c>
      <c r="D6" s="3812"/>
      <c r="E6" s="3818" t="s">
        <v>1675</v>
      </c>
      <c r="F6" s="3819"/>
      <c r="G6" s="3811" t="s">
        <v>1675</v>
      </c>
      <c r="H6" s="3812"/>
      <c r="I6" s="3811" t="s">
        <v>1675</v>
      </c>
      <c r="J6" s="3812"/>
      <c r="K6" s="559" t="s">
        <v>1676</v>
      </c>
      <c r="L6" s="2712"/>
      <c r="M6" s="2713"/>
      <c r="N6" s="2713"/>
      <c r="O6" s="2713"/>
      <c r="P6" s="3802"/>
      <c r="Q6" s="3803"/>
      <c r="R6" s="3806"/>
      <c r="S6" s="3807"/>
      <c r="T6" s="3808"/>
      <c r="U6" s="3809"/>
      <c r="V6" s="3810"/>
      <c r="W6" s="3810"/>
      <c r="X6" s="1352"/>
      <c r="Y6" s="3808"/>
      <c r="Z6" s="3809"/>
      <c r="AA6" s="3793"/>
      <c r="AB6" s="3793"/>
      <c r="AC6" s="3793"/>
    </row>
    <row r="7" spans="1:29" s="108" customFormat="1" ht="15" thickBot="1">
      <c r="A7" s="362" t="s">
        <v>1677</v>
      </c>
      <c r="B7" s="363"/>
      <c r="C7" s="364">
        <f>'数据-取费表'!B2</f>
        <v>45295</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815" t="s">
        <v>1678</v>
      </c>
      <c r="Q7" s="3817"/>
      <c r="R7" s="701" t="s">
        <v>14</v>
      </c>
      <c r="S7" s="702">
        <f t="shared" ref="S7:S14" si="0">F7</f>
        <v>0</v>
      </c>
      <c r="T7" s="701" t="s">
        <v>14</v>
      </c>
      <c r="U7" s="702">
        <f t="shared" ref="U7:U14" si="1">H7</f>
        <v>0</v>
      </c>
      <c r="V7" s="701" t="s">
        <v>14</v>
      </c>
      <c r="W7" s="702">
        <f t="shared" ref="W7:W14" si="2">J7</f>
        <v>0</v>
      </c>
      <c r="X7" s="703"/>
      <c r="Y7" s="3815" t="s">
        <v>1678</v>
      </c>
      <c r="Z7" s="3816"/>
      <c r="AA7" s="704" t="e">
        <f>D7/F7</f>
        <v>#DIV/0!</v>
      </c>
      <c r="AB7" s="704" t="e">
        <f>D7/H7</f>
        <v>#DIV/0!</v>
      </c>
      <c r="AC7" s="704" t="e">
        <f>D7/J7</f>
        <v>#DIV/0!</v>
      </c>
    </row>
    <row r="8" spans="1:29" s="108" customFormat="1" ht="1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815" t="s">
        <v>1681</v>
      </c>
      <c r="Q8" s="3816"/>
      <c r="R8" s="701" t="s">
        <v>14</v>
      </c>
      <c r="S8" s="702">
        <f t="shared" si="0"/>
        <v>100</v>
      </c>
      <c r="T8" s="701" t="s">
        <v>14</v>
      </c>
      <c r="U8" s="702">
        <f t="shared" si="1"/>
        <v>100</v>
      </c>
      <c r="V8" s="701" t="s">
        <v>14</v>
      </c>
      <c r="W8" s="702">
        <f t="shared" si="2"/>
        <v>100</v>
      </c>
      <c r="X8" s="703"/>
      <c r="Y8" s="3815" t="s">
        <v>1681</v>
      </c>
      <c r="Z8" s="3816"/>
      <c r="AA8" s="704">
        <f t="shared" ref="AA8:AA34" si="3">D8/F8</f>
        <v>1</v>
      </c>
      <c r="AB8" s="704">
        <f t="shared" ref="AB8:AB34" si="4">D8/H8</f>
        <v>1</v>
      </c>
      <c r="AC8" s="704">
        <f t="shared" ref="AC8:AC34" si="5">D8/J8</f>
        <v>1</v>
      </c>
    </row>
    <row r="9" spans="1:29" s="108" customFormat="1" ht="14.4">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79" t="s">
        <v>1684</v>
      </c>
      <c r="Q9" s="1340" t="str">
        <f t="shared" ref="Q9:Q14" si="6">B9</f>
        <v>用途</v>
      </c>
      <c r="R9" s="701" t="s">
        <v>14</v>
      </c>
      <c r="S9" s="702">
        <f t="shared" si="0"/>
        <v>100</v>
      </c>
      <c r="T9" s="701" t="s">
        <v>14</v>
      </c>
      <c r="U9" s="702">
        <f t="shared" si="1"/>
        <v>100</v>
      </c>
      <c r="V9" s="701" t="s">
        <v>14</v>
      </c>
      <c r="W9" s="702">
        <f t="shared" si="2"/>
        <v>100</v>
      </c>
      <c r="X9" s="703"/>
      <c r="Y9" s="3654" t="s">
        <v>1685</v>
      </c>
      <c r="Z9" s="52" t="str">
        <f t="shared" ref="Z9:Z14" si="7">Q9</f>
        <v>用途</v>
      </c>
      <c r="AA9" s="704">
        <f t="shared" si="3"/>
        <v>1</v>
      </c>
      <c r="AB9" s="704">
        <f t="shared" si="4"/>
        <v>1</v>
      </c>
      <c r="AC9" s="704">
        <f t="shared" si="5"/>
        <v>1</v>
      </c>
    </row>
    <row r="10" spans="1:29" s="378" customFormat="1" ht="28.8">
      <c r="A10" s="374"/>
      <c r="B10" s="375" t="s">
        <v>1686</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79"/>
      <c r="Q10" s="1340" t="str">
        <f t="shared" si="6"/>
        <v>土地使用年限（年）</v>
      </c>
      <c r="R10" s="701" t="s">
        <v>14</v>
      </c>
      <c r="S10" s="702">
        <f t="shared" si="0"/>
        <v>100</v>
      </c>
      <c r="T10" s="701" t="s">
        <v>14</v>
      </c>
      <c r="U10" s="702">
        <f t="shared" si="1"/>
        <v>100</v>
      </c>
      <c r="V10" s="701" t="s">
        <v>14</v>
      </c>
      <c r="W10" s="702">
        <f t="shared" si="2"/>
        <v>100</v>
      </c>
      <c r="X10" s="703"/>
      <c r="Y10" s="3654"/>
      <c r="Z10" s="52" t="str">
        <f t="shared" si="7"/>
        <v>土地使用年限（年）</v>
      </c>
      <c r="AA10" s="704">
        <f t="shared" si="3"/>
        <v>1</v>
      </c>
      <c r="AB10" s="704">
        <f t="shared" si="4"/>
        <v>1</v>
      </c>
      <c r="AC10" s="704">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79"/>
      <c r="Q11" s="1340">
        <f t="shared" si="6"/>
        <v>111</v>
      </c>
      <c r="R11" s="701" t="s">
        <v>14</v>
      </c>
      <c r="S11" s="702">
        <f t="shared" si="0"/>
        <v>100</v>
      </c>
      <c r="T11" s="701" t="s">
        <v>14</v>
      </c>
      <c r="U11" s="702">
        <f t="shared" si="1"/>
        <v>100</v>
      </c>
      <c r="V11" s="701" t="s">
        <v>14</v>
      </c>
      <c r="W11" s="702">
        <f t="shared" si="2"/>
        <v>100</v>
      </c>
      <c r="X11" s="703"/>
      <c r="Y11" s="3654"/>
      <c r="Z11" s="52">
        <f t="shared" si="7"/>
        <v>111</v>
      </c>
      <c r="AA11" s="704">
        <f t="shared" si="3"/>
        <v>1</v>
      </c>
      <c r="AB11" s="704">
        <f t="shared" si="4"/>
        <v>1</v>
      </c>
      <c r="AC11" s="704">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79"/>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6"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779"/>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96.6">
      <c r="A14" s="391" t="s">
        <v>1688</v>
      </c>
      <c r="B14" s="61" t="s">
        <v>1831</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81" t="s">
        <v>1689</v>
      </c>
      <c r="Q14" s="1349" t="str">
        <f t="shared" si="6"/>
        <v>交通便捷度</v>
      </c>
      <c r="R14" s="705" t="s">
        <v>14</v>
      </c>
      <c r="S14" s="706">
        <f t="shared" si="0"/>
        <v>100</v>
      </c>
      <c r="T14" s="705" t="s">
        <v>14</v>
      </c>
      <c r="U14" s="706">
        <f t="shared" si="1"/>
        <v>100</v>
      </c>
      <c r="V14" s="705" t="s">
        <v>14</v>
      </c>
      <c r="W14" s="706">
        <f t="shared" si="2"/>
        <v>100</v>
      </c>
      <c r="X14" s="1352"/>
      <c r="Y14" s="3781" t="s">
        <v>1689</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782"/>
      <c r="Q15" s="1349"/>
      <c r="R15" s="705"/>
      <c r="S15" s="706"/>
      <c r="T15" s="705"/>
      <c r="U15" s="706"/>
      <c r="V15" s="705"/>
      <c r="W15" s="706"/>
      <c r="X15" s="1352"/>
      <c r="Y15" s="3782"/>
      <c r="Z15" s="1353"/>
      <c r="AA15" s="1350">
        <v>1</v>
      </c>
      <c r="AB15" s="1350">
        <v>1</v>
      </c>
      <c r="AC15" s="1350">
        <v>1</v>
      </c>
    </row>
    <row r="16" spans="1:29" ht="41.4">
      <c r="A16" s="379"/>
      <c r="B16" s="402" t="s">
        <v>1810</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82"/>
      <c r="Q16" s="1349" t="str">
        <f>B16</f>
        <v>公共配套设施</v>
      </c>
      <c r="R16" s="705" t="s">
        <v>14</v>
      </c>
      <c r="S16" s="706">
        <f>F16</f>
        <v>100</v>
      </c>
      <c r="T16" s="705" t="s">
        <v>14</v>
      </c>
      <c r="U16" s="706">
        <f>H16</f>
        <v>100</v>
      </c>
      <c r="V16" s="705" t="s">
        <v>14</v>
      </c>
      <c r="W16" s="706">
        <f>J16</f>
        <v>100</v>
      </c>
      <c r="X16" s="1352"/>
      <c r="Y16" s="3782"/>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782"/>
      <c r="Q17" s="1349"/>
      <c r="R17" s="705"/>
      <c r="S17" s="706"/>
      <c r="T17" s="705"/>
      <c r="U17" s="706"/>
      <c r="V17" s="705"/>
      <c r="W17" s="706"/>
      <c r="X17" s="1352"/>
      <c r="Y17" s="3782"/>
      <c r="Z17" s="1353"/>
      <c r="AA17" s="1350">
        <v>1</v>
      </c>
      <c r="AB17" s="1350">
        <v>1</v>
      </c>
      <c r="AC17" s="1350">
        <v>1</v>
      </c>
    </row>
    <row r="18" spans="1:29" ht="41.4">
      <c r="A18" s="379"/>
      <c r="B18" s="1128" t="s">
        <v>1811</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82"/>
      <c r="Q18" s="1349" t="str">
        <f>B18</f>
        <v>基础设施水平</v>
      </c>
      <c r="R18" s="705" t="s">
        <v>14</v>
      </c>
      <c r="S18" s="706">
        <f>F18</f>
        <v>100</v>
      </c>
      <c r="T18" s="705" t="s">
        <v>14</v>
      </c>
      <c r="U18" s="706">
        <f>H18</f>
        <v>100</v>
      </c>
      <c r="V18" s="705" t="s">
        <v>14</v>
      </c>
      <c r="W18" s="706">
        <f>J18</f>
        <v>100</v>
      </c>
      <c r="X18" s="1352"/>
      <c r="Y18" s="3782"/>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782"/>
      <c r="Q19" s="1349"/>
      <c r="R19" s="705"/>
      <c r="S19" s="706"/>
      <c r="T19" s="705"/>
      <c r="U19" s="706"/>
      <c r="V19" s="705"/>
      <c r="W19" s="706"/>
      <c r="X19" s="1352"/>
      <c r="Y19" s="3782"/>
      <c r="Z19" s="1353"/>
      <c r="AA19" s="1350">
        <v>1</v>
      </c>
      <c r="AB19" s="1350">
        <v>1</v>
      </c>
      <c r="AC19" s="1350">
        <v>1</v>
      </c>
    </row>
    <row r="20" spans="1:29" ht="55.2">
      <c r="A20" s="379"/>
      <c r="B20" s="402" t="s">
        <v>1832</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82"/>
      <c r="Q20" s="1349" t="str">
        <f>B20</f>
        <v>自然及人文环境</v>
      </c>
      <c r="R20" s="705" t="s">
        <v>14</v>
      </c>
      <c r="S20" s="706">
        <f>F20</f>
        <v>100</v>
      </c>
      <c r="T20" s="705" t="s">
        <v>14</v>
      </c>
      <c r="U20" s="706">
        <f>H20</f>
        <v>100</v>
      </c>
      <c r="V20" s="705" t="s">
        <v>14</v>
      </c>
      <c r="W20" s="706">
        <f>J20</f>
        <v>100</v>
      </c>
      <c r="X20" s="1352"/>
      <c r="Y20" s="3782"/>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782"/>
      <c r="Q21" s="1349"/>
      <c r="R21" s="705"/>
      <c r="S21" s="706"/>
      <c r="T21" s="705"/>
      <c r="U21" s="706"/>
      <c r="V21" s="705"/>
      <c r="W21" s="706"/>
      <c r="X21" s="1352"/>
      <c r="Y21" s="3782"/>
      <c r="Z21" s="1353"/>
      <c r="AA21" s="1350">
        <v>1</v>
      </c>
      <c r="AB21" s="1350">
        <v>1</v>
      </c>
      <c r="AC21" s="1350">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82"/>
      <c r="Q22" s="1349" t="str">
        <f>B22</f>
        <v>楼层</v>
      </c>
      <c r="R22" s="705" t="s">
        <v>14</v>
      </c>
      <c r="S22" s="706">
        <f>F22</f>
        <v>100</v>
      </c>
      <c r="T22" s="705" t="s">
        <v>14</v>
      </c>
      <c r="U22" s="706">
        <f>H22</f>
        <v>100</v>
      </c>
      <c r="V22" s="705" t="s">
        <v>14</v>
      </c>
      <c r="W22" s="706">
        <f>J22</f>
        <v>100</v>
      </c>
      <c r="X22" s="1352"/>
      <c r="Y22" s="3782"/>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82"/>
      <c r="Q23" s="1349">
        <f>B23</f>
        <v>111</v>
      </c>
      <c r="R23" s="705" t="s">
        <v>14</v>
      </c>
      <c r="S23" s="706">
        <f>F23</f>
        <v>100</v>
      </c>
      <c r="T23" s="705" t="s">
        <v>14</v>
      </c>
      <c r="U23" s="706">
        <f>H23</f>
        <v>100</v>
      </c>
      <c r="V23" s="705" t="s">
        <v>14</v>
      </c>
      <c r="W23" s="706">
        <f>J23</f>
        <v>100</v>
      </c>
      <c r="X23" s="1352"/>
      <c r="Y23" s="3782"/>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82"/>
      <c r="Q24" s="1349">
        <f t="shared" ref="Q24:Q34" si="11">B24</f>
        <v>111</v>
      </c>
      <c r="R24" s="705" t="s">
        <v>14</v>
      </c>
      <c r="S24" s="706">
        <f>F24</f>
        <v>100</v>
      </c>
      <c r="T24" s="705" t="s">
        <v>14</v>
      </c>
      <c r="U24" s="706">
        <f>H24</f>
        <v>100</v>
      </c>
      <c r="V24" s="705" t="s">
        <v>14</v>
      </c>
      <c r="W24" s="706">
        <f>J24</f>
        <v>100</v>
      </c>
      <c r="X24" s="1352"/>
      <c r="Y24" s="3782"/>
      <c r="Z24" s="1353">
        <f>Q24</f>
        <v>111</v>
      </c>
      <c r="AA24" s="1350">
        <f t="shared" si="3"/>
        <v>1</v>
      </c>
      <c r="AB24" s="1350">
        <f t="shared" si="4"/>
        <v>1</v>
      </c>
      <c r="AC24" s="1350">
        <f t="shared" si="5"/>
        <v>1</v>
      </c>
    </row>
    <row r="25" spans="1:29" s="108" customFormat="1" ht="15.6"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782"/>
      <c r="Q25" s="1340">
        <f t="shared" si="11"/>
        <v>111</v>
      </c>
      <c r="R25" s="701" t="s">
        <v>14</v>
      </c>
      <c r="S25" s="702">
        <f>F25</f>
        <v>100</v>
      </c>
      <c r="T25" s="701" t="s">
        <v>14</v>
      </c>
      <c r="U25" s="702">
        <f>H25</f>
        <v>100</v>
      </c>
      <c r="V25" s="701" t="s">
        <v>14</v>
      </c>
      <c r="W25" s="702">
        <f>J25</f>
        <v>100</v>
      </c>
      <c r="X25" s="703"/>
      <c r="Y25" s="3782"/>
      <c r="Z25" s="52">
        <f>Q25</f>
        <v>111</v>
      </c>
      <c r="AA25" s="1350">
        <f>D25/F25</f>
        <v>1</v>
      </c>
      <c r="AB25" s="1350">
        <f>D25/H25</f>
        <v>1</v>
      </c>
      <c r="AC25" s="1350">
        <f>D25/J25</f>
        <v>1</v>
      </c>
    </row>
    <row r="26" spans="1:29" ht="30">
      <c r="A26" s="417" t="s">
        <v>1692</v>
      </c>
      <c r="B26" s="63" t="s">
        <v>1836</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837" t="s">
        <v>1694</v>
      </c>
      <c r="Q26" s="1349" t="str">
        <f t="shared" si="11"/>
        <v>公共部分装修</v>
      </c>
      <c r="R26" s="705" t="s">
        <v>14</v>
      </c>
      <c r="S26" s="706">
        <f t="shared" ref="S26:S34" si="12">F26</f>
        <v>100</v>
      </c>
      <c r="T26" s="705" t="s">
        <v>14</v>
      </c>
      <c r="U26" s="706">
        <f t="shared" ref="U26:U34" si="13">H26</f>
        <v>100</v>
      </c>
      <c r="V26" s="705" t="s">
        <v>14</v>
      </c>
      <c r="W26" s="706">
        <f t="shared" ref="W26:W34" si="14">J26</f>
        <v>100</v>
      </c>
      <c r="X26" s="1352"/>
      <c r="Y26" s="3786" t="s">
        <v>1694</v>
      </c>
      <c r="Z26" s="1353" t="str">
        <f t="shared" ref="Z26:Z34" si="15">Q26</f>
        <v>公共部分装修</v>
      </c>
      <c r="AA26" s="1350">
        <f t="shared" si="3"/>
        <v>1</v>
      </c>
      <c r="AB26" s="1350">
        <f t="shared" si="4"/>
        <v>1</v>
      </c>
      <c r="AC26" s="1350">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86"/>
      <c r="Q27" s="707" t="str">
        <f t="shared" si="11"/>
        <v>成新率</v>
      </c>
      <c r="R27" s="708" t="s">
        <v>14</v>
      </c>
      <c r="S27" s="709" t="e">
        <f t="shared" si="12"/>
        <v>#N/A</v>
      </c>
      <c r="T27" s="708" t="s">
        <v>14</v>
      </c>
      <c r="U27" s="709" t="e">
        <f t="shared" si="13"/>
        <v>#N/A</v>
      </c>
      <c r="V27" s="708" t="s">
        <v>14</v>
      </c>
      <c r="W27" s="709" t="e">
        <f t="shared" si="14"/>
        <v>#N/A</v>
      </c>
      <c r="X27" s="710"/>
      <c r="Y27" s="3786"/>
      <c r="Z27" s="711" t="str">
        <f t="shared" si="15"/>
        <v>成新率</v>
      </c>
      <c r="AA27" s="1350" t="e">
        <f t="shared" si="3"/>
        <v>#N/A</v>
      </c>
      <c r="AB27" s="1350" t="e">
        <f t="shared" si="4"/>
        <v>#N/A</v>
      </c>
      <c r="AC27" s="1350"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86"/>
      <c r="Q28" s="1349" t="str">
        <f t="shared" si="11"/>
        <v>物业等级</v>
      </c>
      <c r="R28" s="705" t="s">
        <v>14</v>
      </c>
      <c r="S28" s="706">
        <f t="shared" si="12"/>
        <v>100</v>
      </c>
      <c r="T28" s="705" t="s">
        <v>14</v>
      </c>
      <c r="U28" s="706">
        <f t="shared" si="13"/>
        <v>100</v>
      </c>
      <c r="V28" s="705" t="s">
        <v>14</v>
      </c>
      <c r="W28" s="706">
        <f t="shared" si="14"/>
        <v>100</v>
      </c>
      <c r="X28" s="1352"/>
      <c r="Y28" s="3786"/>
      <c r="Z28" s="1353" t="str">
        <f t="shared" si="15"/>
        <v>物业等级</v>
      </c>
      <c r="AA28" s="1350">
        <f t="shared" si="3"/>
        <v>1</v>
      </c>
      <c r="AB28" s="1350">
        <f t="shared" si="4"/>
        <v>1</v>
      </c>
      <c r="AC28" s="1350">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86"/>
      <c r="Q29" s="1349" t="str">
        <f t="shared" si="11"/>
        <v>有无电梯</v>
      </c>
      <c r="R29" s="705" t="s">
        <v>14</v>
      </c>
      <c r="S29" s="706">
        <f t="shared" si="12"/>
        <v>100</v>
      </c>
      <c r="T29" s="705" t="s">
        <v>14</v>
      </c>
      <c r="U29" s="706">
        <f t="shared" si="13"/>
        <v>100</v>
      </c>
      <c r="V29" s="705" t="s">
        <v>14</v>
      </c>
      <c r="W29" s="706">
        <f t="shared" si="14"/>
        <v>100</v>
      </c>
      <c r="X29" s="1352"/>
      <c r="Y29" s="3786"/>
      <c r="Z29" s="1353" t="str">
        <f t="shared" si="15"/>
        <v>有无电梯</v>
      </c>
      <c r="AA29" s="1350">
        <f t="shared" si="3"/>
        <v>1</v>
      </c>
      <c r="AB29" s="1350">
        <f t="shared" si="4"/>
        <v>1</v>
      </c>
      <c r="AC29" s="1350">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86"/>
      <c r="Q30" s="1349" t="str">
        <f t="shared" si="11"/>
        <v>建筑面积</v>
      </c>
      <c r="R30" s="705" t="s">
        <v>14</v>
      </c>
      <c r="S30" s="706" t="e">
        <f t="shared" si="12"/>
        <v>#N/A</v>
      </c>
      <c r="T30" s="705" t="s">
        <v>14</v>
      </c>
      <c r="U30" s="706" t="e">
        <f t="shared" si="13"/>
        <v>#N/A</v>
      </c>
      <c r="V30" s="705" t="s">
        <v>14</v>
      </c>
      <c r="W30" s="706" t="e">
        <f t="shared" si="14"/>
        <v>#N/A</v>
      </c>
      <c r="X30" s="1352"/>
      <c r="Y30" s="3786"/>
      <c r="Z30" s="1353" t="str">
        <f t="shared" si="15"/>
        <v>建筑面积</v>
      </c>
      <c r="AA30" s="1350" t="e">
        <f t="shared" si="3"/>
        <v>#N/A</v>
      </c>
      <c r="AB30" s="1350" t="e">
        <f t="shared" si="4"/>
        <v>#N/A</v>
      </c>
      <c r="AC30" s="1350"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86"/>
      <c r="Q31" s="1340" t="str">
        <f t="shared" si="11"/>
        <v>是否封闭</v>
      </c>
      <c r="R31" s="701" t="s">
        <v>14</v>
      </c>
      <c r="S31" s="702">
        <f t="shared" si="12"/>
        <v>100</v>
      </c>
      <c r="T31" s="701" t="s">
        <v>14</v>
      </c>
      <c r="U31" s="702">
        <f t="shared" si="13"/>
        <v>100</v>
      </c>
      <c r="V31" s="701" t="s">
        <v>14</v>
      </c>
      <c r="W31" s="702">
        <f t="shared" si="14"/>
        <v>100</v>
      </c>
      <c r="X31" s="703"/>
      <c r="Y31" s="3786"/>
      <c r="Z31" s="52" t="str">
        <f t="shared" si="15"/>
        <v>是否封闭</v>
      </c>
      <c r="AA31" s="704">
        <f t="shared" si="3"/>
        <v>1</v>
      </c>
      <c r="AB31" s="704">
        <f t="shared" si="4"/>
        <v>1</v>
      </c>
      <c r="AC31" s="704">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86" t="s">
        <v>1694</v>
      </c>
      <c r="Q32" s="1349">
        <f t="shared" si="11"/>
        <v>111</v>
      </c>
      <c r="R32" s="705" t="s">
        <v>14</v>
      </c>
      <c r="S32" s="706">
        <f t="shared" si="12"/>
        <v>100</v>
      </c>
      <c r="T32" s="705" t="s">
        <v>14</v>
      </c>
      <c r="U32" s="706">
        <f t="shared" si="13"/>
        <v>100</v>
      </c>
      <c r="V32" s="705" t="s">
        <v>14</v>
      </c>
      <c r="W32" s="706">
        <f t="shared" si="14"/>
        <v>100</v>
      </c>
      <c r="X32" s="1352"/>
      <c r="Y32" s="3786" t="s">
        <v>1694</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86"/>
      <c r="Q33" s="1349">
        <f t="shared" si="11"/>
        <v>111</v>
      </c>
      <c r="R33" s="705" t="s">
        <v>14</v>
      </c>
      <c r="S33" s="706">
        <f t="shared" si="12"/>
        <v>100</v>
      </c>
      <c r="T33" s="705" t="s">
        <v>14</v>
      </c>
      <c r="U33" s="706">
        <f t="shared" si="13"/>
        <v>100</v>
      </c>
      <c r="V33" s="705" t="s">
        <v>14</v>
      </c>
      <c r="W33" s="706">
        <f t="shared" si="14"/>
        <v>100</v>
      </c>
      <c r="X33" s="1352"/>
      <c r="Y33" s="3786"/>
      <c r="Z33" s="1353">
        <f t="shared" si="15"/>
        <v>111</v>
      </c>
      <c r="AA33" s="1350">
        <f t="shared" si="3"/>
        <v>1</v>
      </c>
      <c r="AB33" s="1350">
        <f t="shared" si="4"/>
        <v>1</v>
      </c>
      <c r="AC33" s="1350">
        <f t="shared" si="5"/>
        <v>1</v>
      </c>
    </row>
    <row r="34" spans="1:30" ht="15.6"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786"/>
      <c r="Q34" s="1349">
        <f t="shared" si="11"/>
        <v>111</v>
      </c>
      <c r="R34" s="705" t="s">
        <v>14</v>
      </c>
      <c r="S34" s="706">
        <f t="shared" si="12"/>
        <v>100</v>
      </c>
      <c r="T34" s="705" t="s">
        <v>14</v>
      </c>
      <c r="U34" s="706">
        <f t="shared" si="13"/>
        <v>100</v>
      </c>
      <c r="V34" s="705" t="s">
        <v>14</v>
      </c>
      <c r="W34" s="706">
        <f t="shared" si="14"/>
        <v>100</v>
      </c>
      <c r="X34" s="1352"/>
      <c r="Y34" s="3786"/>
      <c r="Z34" s="1353">
        <f t="shared" si="15"/>
        <v>111</v>
      </c>
      <c r="AA34" s="1350">
        <f t="shared" si="3"/>
        <v>1</v>
      </c>
      <c r="AB34" s="1350">
        <f t="shared" si="4"/>
        <v>1</v>
      </c>
      <c r="AC34" s="1350">
        <f t="shared" si="5"/>
        <v>1</v>
      </c>
    </row>
    <row r="35" spans="1:30" ht="14.4">
      <c r="A35" s="430" t="s">
        <v>1706</v>
      </c>
      <c r="B35" s="431"/>
      <c r="C35" s="1151" t="s">
        <v>0</v>
      </c>
      <c r="D35" s="1152"/>
      <c r="E35" s="1153"/>
      <c r="F35" s="1154"/>
      <c r="G35" s="1155"/>
      <c r="H35" s="1156"/>
      <c r="I35" s="1153"/>
      <c r="J35" s="1156"/>
      <c r="K35" s="714"/>
      <c r="L35" s="2721"/>
      <c r="M35" s="2722"/>
      <c r="N35" s="2713"/>
      <c r="O35" s="2722"/>
      <c r="P35" s="3779" t="str">
        <f>A35</f>
        <v>成交单价（元/平方米）</v>
      </c>
      <c r="Q35" s="3779"/>
      <c r="R35" s="3780">
        <f>E35</f>
        <v>0</v>
      </c>
      <c r="S35" s="3780"/>
      <c r="T35" s="3780">
        <f>G35</f>
        <v>0</v>
      </c>
      <c r="U35" s="3780"/>
      <c r="V35" s="3780">
        <f>I35</f>
        <v>0</v>
      </c>
      <c r="W35" s="3780"/>
      <c r="X35" s="690"/>
      <c r="Y35" s="712"/>
      <c r="Z35" s="690"/>
      <c r="AA35" s="690"/>
      <c r="AB35" s="690"/>
      <c r="AC35" s="690"/>
    </row>
    <row r="36" spans="1:30" ht="15" thickBot="1">
      <c r="A36" s="437" t="s">
        <v>1791</v>
      </c>
      <c r="B36" s="438"/>
      <c r="C36" s="1157" t="e">
        <f>R37</f>
        <v>#DIV/0!</v>
      </c>
      <c r="D36" s="2314" t="s">
        <v>2135</v>
      </c>
      <c r="E36" s="1158" t="e">
        <f>R36</f>
        <v>#DIV/0!</v>
      </c>
      <c r="F36" s="2315"/>
      <c r="G36" s="1157" t="e">
        <f>T36</f>
        <v>#DIV/0!</v>
      </c>
      <c r="H36" s="2315"/>
      <c r="I36" s="1158" t="e">
        <f>V36</f>
        <v>#DIV/0!</v>
      </c>
      <c r="J36" s="2315"/>
      <c r="K36" s="2317">
        <f>F36+H36+J36</f>
        <v>0</v>
      </c>
      <c r="L36" s="2721"/>
      <c r="M36" s="2722"/>
      <c r="N36" s="2713"/>
      <c r="O36" s="2722"/>
      <c r="P36" s="3779" t="str">
        <f>A36</f>
        <v>比较价值（元/平方米）</v>
      </c>
      <c r="Q36" s="3779"/>
      <c r="R36" s="3780" t="e">
        <f>IF(F1="售价",ROUND(PRODUCT(R35,AA7:AA34),0),ROUND(PRODUCT(R35,AA7:AA34),1))</f>
        <v>#DIV/0!</v>
      </c>
      <c r="S36" s="3780"/>
      <c r="T36" s="3780" t="e">
        <f>IF(F1="售价",ROUND(PRODUCT(T35,AB7:AB34),0),ROUND(PRODUCT(T35,AB7:AB34),1))</f>
        <v>#DIV/0!</v>
      </c>
      <c r="U36" s="3780"/>
      <c r="V36" s="3780" t="e">
        <f>IF(F1="售价",ROUND(PRODUCT(V35,AC7:AC34),0),ROUND(PRODUCT(V35,AC7:AC34),1))</f>
        <v>#DIV/0!</v>
      </c>
      <c r="W36" s="3780"/>
      <c r="X36" s="690"/>
      <c r="Y36" s="690"/>
      <c r="Z36" s="690"/>
      <c r="AA36" s="690"/>
      <c r="AB36" s="690"/>
      <c r="AC36" s="690"/>
    </row>
    <row r="37" spans="1:30" ht="15" thickBot="1">
      <c r="A37" s="441" t="s">
        <v>1792</v>
      </c>
      <c r="B37" s="442"/>
      <c r="C37" s="1160" t="e">
        <f>R37</f>
        <v>#DIV/0!</v>
      </c>
      <c r="D37" s="1160"/>
      <c r="E37" s="1160"/>
      <c r="F37" s="1160"/>
      <c r="G37" s="1160"/>
      <c r="H37" s="1160"/>
      <c r="I37" s="1160"/>
      <c r="J37" s="1160"/>
      <c r="K37" s="715"/>
      <c r="L37" s="2721"/>
      <c r="M37" s="2722"/>
      <c r="N37" s="2722"/>
      <c r="O37" s="2722"/>
      <c r="P37" s="3776" t="str">
        <f>A37</f>
        <v>估价对象XX用房的比较价值（楼面单价，元/平方米）</v>
      </c>
      <c r="Q37" s="3777"/>
      <c r="R37" s="3838" t="e">
        <f>IF(F1="售价",ROUND(IF(D36="简单平均",AVERAGE(R36:W36),R36*F36+T36*H36+V36*J36),0),ROUND(IF(D36="简单平均",AVERAGE(R36:V36),R36*F36+T36*H36+V36*J36),1))</f>
        <v>#DIV/0!</v>
      </c>
      <c r="S37" s="3838"/>
      <c r="T37" s="3838"/>
      <c r="U37" s="3838"/>
      <c r="V37" s="3838"/>
      <c r="W37" s="3838"/>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1796</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1677</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1714</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1679</v>
      </c>
      <c r="B49" s="459"/>
      <c r="C49" s="471" t="s">
        <v>1774</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1717</v>
      </c>
      <c r="B51" s="477" t="s">
        <v>1683</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1686</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1861</v>
      </c>
      <c r="C63" s="527" t="s">
        <v>1719</v>
      </c>
      <c r="D63" s="527" t="s">
        <v>1720</v>
      </c>
      <c r="E63" s="527" t="s">
        <v>1721</v>
      </c>
      <c r="F63" s="527" t="s">
        <v>1722</v>
      </c>
      <c r="G63" s="527" t="s">
        <v>1723</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1811</v>
      </c>
      <c r="C65" s="608" t="s">
        <v>1797</v>
      </c>
      <c r="D65" s="608" t="s">
        <v>1798</v>
      </c>
      <c r="E65" s="608" t="s">
        <v>1799</v>
      </c>
      <c r="F65" s="608" t="s">
        <v>1800</v>
      </c>
      <c r="G65" s="608" t="s">
        <v>1801</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1731</v>
      </c>
      <c r="C67" s="527" t="s">
        <v>1719</v>
      </c>
      <c r="D67" s="527" t="s">
        <v>1720</v>
      </c>
      <c r="E67" s="527" t="s">
        <v>1721</v>
      </c>
      <c r="F67" s="527" t="s">
        <v>1722</v>
      </c>
      <c r="G67" s="527" t="s">
        <v>1723</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1850</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1692</v>
      </c>
      <c r="B77" s="477" t="s">
        <v>1738</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1854</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1862</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1864</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3"/>
      <c r="B98" s="933"/>
      <c r="C98" s="933"/>
      <c r="D98" s="933"/>
      <c r="E98" s="933"/>
      <c r="F98" s="933"/>
      <c r="G98" s="933"/>
      <c r="H98" s="933"/>
      <c r="I98" s="933"/>
      <c r="J98" s="933"/>
      <c r="K98" s="934"/>
      <c r="L98" s="935"/>
      <c r="M98" s="933"/>
      <c r="N98" s="2722"/>
      <c r="O98" s="2722"/>
      <c r="P98" s="2722"/>
      <c r="Q98" s="2722"/>
      <c r="R98" s="2722"/>
      <c r="S98" s="2722"/>
      <c r="T98" s="2722"/>
      <c r="U98" s="2722"/>
      <c r="V98" s="2722"/>
      <c r="W98" s="2722"/>
      <c r="X98" s="2722"/>
      <c r="Y98" s="2722"/>
      <c r="Z98" s="2722"/>
      <c r="AA98" s="2722"/>
      <c r="AB98" s="2722"/>
      <c r="AC98" s="2722"/>
      <c r="AD98" s="2722"/>
    </row>
    <row r="99" spans="1:30">
      <c r="A99" s="933"/>
      <c r="B99" s="933"/>
      <c r="C99" s="933"/>
      <c r="D99" s="933"/>
      <c r="E99" s="933"/>
      <c r="F99" s="933"/>
      <c r="G99" s="933"/>
      <c r="H99" s="933"/>
      <c r="I99" s="933"/>
      <c r="J99" s="933"/>
      <c r="K99" s="934"/>
      <c r="L99" s="935"/>
      <c r="M99" s="933"/>
      <c r="N99" s="2722"/>
      <c r="O99" s="2722"/>
      <c r="P99" s="2722"/>
      <c r="Q99" s="2722"/>
      <c r="R99" s="2722"/>
      <c r="S99" s="2722"/>
      <c r="T99" s="2722"/>
      <c r="U99" s="2722"/>
      <c r="V99" s="2722"/>
      <c r="W99" s="2722"/>
      <c r="X99" s="2722"/>
      <c r="Y99" s="2722"/>
      <c r="Z99" s="2722"/>
      <c r="AA99" s="2722"/>
      <c r="AB99" s="2722"/>
      <c r="AC99" s="2722"/>
      <c r="AD99" s="2722"/>
    </row>
    <row r="100" spans="1:30">
      <c r="A100" s="933"/>
      <c r="B100" s="933"/>
      <c r="C100" s="933"/>
      <c r="D100" s="933"/>
      <c r="E100" s="933"/>
      <c r="F100" s="933"/>
      <c r="G100" s="933"/>
      <c r="H100" s="933"/>
      <c r="I100" s="933"/>
      <c r="J100" s="933"/>
      <c r="K100" s="934"/>
      <c r="L100" s="935"/>
      <c r="M100" s="933"/>
      <c r="N100" s="2722"/>
      <c r="O100" s="2722"/>
      <c r="P100" s="2722"/>
      <c r="Q100" s="2722"/>
      <c r="R100" s="2722"/>
      <c r="S100" s="2722"/>
      <c r="T100" s="2722"/>
      <c r="U100" s="2722"/>
      <c r="V100" s="2722"/>
      <c r="W100" s="2722"/>
      <c r="X100" s="2722"/>
      <c r="Y100" s="2722"/>
      <c r="Z100" s="2722"/>
      <c r="AA100" s="2722"/>
      <c r="AB100" s="2722"/>
      <c r="AC100" s="2722"/>
      <c r="AD100" s="2722"/>
    </row>
    <row r="101" spans="1:30">
      <c r="A101" s="933"/>
      <c r="B101" s="933"/>
      <c r="C101" s="933"/>
      <c r="D101" s="933"/>
      <c r="E101" s="933"/>
      <c r="F101" s="933"/>
      <c r="G101" s="933"/>
      <c r="H101" s="933"/>
      <c r="I101" s="933"/>
      <c r="J101" s="933"/>
      <c r="K101" s="934"/>
      <c r="L101" s="935"/>
      <c r="M101" s="933"/>
      <c r="N101" s="2722"/>
      <c r="O101" s="2722"/>
      <c r="P101" s="2722"/>
      <c r="Q101" s="2722"/>
      <c r="R101" s="2722"/>
      <c r="S101" s="2722"/>
      <c r="T101" s="2722"/>
      <c r="U101" s="2722"/>
      <c r="V101" s="2722"/>
      <c r="W101" s="2722"/>
      <c r="X101" s="2722"/>
      <c r="Y101" s="2722"/>
      <c r="Z101" s="2722"/>
      <c r="AA101" s="2722"/>
      <c r="AB101" s="2722"/>
      <c r="AC101" s="2722"/>
      <c r="AD101" s="2722"/>
    </row>
    <row r="102" spans="1:30">
      <c r="A102" s="933"/>
      <c r="B102" s="933"/>
      <c r="C102" s="933"/>
      <c r="D102" s="933"/>
      <c r="E102" s="933"/>
      <c r="F102" s="933"/>
      <c r="G102" s="933"/>
      <c r="H102" s="933"/>
      <c r="I102" s="933"/>
      <c r="J102" s="933"/>
      <c r="K102" s="934"/>
      <c r="L102" s="935"/>
      <c r="M102" s="933"/>
      <c r="N102" s="2722"/>
      <c r="O102" s="2722"/>
      <c r="P102" s="2722"/>
      <c r="Q102" s="2722"/>
      <c r="R102" s="2722"/>
      <c r="S102" s="2722"/>
      <c r="T102" s="2722"/>
      <c r="U102" s="2722"/>
      <c r="V102" s="2722"/>
      <c r="W102" s="2722"/>
      <c r="X102" s="2722"/>
      <c r="Y102" s="2722"/>
      <c r="Z102" s="2722"/>
      <c r="AA102" s="2722"/>
      <c r="AB102" s="2722"/>
      <c r="AC102" s="2722"/>
      <c r="AD102" s="2722"/>
    </row>
    <row r="103" spans="1:30">
      <c r="A103" s="933"/>
      <c r="B103" s="933"/>
      <c r="C103" s="933"/>
      <c r="D103" s="933"/>
      <c r="E103" s="933"/>
      <c r="F103" s="933"/>
      <c r="G103" s="933"/>
      <c r="H103" s="933"/>
      <c r="I103" s="933"/>
      <c r="J103" s="933"/>
      <c r="K103" s="934"/>
      <c r="L103" s="935"/>
      <c r="M103" s="933"/>
      <c r="N103" s="933"/>
      <c r="O103" s="933"/>
      <c r="P103" s="2722"/>
      <c r="Q103" s="2722"/>
      <c r="R103" s="2722"/>
      <c r="S103" s="2722"/>
      <c r="T103" s="2722"/>
      <c r="U103" s="2722"/>
      <c r="V103" s="2722"/>
      <c r="W103" s="2722"/>
      <c r="X103" s="2722"/>
      <c r="Y103" s="2722"/>
      <c r="Z103" s="2722"/>
      <c r="AA103" s="2722"/>
      <c r="AB103" s="2722"/>
      <c r="AC103" s="2722"/>
      <c r="AD103" s="2722"/>
    </row>
    <row r="104" spans="1:30">
      <c r="A104" s="933"/>
      <c r="B104" s="933"/>
      <c r="C104" s="933"/>
      <c r="D104" s="933"/>
      <c r="E104" s="933"/>
      <c r="F104" s="933"/>
      <c r="G104" s="933"/>
      <c r="H104" s="933"/>
      <c r="I104" s="933"/>
      <c r="J104" s="933"/>
      <c r="K104" s="934"/>
      <c r="L104" s="935"/>
      <c r="M104" s="933"/>
      <c r="N104" s="933"/>
      <c r="O104" s="933"/>
      <c r="P104" s="933"/>
      <c r="Q104" s="933"/>
      <c r="R104" s="933"/>
      <c r="S104" s="933"/>
      <c r="T104" s="933"/>
    </row>
    <row r="105" spans="1:30">
      <c r="A105" s="933"/>
      <c r="B105" s="933"/>
      <c r="C105" s="933"/>
      <c r="D105" s="933"/>
      <c r="E105" s="933"/>
      <c r="F105" s="933"/>
      <c r="G105" s="933"/>
      <c r="H105" s="933"/>
      <c r="I105" s="933"/>
      <c r="J105" s="933"/>
      <c r="K105" s="934"/>
      <c r="L105" s="935"/>
      <c r="M105" s="933"/>
      <c r="N105" s="933"/>
      <c r="O105" s="933"/>
      <c r="P105" s="933"/>
      <c r="Q105" s="933"/>
      <c r="R105" s="933"/>
      <c r="S105" s="933"/>
      <c r="T105" s="933"/>
    </row>
    <row r="106" spans="1:30">
      <c r="A106" s="933"/>
      <c r="B106" s="933"/>
      <c r="C106" s="933"/>
      <c r="D106" s="933"/>
      <c r="E106" s="933"/>
      <c r="F106" s="933"/>
      <c r="G106" s="933"/>
      <c r="H106" s="933"/>
      <c r="I106" s="933"/>
      <c r="J106" s="933"/>
      <c r="K106" s="934"/>
      <c r="L106" s="935"/>
      <c r="M106" s="933"/>
      <c r="N106" s="933"/>
      <c r="O106" s="933"/>
      <c r="P106" s="933"/>
      <c r="Q106" s="933"/>
      <c r="R106" s="933"/>
      <c r="S106" s="933"/>
      <c r="T106" s="933"/>
    </row>
    <row r="107" spans="1:30">
      <c r="A107" s="933"/>
      <c r="B107" s="933"/>
      <c r="C107" s="933"/>
      <c r="D107" s="933"/>
      <c r="E107" s="933"/>
      <c r="F107" s="933"/>
      <c r="G107" s="933"/>
      <c r="H107" s="933"/>
      <c r="I107" s="933"/>
      <c r="J107" s="933"/>
      <c r="K107" s="934"/>
      <c r="L107" s="935"/>
      <c r="M107" s="933"/>
      <c r="N107" s="933"/>
      <c r="O107" s="933"/>
      <c r="P107" s="933"/>
      <c r="Q107" s="933"/>
      <c r="R107" s="933"/>
      <c r="S107" s="933"/>
      <c r="T107" s="933"/>
    </row>
    <row r="108" spans="1:30">
      <c r="A108" s="933"/>
      <c r="B108" s="933"/>
      <c r="C108" s="933"/>
      <c r="D108" s="933"/>
      <c r="E108" s="933"/>
      <c r="F108" s="933"/>
      <c r="G108" s="933"/>
      <c r="H108" s="933"/>
      <c r="I108" s="933"/>
      <c r="J108" s="933"/>
      <c r="K108" s="934"/>
      <c r="L108" s="935"/>
      <c r="M108" s="933"/>
      <c r="N108" s="933"/>
      <c r="O108" s="933"/>
      <c r="P108" s="933"/>
      <c r="Q108" s="933"/>
      <c r="R108" s="933"/>
      <c r="S108" s="933"/>
      <c r="T108" s="933"/>
    </row>
    <row r="109" spans="1:30">
      <c r="A109" s="933"/>
      <c r="B109" s="933"/>
      <c r="C109" s="933"/>
      <c r="D109" s="933"/>
      <c r="E109" s="933"/>
      <c r="F109" s="933"/>
      <c r="G109" s="933"/>
      <c r="H109" s="933"/>
      <c r="I109" s="933"/>
      <c r="J109" s="933"/>
      <c r="K109" s="934"/>
      <c r="L109" s="935"/>
      <c r="M109" s="933"/>
      <c r="N109" s="933"/>
      <c r="O109" s="933"/>
      <c r="P109" s="933"/>
      <c r="Q109" s="933"/>
      <c r="R109" s="933"/>
      <c r="S109" s="933"/>
      <c r="T109" s="933"/>
    </row>
    <row r="110" spans="1:30">
      <c r="A110" s="933"/>
      <c r="B110" s="933"/>
      <c r="C110" s="933"/>
      <c r="D110" s="933"/>
      <c r="E110" s="933"/>
      <c r="F110" s="933"/>
      <c r="G110" s="933"/>
      <c r="H110" s="933"/>
      <c r="I110" s="933"/>
      <c r="J110" s="933"/>
      <c r="K110" s="934"/>
      <c r="L110" s="935"/>
      <c r="M110" s="933"/>
      <c r="N110" s="933"/>
      <c r="O110" s="933"/>
      <c r="P110" s="933"/>
      <c r="Q110" s="933"/>
      <c r="R110" s="933"/>
      <c r="S110" s="933"/>
      <c r="T110" s="933"/>
    </row>
    <row r="111" spans="1:30">
      <c r="A111" s="933"/>
      <c r="B111" s="933"/>
      <c r="C111" s="933"/>
      <c r="D111" s="933"/>
      <c r="E111" s="933"/>
      <c r="F111" s="933"/>
      <c r="G111" s="933"/>
      <c r="H111" s="933"/>
      <c r="I111" s="933"/>
      <c r="J111" s="933"/>
      <c r="K111" s="934"/>
      <c r="L111" s="935"/>
      <c r="M111" s="933"/>
      <c r="N111" s="933"/>
      <c r="O111" s="933"/>
      <c r="P111" s="933"/>
      <c r="Q111" s="933"/>
      <c r="R111" s="933"/>
      <c r="S111" s="933"/>
      <c r="T111" s="933"/>
    </row>
    <row r="112" spans="1:30">
      <c r="A112" s="933"/>
      <c r="B112" s="933"/>
      <c r="C112" s="933"/>
      <c r="D112" s="933"/>
      <c r="E112" s="933"/>
      <c r="F112" s="933"/>
      <c r="G112" s="933"/>
      <c r="H112" s="933"/>
      <c r="I112" s="933"/>
      <c r="J112" s="933"/>
      <c r="K112" s="934"/>
      <c r="L112" s="935"/>
      <c r="M112" s="933"/>
      <c r="N112" s="933"/>
      <c r="O112" s="933"/>
      <c r="P112" s="933"/>
      <c r="Q112" s="933"/>
      <c r="R112" s="933"/>
      <c r="S112" s="933"/>
      <c r="T112" s="933"/>
    </row>
    <row r="113" spans="1:20">
      <c r="A113" s="933"/>
      <c r="B113" s="933"/>
      <c r="C113" s="933"/>
      <c r="D113" s="933"/>
      <c r="E113" s="933"/>
      <c r="F113" s="933"/>
      <c r="G113" s="933"/>
      <c r="H113" s="933"/>
      <c r="I113" s="933"/>
      <c r="J113" s="933"/>
      <c r="K113" s="934"/>
      <c r="L113" s="935"/>
      <c r="M113" s="933"/>
      <c r="N113" s="933"/>
      <c r="O113" s="933"/>
      <c r="P113" s="933"/>
      <c r="Q113" s="933"/>
      <c r="R113" s="933"/>
      <c r="S113" s="933"/>
      <c r="T113" s="933"/>
    </row>
    <row r="114" spans="1:20">
      <c r="A114" s="933"/>
      <c r="B114" s="933"/>
      <c r="C114" s="933"/>
      <c r="D114" s="933"/>
      <c r="E114" s="933"/>
      <c r="F114" s="933"/>
      <c r="G114" s="933"/>
      <c r="H114" s="933"/>
      <c r="I114" s="933"/>
      <c r="J114" s="933"/>
      <c r="K114" s="934"/>
      <c r="L114" s="935"/>
      <c r="M114" s="933"/>
      <c r="N114" s="933"/>
      <c r="O114" s="933"/>
      <c r="P114" s="933"/>
      <c r="Q114" s="933"/>
      <c r="R114" s="933"/>
      <c r="S114" s="933"/>
      <c r="T114" s="933"/>
    </row>
    <row r="115" spans="1:20">
      <c r="A115" s="933"/>
      <c r="B115" s="933"/>
      <c r="C115" s="933"/>
      <c r="D115" s="933"/>
      <c r="E115" s="933"/>
      <c r="F115" s="933"/>
      <c r="G115" s="933"/>
      <c r="H115" s="933"/>
      <c r="I115" s="933"/>
      <c r="J115" s="933"/>
      <c r="K115" s="934"/>
      <c r="L115" s="935"/>
      <c r="M115" s="933"/>
      <c r="N115" s="933"/>
      <c r="O115" s="933"/>
      <c r="P115" s="933"/>
      <c r="Q115" s="933"/>
      <c r="R115" s="933"/>
      <c r="S115" s="933"/>
      <c r="T115" s="933"/>
    </row>
    <row r="116" spans="1:20">
      <c r="A116" s="933"/>
      <c r="B116" s="933"/>
      <c r="C116" s="933"/>
      <c r="D116" s="933"/>
      <c r="E116" s="933"/>
      <c r="F116" s="933"/>
      <c r="G116" s="933"/>
      <c r="H116" s="933"/>
      <c r="I116" s="933"/>
      <c r="J116" s="933"/>
      <c r="K116" s="934"/>
      <c r="L116" s="935"/>
      <c r="M116" s="933"/>
      <c r="N116" s="933"/>
      <c r="O116" s="933"/>
      <c r="P116" s="933"/>
      <c r="Q116" s="933"/>
      <c r="R116" s="933"/>
      <c r="S116" s="933"/>
      <c r="T116" s="933"/>
    </row>
    <row r="117" spans="1:20">
      <c r="A117" s="933"/>
      <c r="B117" s="933"/>
      <c r="C117" s="933"/>
      <c r="D117" s="933"/>
      <c r="E117" s="933"/>
      <c r="F117" s="933"/>
      <c r="G117" s="933"/>
      <c r="H117" s="933"/>
      <c r="I117" s="933"/>
      <c r="J117" s="933"/>
      <c r="K117" s="934"/>
      <c r="L117" s="935"/>
      <c r="M117" s="933"/>
      <c r="N117" s="933"/>
      <c r="O117" s="933"/>
      <c r="P117" s="933"/>
      <c r="Q117" s="933"/>
      <c r="R117" s="933"/>
      <c r="S117" s="933"/>
      <c r="T117" s="933"/>
    </row>
    <row r="118" spans="1:20">
      <c r="A118" s="933"/>
      <c r="B118" s="933"/>
      <c r="C118" s="933"/>
      <c r="D118" s="933"/>
      <c r="E118" s="933"/>
      <c r="F118" s="933"/>
      <c r="G118" s="933"/>
      <c r="H118" s="933"/>
      <c r="I118" s="933"/>
      <c r="J118" s="933"/>
      <c r="K118" s="934"/>
      <c r="L118" s="935"/>
      <c r="M118" s="933"/>
      <c r="N118" s="933"/>
      <c r="O118" s="933"/>
      <c r="P118" s="933"/>
      <c r="Q118" s="933"/>
      <c r="R118" s="933"/>
      <c r="S118" s="933"/>
      <c r="T118" s="933"/>
    </row>
    <row r="119" spans="1:20">
      <c r="A119" s="933"/>
      <c r="B119" s="933"/>
      <c r="C119" s="933"/>
      <c r="D119" s="933"/>
      <c r="E119" s="933"/>
      <c r="F119" s="933"/>
      <c r="G119" s="933"/>
      <c r="H119" s="933"/>
      <c r="I119" s="933"/>
      <c r="J119" s="933"/>
      <c r="K119" s="934"/>
      <c r="L119" s="935"/>
      <c r="M119" s="933"/>
      <c r="N119" s="933"/>
      <c r="O119" s="933"/>
      <c r="P119" s="933"/>
      <c r="Q119" s="933"/>
      <c r="R119" s="933"/>
      <c r="S119" s="933"/>
      <c r="T119" s="933"/>
    </row>
    <row r="120" spans="1:20">
      <c r="A120" s="933"/>
      <c r="B120" s="933"/>
      <c r="C120" s="933"/>
      <c r="D120" s="933"/>
      <c r="E120" s="933"/>
      <c r="F120" s="933"/>
      <c r="G120" s="933"/>
      <c r="H120" s="933"/>
      <c r="I120" s="933"/>
      <c r="J120" s="933"/>
      <c r="K120" s="934"/>
      <c r="L120" s="935"/>
      <c r="M120" s="933"/>
      <c r="N120" s="933"/>
      <c r="O120" s="933"/>
      <c r="P120" s="933"/>
      <c r="Q120" s="933"/>
      <c r="R120" s="933"/>
      <c r="S120" s="933"/>
      <c r="T120" s="933"/>
    </row>
    <row r="121" spans="1:20">
      <c r="A121" s="933"/>
      <c r="B121" s="933"/>
      <c r="C121" s="933"/>
      <c r="D121" s="933"/>
      <c r="E121" s="933"/>
      <c r="F121" s="933"/>
      <c r="G121" s="933"/>
      <c r="H121" s="933"/>
      <c r="I121" s="933"/>
      <c r="J121" s="933"/>
      <c r="K121" s="934"/>
      <c r="L121" s="935"/>
      <c r="M121" s="933"/>
      <c r="N121" s="933"/>
      <c r="O121" s="933"/>
      <c r="P121" s="933"/>
      <c r="Q121" s="933"/>
      <c r="R121" s="933"/>
      <c r="S121" s="933"/>
      <c r="T121" s="933"/>
    </row>
    <row r="122" spans="1:20">
      <c r="A122" s="933"/>
      <c r="B122" s="933"/>
      <c r="C122" s="933"/>
      <c r="D122" s="933"/>
      <c r="E122" s="933"/>
      <c r="F122" s="933"/>
      <c r="G122" s="933"/>
      <c r="H122" s="933"/>
      <c r="I122" s="933"/>
      <c r="J122" s="933"/>
      <c r="K122" s="934"/>
      <c r="L122" s="935"/>
      <c r="M122" s="933"/>
      <c r="N122" s="933"/>
      <c r="O122" s="933"/>
      <c r="P122" s="933"/>
      <c r="Q122" s="933"/>
      <c r="R122" s="933"/>
      <c r="S122" s="933"/>
      <c r="T122" s="933"/>
    </row>
    <row r="123" spans="1:20">
      <c r="A123" s="933"/>
      <c r="B123" s="933"/>
      <c r="C123" s="933"/>
      <c r="D123" s="933"/>
      <c r="E123" s="933"/>
      <c r="F123" s="933"/>
      <c r="G123" s="933"/>
      <c r="H123" s="933"/>
      <c r="I123" s="933"/>
      <c r="J123" s="933"/>
      <c r="K123" s="934"/>
      <c r="L123" s="935"/>
      <c r="M123" s="933"/>
      <c r="N123" s="933"/>
      <c r="O123" s="933"/>
      <c r="P123" s="933"/>
      <c r="Q123" s="933"/>
      <c r="R123" s="933"/>
      <c r="S123" s="933"/>
      <c r="T123" s="933"/>
    </row>
    <row r="124" spans="1:20">
      <c r="A124" s="933"/>
      <c r="B124" s="933"/>
      <c r="C124" s="933"/>
      <c r="D124" s="933"/>
      <c r="E124" s="933"/>
      <c r="F124" s="933"/>
      <c r="G124" s="933"/>
      <c r="H124" s="933"/>
      <c r="I124" s="933"/>
      <c r="J124" s="933"/>
      <c r="K124" s="934"/>
      <c r="L124" s="935"/>
      <c r="M124" s="933"/>
      <c r="N124" s="933"/>
      <c r="O124" s="933"/>
      <c r="P124" s="933"/>
      <c r="Q124" s="933"/>
      <c r="R124" s="933"/>
      <c r="S124" s="933"/>
      <c r="T124" s="933"/>
    </row>
    <row r="125" spans="1:20">
      <c r="A125" s="933"/>
      <c r="B125" s="933"/>
      <c r="C125" s="933"/>
      <c r="D125" s="933"/>
      <c r="E125" s="933"/>
      <c r="F125" s="933"/>
      <c r="G125" s="933"/>
      <c r="H125" s="933"/>
      <c r="I125" s="933"/>
      <c r="J125" s="933"/>
      <c r="K125" s="934"/>
      <c r="L125" s="935"/>
      <c r="M125" s="933"/>
      <c r="N125" s="933"/>
      <c r="O125" s="933"/>
      <c r="P125" s="933"/>
      <c r="Q125" s="933"/>
      <c r="R125" s="933"/>
      <c r="S125" s="933"/>
      <c r="T125" s="933"/>
    </row>
    <row r="126" spans="1:20">
      <c r="A126" s="933"/>
      <c r="B126" s="933"/>
      <c r="C126" s="933"/>
      <c r="D126" s="933"/>
      <c r="E126" s="933"/>
      <c r="F126" s="933"/>
      <c r="G126" s="933"/>
      <c r="H126" s="933"/>
      <c r="I126" s="933"/>
      <c r="J126" s="933"/>
      <c r="K126" s="934"/>
      <c r="L126" s="935"/>
      <c r="M126" s="933"/>
      <c r="N126" s="933"/>
      <c r="O126" s="933"/>
      <c r="P126" s="933"/>
      <c r="Q126" s="933"/>
      <c r="R126" s="933"/>
      <c r="S126" s="933"/>
      <c r="T126" s="933"/>
    </row>
    <row r="127" spans="1:20">
      <c r="A127" s="933"/>
      <c r="B127" s="933"/>
      <c r="C127" s="933"/>
      <c r="D127" s="933"/>
      <c r="E127" s="933"/>
      <c r="F127" s="933"/>
      <c r="G127" s="933"/>
      <c r="H127" s="933"/>
      <c r="I127" s="933"/>
      <c r="J127" s="933"/>
      <c r="K127" s="934"/>
      <c r="L127" s="935"/>
      <c r="M127" s="933"/>
      <c r="N127" s="933"/>
      <c r="O127" s="933"/>
      <c r="P127" s="933"/>
      <c r="Q127" s="933"/>
      <c r="R127" s="933"/>
      <c r="S127" s="933"/>
      <c r="T127" s="933"/>
    </row>
    <row r="128" spans="1:20">
      <c r="A128" s="933"/>
      <c r="B128" s="933"/>
      <c r="C128" s="933"/>
      <c r="D128" s="933"/>
      <c r="E128" s="933"/>
      <c r="F128" s="933"/>
      <c r="G128" s="933"/>
      <c r="H128" s="933"/>
      <c r="I128" s="933"/>
      <c r="J128" s="933"/>
      <c r="K128" s="934"/>
      <c r="L128" s="935"/>
      <c r="M128" s="933"/>
      <c r="N128" s="933"/>
      <c r="O128" s="933"/>
      <c r="P128" s="933"/>
      <c r="Q128" s="933"/>
      <c r="R128" s="933"/>
      <c r="S128" s="933"/>
      <c r="T128" s="933"/>
    </row>
    <row r="129" spans="1:20">
      <c r="A129" s="933"/>
      <c r="B129" s="933"/>
      <c r="C129" s="933"/>
      <c r="D129" s="933"/>
      <c r="E129" s="933"/>
      <c r="F129" s="933"/>
      <c r="G129" s="933"/>
      <c r="H129" s="933"/>
      <c r="I129" s="933"/>
      <c r="J129" s="933"/>
      <c r="K129" s="934"/>
      <c r="L129" s="935"/>
      <c r="M129" s="933"/>
      <c r="N129" s="933"/>
      <c r="O129" s="933"/>
      <c r="P129" s="933"/>
      <c r="Q129" s="933"/>
      <c r="R129" s="933"/>
      <c r="S129" s="933"/>
      <c r="T129" s="933"/>
    </row>
    <row r="130" spans="1:20">
      <c r="A130" s="933"/>
      <c r="B130" s="933"/>
      <c r="C130" s="933"/>
      <c r="D130" s="933"/>
      <c r="E130" s="933"/>
      <c r="F130" s="933"/>
      <c r="G130" s="933"/>
      <c r="H130" s="933"/>
      <c r="I130" s="933"/>
      <c r="J130" s="933"/>
      <c r="K130" s="934"/>
      <c r="L130" s="935"/>
      <c r="M130" s="933"/>
      <c r="N130" s="933"/>
      <c r="O130" s="933"/>
      <c r="P130" s="933"/>
      <c r="Q130" s="933"/>
      <c r="R130" s="933"/>
      <c r="S130" s="933"/>
      <c r="T130" s="933"/>
    </row>
    <row r="131" spans="1:20">
      <c r="A131" s="933"/>
      <c r="B131" s="933"/>
      <c r="C131" s="933"/>
      <c r="D131" s="933"/>
      <c r="E131" s="933"/>
      <c r="F131" s="933"/>
      <c r="G131" s="933"/>
      <c r="H131" s="933"/>
      <c r="I131" s="933"/>
      <c r="J131" s="933"/>
      <c r="K131" s="934"/>
      <c r="L131" s="935"/>
      <c r="M131" s="933"/>
      <c r="N131" s="933"/>
      <c r="O131" s="933"/>
      <c r="P131" s="933"/>
      <c r="Q131" s="933"/>
      <c r="R131" s="933"/>
      <c r="S131" s="933"/>
      <c r="T131" s="933"/>
    </row>
    <row r="132" spans="1:20">
      <c r="A132" s="933"/>
      <c r="B132" s="933"/>
      <c r="C132" s="933"/>
      <c r="D132" s="933"/>
      <c r="E132" s="933"/>
      <c r="F132" s="933"/>
      <c r="G132" s="933"/>
      <c r="H132" s="933"/>
      <c r="I132" s="933"/>
      <c r="J132" s="933"/>
      <c r="K132" s="934"/>
      <c r="L132" s="935"/>
      <c r="M132" s="933"/>
      <c r="N132" s="933"/>
      <c r="O132" s="933"/>
      <c r="P132" s="933"/>
      <c r="Q132" s="933"/>
      <c r="R132" s="933"/>
      <c r="S132" s="933"/>
      <c r="T132" s="933"/>
    </row>
    <row r="133" spans="1:20">
      <c r="A133" s="933"/>
      <c r="B133" s="933"/>
      <c r="C133" s="933"/>
      <c r="D133" s="933"/>
      <c r="E133" s="933"/>
      <c r="F133" s="933"/>
      <c r="G133" s="933"/>
      <c r="H133" s="933"/>
      <c r="I133" s="933"/>
      <c r="J133" s="933"/>
      <c r="K133" s="934"/>
      <c r="L133" s="935"/>
      <c r="M133" s="933"/>
      <c r="N133" s="933"/>
      <c r="O133" s="933"/>
      <c r="P133" s="933"/>
      <c r="Q133" s="933"/>
      <c r="R133" s="933"/>
      <c r="S133" s="933"/>
      <c r="T133" s="933"/>
    </row>
    <row r="134" spans="1:20">
      <c r="A134" s="933"/>
      <c r="B134" s="933"/>
      <c r="C134" s="933"/>
      <c r="D134" s="933"/>
      <c r="E134" s="933"/>
      <c r="F134" s="933"/>
      <c r="G134" s="933"/>
      <c r="H134" s="933"/>
      <c r="I134" s="933"/>
      <c r="J134" s="933"/>
      <c r="K134" s="934"/>
      <c r="L134" s="935"/>
      <c r="M134" s="933"/>
      <c r="N134" s="933"/>
      <c r="O134" s="933"/>
      <c r="P134" s="933"/>
      <c r="Q134" s="933"/>
      <c r="R134" s="933"/>
      <c r="S134" s="933"/>
      <c r="T134" s="933"/>
    </row>
    <row r="135" spans="1:20">
      <c r="A135" s="933"/>
      <c r="B135" s="933"/>
      <c r="C135" s="933"/>
      <c r="D135" s="933"/>
      <c r="E135" s="933"/>
      <c r="F135" s="933"/>
      <c r="G135" s="933"/>
      <c r="H135" s="933"/>
      <c r="I135" s="933"/>
      <c r="J135" s="933"/>
      <c r="K135" s="934"/>
      <c r="L135" s="935"/>
      <c r="M135" s="933"/>
      <c r="N135" s="933"/>
      <c r="O135" s="933"/>
      <c r="P135" s="933"/>
      <c r="Q135" s="933"/>
      <c r="R135" s="933"/>
      <c r="S135" s="933"/>
      <c r="T135" s="933"/>
    </row>
    <row r="136" spans="1:20">
      <c r="A136" s="933"/>
      <c r="B136" s="933"/>
      <c r="C136" s="933"/>
      <c r="D136" s="933"/>
      <c r="E136" s="933"/>
      <c r="F136" s="933"/>
      <c r="G136" s="933"/>
      <c r="H136" s="933"/>
      <c r="I136" s="933"/>
      <c r="J136" s="933"/>
      <c r="K136" s="934"/>
      <c r="L136" s="935"/>
      <c r="M136" s="933"/>
      <c r="N136" s="933"/>
      <c r="O136" s="933"/>
      <c r="P136" s="933"/>
      <c r="Q136" s="933"/>
      <c r="R136" s="933"/>
      <c r="S136" s="933"/>
      <c r="T136" s="933"/>
    </row>
    <row r="137" spans="1:20">
      <c r="A137" s="933"/>
      <c r="B137" s="933"/>
      <c r="C137" s="933"/>
      <c r="D137" s="933"/>
      <c r="E137" s="933"/>
      <c r="F137" s="933"/>
      <c r="G137" s="933"/>
      <c r="H137" s="933"/>
      <c r="I137" s="933"/>
      <c r="J137" s="933"/>
      <c r="K137" s="934"/>
      <c r="L137" s="935"/>
      <c r="M137" s="933"/>
      <c r="N137" s="933"/>
      <c r="O137" s="933"/>
      <c r="P137" s="933"/>
      <c r="Q137" s="933"/>
      <c r="R137" s="933"/>
      <c r="S137" s="933"/>
      <c r="T137" s="933"/>
    </row>
    <row r="138" spans="1:20">
      <c r="A138" s="933"/>
      <c r="B138" s="933"/>
      <c r="C138" s="933"/>
      <c r="D138" s="933"/>
      <c r="E138" s="933"/>
      <c r="F138" s="933"/>
      <c r="G138" s="933"/>
      <c r="H138" s="933"/>
      <c r="I138" s="933"/>
      <c r="J138" s="933"/>
      <c r="K138" s="934"/>
      <c r="L138" s="935"/>
      <c r="M138" s="933"/>
      <c r="N138" s="933"/>
      <c r="O138" s="933"/>
      <c r="P138" s="933"/>
      <c r="Q138" s="933"/>
      <c r="R138" s="933"/>
      <c r="S138" s="933"/>
      <c r="T138" s="933"/>
    </row>
    <row r="139" spans="1:20">
      <c r="A139" s="933"/>
      <c r="B139" s="933"/>
      <c r="C139" s="933"/>
      <c r="D139" s="933"/>
      <c r="E139" s="933"/>
      <c r="F139" s="933"/>
      <c r="G139" s="933"/>
      <c r="H139" s="933"/>
      <c r="I139" s="933"/>
      <c r="J139" s="933"/>
      <c r="K139" s="934"/>
      <c r="L139" s="935"/>
      <c r="M139" s="933"/>
      <c r="N139" s="933"/>
      <c r="O139" s="933"/>
      <c r="P139" s="933"/>
      <c r="Q139" s="933"/>
      <c r="R139" s="933"/>
      <c r="S139" s="933"/>
      <c r="T139" s="933"/>
    </row>
    <row r="140" spans="1:20">
      <c r="A140" s="933"/>
      <c r="B140" s="933"/>
      <c r="C140" s="933"/>
      <c r="D140" s="933"/>
      <c r="E140" s="933"/>
      <c r="F140" s="933"/>
      <c r="G140" s="933"/>
      <c r="H140" s="933"/>
      <c r="I140" s="933"/>
      <c r="J140" s="933"/>
      <c r="K140" s="934"/>
      <c r="L140" s="935"/>
      <c r="M140" s="933"/>
      <c r="N140" s="933"/>
      <c r="O140" s="933"/>
      <c r="P140" s="933"/>
      <c r="Q140" s="933"/>
      <c r="R140" s="933"/>
      <c r="S140" s="933"/>
      <c r="T140" s="933"/>
    </row>
    <row r="141" spans="1:20">
      <c r="A141" s="933"/>
      <c r="B141" s="933"/>
      <c r="C141" s="933"/>
      <c r="D141" s="933"/>
      <c r="E141" s="933"/>
      <c r="F141" s="933"/>
      <c r="G141" s="933"/>
      <c r="H141" s="933"/>
      <c r="I141" s="933"/>
      <c r="J141" s="933"/>
      <c r="K141" s="934"/>
      <c r="L141" s="935"/>
      <c r="M141" s="933"/>
      <c r="N141" s="933"/>
      <c r="O141" s="933"/>
      <c r="P141" s="933"/>
      <c r="Q141" s="933"/>
      <c r="R141" s="933"/>
      <c r="S141" s="933"/>
      <c r="T141" s="933"/>
    </row>
    <row r="142" spans="1:20">
      <c r="A142" s="933"/>
      <c r="B142" s="933"/>
      <c r="C142" s="933"/>
      <c r="D142" s="933"/>
      <c r="E142" s="933"/>
      <c r="F142" s="933"/>
      <c r="G142" s="933"/>
      <c r="H142" s="933"/>
      <c r="I142" s="933"/>
      <c r="J142" s="933"/>
      <c r="K142" s="934"/>
      <c r="L142" s="935"/>
      <c r="M142" s="933"/>
      <c r="N142" s="933"/>
      <c r="O142" s="933"/>
      <c r="P142" s="933"/>
      <c r="Q142" s="933"/>
      <c r="R142" s="933"/>
      <c r="S142" s="933"/>
      <c r="T142" s="933"/>
    </row>
    <row r="143" spans="1:20">
      <c r="A143" s="933"/>
      <c r="B143" s="933"/>
      <c r="C143" s="933"/>
      <c r="D143" s="933"/>
      <c r="E143" s="933"/>
      <c r="F143" s="933"/>
      <c r="G143" s="933"/>
      <c r="H143" s="933"/>
      <c r="I143" s="933"/>
      <c r="J143" s="933"/>
      <c r="K143" s="934"/>
      <c r="L143" s="935"/>
      <c r="M143" s="933"/>
      <c r="N143" s="933"/>
      <c r="O143" s="933"/>
      <c r="P143" s="933"/>
      <c r="Q143" s="933"/>
      <c r="R143" s="933"/>
      <c r="S143" s="933"/>
      <c r="T143" s="933"/>
    </row>
    <row r="144" spans="1:20">
      <c r="A144" s="933"/>
      <c r="B144" s="933"/>
      <c r="C144" s="933"/>
      <c r="D144" s="933"/>
      <c r="E144" s="933"/>
      <c r="F144" s="933"/>
      <c r="G144" s="933"/>
      <c r="H144" s="933"/>
      <c r="I144" s="933"/>
      <c r="J144" s="933"/>
      <c r="K144" s="934"/>
      <c r="L144" s="935"/>
      <c r="M144" s="933"/>
      <c r="N144" s="933"/>
      <c r="O144" s="933"/>
      <c r="P144" s="933"/>
      <c r="Q144" s="933"/>
      <c r="R144" s="933"/>
      <c r="S144" s="933"/>
      <c r="T144" s="933"/>
    </row>
    <row r="145" spans="1:20">
      <c r="A145" s="933"/>
      <c r="B145" s="933"/>
      <c r="C145" s="933"/>
      <c r="D145" s="933"/>
      <c r="E145" s="933"/>
      <c r="F145" s="933"/>
      <c r="G145" s="933"/>
      <c r="H145" s="933"/>
      <c r="I145" s="933"/>
      <c r="J145" s="933"/>
      <c r="K145" s="934"/>
      <c r="L145" s="935"/>
      <c r="M145" s="933"/>
      <c r="N145" s="933"/>
      <c r="O145" s="933"/>
      <c r="P145" s="933"/>
      <c r="Q145" s="933"/>
      <c r="R145" s="933"/>
      <c r="S145" s="933"/>
      <c r="T145" s="933"/>
    </row>
    <row r="146" spans="1:20">
      <c r="A146" s="933"/>
      <c r="B146" s="933"/>
      <c r="C146" s="933"/>
      <c r="D146" s="933"/>
      <c r="E146" s="933"/>
      <c r="F146" s="933"/>
      <c r="G146" s="933"/>
      <c r="H146" s="933"/>
      <c r="I146" s="933"/>
      <c r="J146" s="933"/>
      <c r="K146" s="934"/>
      <c r="L146" s="935"/>
      <c r="M146" s="933"/>
      <c r="N146" s="933"/>
      <c r="O146" s="933"/>
      <c r="P146" s="933"/>
      <c r="Q146" s="933"/>
      <c r="R146" s="933"/>
      <c r="S146" s="933"/>
      <c r="T146" s="933"/>
    </row>
    <row r="147" spans="1:20">
      <c r="A147" s="933"/>
      <c r="B147" s="933"/>
      <c r="C147" s="933"/>
      <c r="D147" s="933"/>
      <c r="E147" s="933"/>
      <c r="F147" s="933"/>
      <c r="G147" s="933"/>
      <c r="H147" s="933"/>
      <c r="I147" s="933"/>
      <c r="J147" s="933"/>
      <c r="K147" s="934"/>
      <c r="L147" s="935"/>
      <c r="M147" s="933"/>
      <c r="N147" s="933"/>
      <c r="O147" s="933"/>
      <c r="P147" s="933"/>
      <c r="Q147" s="933"/>
      <c r="R147" s="933"/>
      <c r="S147" s="933"/>
      <c r="T147" s="933"/>
    </row>
    <row r="148" spans="1:20">
      <c r="A148" s="933"/>
      <c r="B148" s="933"/>
      <c r="C148" s="933"/>
      <c r="D148" s="933"/>
      <c r="E148" s="933"/>
      <c r="F148" s="933"/>
      <c r="G148" s="933"/>
      <c r="H148" s="933"/>
      <c r="I148" s="933"/>
      <c r="J148" s="933"/>
      <c r="K148" s="934"/>
      <c r="L148" s="935"/>
      <c r="M148" s="933"/>
      <c r="N148" s="933"/>
      <c r="O148" s="933"/>
      <c r="P148" s="933"/>
      <c r="Q148" s="933"/>
      <c r="R148" s="933"/>
      <c r="S148" s="933"/>
      <c r="T148" s="933"/>
    </row>
    <row r="149" spans="1:20">
      <c r="A149" s="933"/>
      <c r="B149" s="933"/>
      <c r="C149" s="933"/>
      <c r="D149" s="933"/>
      <c r="E149" s="933"/>
      <c r="F149" s="933"/>
      <c r="G149" s="933"/>
      <c r="H149" s="933"/>
      <c r="I149" s="933"/>
      <c r="J149" s="933"/>
      <c r="K149" s="934"/>
      <c r="L149" s="935"/>
      <c r="M149" s="933"/>
      <c r="N149" s="933"/>
      <c r="O149" s="933"/>
      <c r="P149" s="933"/>
      <c r="Q149" s="933"/>
      <c r="R149" s="933"/>
      <c r="S149" s="933"/>
      <c r="T149" s="933"/>
    </row>
    <row r="150" spans="1:20">
      <c r="A150" s="933"/>
      <c r="B150" s="933"/>
      <c r="C150" s="933"/>
      <c r="D150" s="933"/>
      <c r="E150" s="933"/>
      <c r="F150" s="933"/>
      <c r="G150" s="933"/>
      <c r="H150" s="933"/>
      <c r="I150" s="933"/>
      <c r="J150" s="933"/>
      <c r="K150" s="934"/>
      <c r="L150" s="935"/>
      <c r="M150" s="933"/>
      <c r="N150" s="933"/>
      <c r="O150" s="933"/>
      <c r="P150" s="933"/>
      <c r="Q150" s="933"/>
      <c r="R150" s="933"/>
      <c r="S150" s="933"/>
      <c r="T150" s="933"/>
    </row>
    <row r="151" spans="1:20">
      <c r="A151" s="933"/>
      <c r="B151" s="933"/>
      <c r="C151" s="933"/>
      <c r="D151" s="933"/>
      <c r="E151" s="933"/>
      <c r="F151" s="933"/>
      <c r="G151" s="933"/>
      <c r="H151" s="933"/>
      <c r="I151" s="933"/>
      <c r="J151" s="933"/>
      <c r="K151" s="934"/>
      <c r="L151" s="935"/>
      <c r="M151" s="933"/>
      <c r="N151" s="933"/>
      <c r="O151" s="933"/>
      <c r="P151" s="933"/>
      <c r="Q151" s="933"/>
      <c r="R151" s="933"/>
      <c r="S151" s="933"/>
      <c r="T151" s="933"/>
    </row>
    <row r="152" spans="1:20">
      <c r="A152" s="933"/>
      <c r="B152" s="933"/>
      <c r="C152" s="933"/>
      <c r="D152" s="933"/>
      <c r="E152" s="933"/>
      <c r="F152" s="933"/>
      <c r="G152" s="933"/>
      <c r="H152" s="933"/>
      <c r="I152" s="933"/>
      <c r="J152" s="933"/>
      <c r="K152" s="934"/>
      <c r="L152" s="935"/>
      <c r="M152" s="933"/>
      <c r="N152" s="933"/>
      <c r="O152" s="933"/>
      <c r="P152" s="933"/>
      <c r="Q152" s="933"/>
      <c r="R152" s="933"/>
      <c r="S152" s="933"/>
      <c r="T152" s="933"/>
    </row>
    <row r="153" spans="1:20">
      <c r="A153" s="933"/>
      <c r="B153" s="933"/>
      <c r="C153" s="933"/>
      <c r="D153" s="933"/>
      <c r="E153" s="933"/>
      <c r="F153" s="933"/>
      <c r="G153" s="933"/>
      <c r="H153" s="933"/>
      <c r="I153" s="933"/>
      <c r="J153" s="933"/>
      <c r="K153" s="934"/>
      <c r="L153" s="935"/>
      <c r="M153" s="933"/>
      <c r="N153" s="933"/>
      <c r="O153" s="933"/>
      <c r="P153" s="933"/>
      <c r="Q153" s="933"/>
      <c r="R153" s="933"/>
      <c r="S153" s="933"/>
      <c r="T153" s="933"/>
    </row>
    <row r="154" spans="1:20">
      <c r="A154" s="933"/>
      <c r="B154" s="933"/>
      <c r="C154" s="933"/>
      <c r="D154" s="933"/>
      <c r="E154" s="933"/>
      <c r="F154" s="933"/>
      <c r="G154" s="933"/>
      <c r="H154" s="933"/>
      <c r="I154" s="933"/>
      <c r="J154" s="933"/>
      <c r="K154" s="934"/>
      <c r="L154" s="935"/>
      <c r="M154" s="933"/>
      <c r="N154" s="933"/>
      <c r="O154" s="933"/>
      <c r="P154" s="933"/>
      <c r="Q154" s="933"/>
      <c r="R154" s="933"/>
      <c r="S154" s="933"/>
      <c r="T154" s="933"/>
    </row>
    <row r="155" spans="1:20">
      <c r="A155" s="933"/>
      <c r="B155" s="933"/>
      <c r="C155" s="933"/>
      <c r="D155" s="933"/>
      <c r="E155" s="933"/>
      <c r="F155" s="933"/>
      <c r="G155" s="933"/>
      <c r="H155" s="933"/>
      <c r="I155" s="933"/>
      <c r="J155" s="933"/>
      <c r="K155" s="934"/>
      <c r="L155" s="935"/>
      <c r="M155" s="933"/>
      <c r="N155" s="933"/>
      <c r="O155" s="933"/>
      <c r="P155" s="933"/>
      <c r="Q155" s="933"/>
      <c r="R155" s="933"/>
      <c r="S155" s="933"/>
      <c r="T155" s="933"/>
    </row>
    <row r="156" spans="1:20">
      <c r="A156" s="933"/>
      <c r="B156" s="933"/>
      <c r="C156" s="933"/>
      <c r="D156" s="933"/>
      <c r="E156" s="933"/>
      <c r="F156" s="933"/>
      <c r="G156" s="933"/>
      <c r="H156" s="933"/>
      <c r="I156" s="933"/>
      <c r="J156" s="933"/>
      <c r="K156" s="934"/>
      <c r="L156" s="935"/>
      <c r="M156" s="933"/>
      <c r="N156" s="933"/>
      <c r="O156" s="933"/>
      <c r="P156" s="933"/>
      <c r="Q156" s="933"/>
      <c r="R156" s="933"/>
      <c r="S156" s="933"/>
      <c r="T156" s="933"/>
    </row>
    <row r="157" spans="1:20">
      <c r="A157" s="933"/>
      <c r="B157" s="933"/>
      <c r="C157" s="933"/>
      <c r="D157" s="933"/>
      <c r="E157" s="933"/>
      <c r="F157" s="933"/>
      <c r="G157" s="933"/>
      <c r="H157" s="933"/>
      <c r="I157" s="933"/>
      <c r="J157" s="933"/>
      <c r="K157" s="934"/>
      <c r="L157" s="935"/>
      <c r="M157" s="933"/>
      <c r="N157" s="933"/>
      <c r="O157" s="933"/>
      <c r="P157" s="933"/>
      <c r="Q157" s="933"/>
      <c r="R157" s="933"/>
      <c r="S157" s="933"/>
      <c r="T157" s="933"/>
    </row>
    <row r="158" spans="1:20">
      <c r="A158" s="933"/>
      <c r="B158" s="933"/>
      <c r="C158" s="933"/>
      <c r="D158" s="933"/>
      <c r="E158" s="933"/>
      <c r="F158" s="933"/>
      <c r="G158" s="933"/>
      <c r="H158" s="933"/>
      <c r="I158" s="933"/>
      <c r="J158" s="933"/>
      <c r="K158" s="934"/>
      <c r="L158" s="935"/>
      <c r="M158" s="933"/>
      <c r="N158" s="933"/>
      <c r="O158" s="933"/>
      <c r="P158" s="933"/>
      <c r="Q158" s="933"/>
      <c r="R158" s="933"/>
      <c r="S158" s="933"/>
      <c r="T158" s="933"/>
    </row>
    <row r="159" spans="1:20">
      <c r="A159" s="933"/>
      <c r="B159" s="933"/>
      <c r="C159" s="933"/>
      <c r="D159" s="933"/>
      <c r="E159" s="933"/>
      <c r="F159" s="933"/>
      <c r="G159" s="933"/>
      <c r="H159" s="933"/>
      <c r="I159" s="933"/>
      <c r="J159" s="933"/>
      <c r="K159" s="934"/>
      <c r="L159" s="935"/>
      <c r="M159" s="933"/>
      <c r="N159" s="933"/>
      <c r="O159" s="933"/>
      <c r="P159" s="933"/>
      <c r="Q159" s="933"/>
      <c r="R159" s="933"/>
      <c r="S159" s="933"/>
      <c r="T159" s="933"/>
    </row>
    <row r="160" spans="1:20">
      <c r="A160" s="933"/>
      <c r="B160" s="933"/>
      <c r="C160" s="933"/>
      <c r="D160" s="933"/>
      <c r="E160" s="933"/>
      <c r="F160" s="933"/>
      <c r="G160" s="933"/>
      <c r="H160" s="933"/>
      <c r="I160" s="933"/>
      <c r="J160" s="933"/>
      <c r="K160" s="934"/>
      <c r="L160" s="935"/>
      <c r="M160" s="933"/>
      <c r="N160" s="933"/>
      <c r="O160" s="933"/>
      <c r="P160" s="933"/>
      <c r="Q160" s="933"/>
      <c r="R160" s="933"/>
      <c r="S160" s="933"/>
      <c r="T160" s="933"/>
    </row>
    <row r="161" spans="1:20">
      <c r="A161" s="933"/>
      <c r="B161" s="933"/>
      <c r="C161" s="933"/>
      <c r="D161" s="933"/>
      <c r="E161" s="933"/>
      <c r="F161" s="933"/>
      <c r="G161" s="933"/>
      <c r="H161" s="933"/>
      <c r="I161" s="933"/>
      <c r="J161" s="933"/>
      <c r="K161" s="934"/>
      <c r="L161" s="935"/>
      <c r="M161" s="933"/>
      <c r="N161" s="933"/>
      <c r="O161" s="933"/>
      <c r="P161" s="933"/>
      <c r="Q161" s="933"/>
      <c r="R161" s="933"/>
      <c r="S161" s="933"/>
      <c r="T161" s="933"/>
    </row>
    <row r="162" spans="1:20">
      <c r="A162" s="933"/>
      <c r="B162" s="933"/>
      <c r="C162" s="933"/>
      <c r="D162" s="933"/>
      <c r="E162" s="933"/>
      <c r="F162" s="933"/>
      <c r="G162" s="933"/>
      <c r="H162" s="933"/>
      <c r="I162" s="933"/>
      <c r="J162" s="933"/>
      <c r="K162" s="934"/>
      <c r="L162" s="935"/>
      <c r="M162" s="933"/>
      <c r="N162" s="933"/>
      <c r="O162" s="933"/>
      <c r="P162" s="933"/>
      <c r="Q162" s="933"/>
      <c r="R162" s="933"/>
      <c r="S162" s="933"/>
      <c r="T162" s="933"/>
    </row>
    <row r="163" spans="1:20">
      <c r="A163" s="933"/>
      <c r="B163" s="933"/>
      <c r="C163" s="933"/>
      <c r="D163" s="933"/>
      <c r="E163" s="933"/>
      <c r="F163" s="933"/>
      <c r="G163" s="933"/>
      <c r="H163" s="933"/>
      <c r="I163" s="933"/>
      <c r="J163" s="933"/>
      <c r="K163" s="934"/>
      <c r="L163" s="935"/>
      <c r="M163" s="933"/>
      <c r="N163" s="933"/>
      <c r="O163" s="933"/>
      <c r="P163" s="933"/>
      <c r="Q163" s="933"/>
      <c r="R163" s="933"/>
      <c r="S163" s="933"/>
      <c r="T163" s="933"/>
    </row>
    <row r="164" spans="1:20">
      <c r="A164" s="933"/>
      <c r="B164" s="933"/>
      <c r="C164" s="933"/>
      <c r="D164" s="933"/>
      <c r="E164" s="933"/>
      <c r="F164" s="933"/>
      <c r="G164" s="933"/>
      <c r="H164" s="933"/>
      <c r="I164" s="933"/>
      <c r="J164" s="933"/>
      <c r="K164" s="934"/>
      <c r="L164" s="935"/>
      <c r="M164" s="933"/>
      <c r="N164" s="933"/>
      <c r="O164" s="933"/>
      <c r="P164" s="933"/>
      <c r="Q164" s="933"/>
      <c r="R164" s="933"/>
      <c r="S164" s="933"/>
      <c r="T164" s="933"/>
    </row>
    <row r="165" spans="1:20">
      <c r="A165" s="933"/>
      <c r="B165" s="933"/>
      <c r="C165" s="933"/>
      <c r="D165" s="933"/>
      <c r="E165" s="933"/>
      <c r="F165" s="933"/>
      <c r="G165" s="933"/>
      <c r="H165" s="933"/>
      <c r="I165" s="933"/>
      <c r="J165" s="933"/>
      <c r="K165" s="934"/>
      <c r="L165" s="935"/>
      <c r="M165" s="933"/>
      <c r="N165" s="933"/>
      <c r="O165" s="933"/>
      <c r="P165" s="933"/>
      <c r="Q165" s="933"/>
      <c r="R165" s="933"/>
      <c r="S165" s="933"/>
      <c r="T165" s="933"/>
    </row>
    <row r="166" spans="1:20">
      <c r="A166" s="933"/>
      <c r="B166" s="933"/>
      <c r="C166" s="933"/>
      <c r="D166" s="933"/>
      <c r="E166" s="933"/>
      <c r="F166" s="933"/>
      <c r="G166" s="933"/>
      <c r="H166" s="933"/>
      <c r="I166" s="933"/>
      <c r="J166" s="933"/>
      <c r="K166" s="934"/>
      <c r="L166" s="935"/>
      <c r="M166" s="933"/>
      <c r="N166" s="933"/>
      <c r="O166" s="933"/>
      <c r="P166" s="933"/>
      <c r="Q166" s="933"/>
      <c r="R166" s="933"/>
      <c r="S166" s="933"/>
      <c r="T166" s="933"/>
    </row>
    <row r="167" spans="1:20">
      <c r="A167" s="933"/>
      <c r="B167" s="933"/>
      <c r="C167" s="933"/>
      <c r="D167" s="933"/>
      <c r="E167" s="933"/>
      <c r="F167" s="933"/>
      <c r="G167" s="933"/>
      <c r="H167" s="933"/>
      <c r="I167" s="933"/>
      <c r="J167" s="933"/>
      <c r="K167" s="934"/>
      <c r="L167" s="935"/>
      <c r="M167" s="933"/>
      <c r="N167" s="933"/>
      <c r="O167" s="933"/>
      <c r="P167" s="933"/>
      <c r="Q167" s="933"/>
      <c r="R167" s="933"/>
      <c r="S167" s="933"/>
      <c r="T167" s="933"/>
    </row>
    <row r="168" spans="1:20">
      <c r="A168" s="933"/>
      <c r="B168" s="933"/>
      <c r="C168" s="933"/>
      <c r="D168" s="933"/>
      <c r="E168" s="933"/>
      <c r="F168" s="933"/>
      <c r="G168" s="933"/>
      <c r="H168" s="933"/>
      <c r="I168" s="933"/>
      <c r="J168" s="933"/>
      <c r="K168" s="934"/>
      <c r="L168" s="935"/>
      <c r="M168" s="933"/>
      <c r="N168" s="933"/>
      <c r="O168" s="933"/>
      <c r="P168" s="933"/>
      <c r="Q168" s="933"/>
      <c r="R168" s="933"/>
      <c r="S168" s="933"/>
      <c r="T168" s="933"/>
    </row>
    <row r="169" spans="1:20">
      <c r="A169" s="933"/>
      <c r="B169" s="933"/>
      <c r="C169" s="933"/>
      <c r="D169" s="933"/>
      <c r="E169" s="933"/>
      <c r="F169" s="933"/>
      <c r="G169" s="933"/>
      <c r="H169" s="933"/>
      <c r="I169" s="933"/>
      <c r="J169" s="933"/>
      <c r="K169" s="934"/>
      <c r="L169" s="935"/>
      <c r="M169" s="933"/>
      <c r="N169" s="933"/>
      <c r="O169" s="933"/>
      <c r="P169" s="933"/>
      <c r="Q169" s="933"/>
      <c r="R169" s="933"/>
      <c r="S169" s="933"/>
      <c r="T169" s="933"/>
    </row>
    <row r="170" spans="1:20">
      <c r="A170" s="933"/>
      <c r="B170" s="933"/>
      <c r="C170" s="933"/>
      <c r="D170" s="933"/>
      <c r="E170" s="933"/>
      <c r="F170" s="933"/>
      <c r="G170" s="933"/>
      <c r="H170" s="933"/>
      <c r="I170" s="933"/>
      <c r="J170" s="933"/>
      <c r="K170" s="934"/>
      <c r="L170" s="935"/>
      <c r="M170" s="933"/>
      <c r="N170" s="933"/>
      <c r="O170" s="933"/>
      <c r="P170" s="933"/>
      <c r="Q170" s="933"/>
      <c r="R170" s="933"/>
      <c r="S170" s="933"/>
      <c r="T170" s="933"/>
    </row>
    <row r="171" spans="1:20">
      <c r="A171" s="933"/>
      <c r="B171" s="933"/>
      <c r="C171" s="933"/>
      <c r="D171" s="933"/>
      <c r="E171" s="933"/>
      <c r="F171" s="933"/>
      <c r="G171" s="933"/>
      <c r="H171" s="933"/>
      <c r="I171" s="933"/>
      <c r="J171" s="933"/>
      <c r="K171" s="934"/>
      <c r="L171" s="935"/>
      <c r="M171" s="933"/>
      <c r="N171" s="933"/>
      <c r="O171" s="933"/>
      <c r="P171" s="933"/>
      <c r="Q171" s="933"/>
      <c r="R171" s="933"/>
      <c r="S171" s="933"/>
      <c r="T171" s="933"/>
    </row>
    <row r="172" spans="1:20">
      <c r="A172" s="933"/>
      <c r="B172" s="933"/>
      <c r="C172" s="933"/>
      <c r="D172" s="933"/>
      <c r="E172" s="933"/>
      <c r="F172" s="933"/>
      <c r="G172" s="933"/>
      <c r="H172" s="933"/>
      <c r="I172" s="933"/>
      <c r="J172" s="933"/>
      <c r="K172" s="934"/>
      <c r="L172" s="935"/>
      <c r="M172" s="933"/>
      <c r="N172" s="933"/>
      <c r="O172" s="933"/>
      <c r="P172" s="933"/>
      <c r="Q172" s="933"/>
      <c r="R172" s="933"/>
      <c r="S172" s="933"/>
      <c r="T172" s="933"/>
    </row>
    <row r="173" spans="1:20">
      <c r="A173" s="933"/>
      <c r="B173" s="933"/>
      <c r="C173" s="933"/>
      <c r="D173" s="933"/>
      <c r="E173" s="933"/>
      <c r="F173" s="933"/>
      <c r="G173" s="933"/>
      <c r="H173" s="933"/>
      <c r="I173" s="933"/>
      <c r="J173" s="933"/>
      <c r="K173" s="934"/>
      <c r="L173" s="935"/>
      <c r="M173" s="933"/>
      <c r="N173" s="933"/>
      <c r="O173" s="933"/>
      <c r="P173" s="933"/>
      <c r="Q173" s="933"/>
      <c r="R173" s="933"/>
      <c r="S173" s="933"/>
      <c r="T173" s="933"/>
    </row>
    <row r="174" spans="1:20">
      <c r="A174" s="933"/>
      <c r="B174" s="933"/>
      <c r="C174" s="933"/>
      <c r="D174" s="933"/>
      <c r="E174" s="933"/>
      <c r="F174" s="933"/>
      <c r="G174" s="933"/>
      <c r="H174" s="933"/>
      <c r="I174" s="933"/>
      <c r="J174" s="933"/>
      <c r="K174" s="934"/>
      <c r="L174" s="935"/>
      <c r="M174" s="933"/>
      <c r="N174" s="933"/>
      <c r="O174" s="933"/>
      <c r="P174" s="933"/>
      <c r="Q174" s="933"/>
      <c r="R174" s="933"/>
      <c r="S174" s="933"/>
      <c r="T174" s="933"/>
    </row>
    <row r="175" spans="1:20">
      <c r="A175" s="933"/>
      <c r="B175" s="933"/>
      <c r="C175" s="933"/>
      <c r="D175" s="933"/>
      <c r="E175" s="933"/>
      <c r="F175" s="933"/>
      <c r="G175" s="933"/>
      <c r="H175" s="933"/>
      <c r="I175" s="933"/>
      <c r="J175" s="933"/>
      <c r="K175" s="934"/>
      <c r="L175" s="935"/>
      <c r="M175" s="933"/>
      <c r="N175" s="933"/>
      <c r="O175" s="933"/>
      <c r="P175" s="933"/>
      <c r="Q175" s="933"/>
      <c r="R175" s="933"/>
      <c r="S175" s="933"/>
      <c r="T175" s="933"/>
    </row>
    <row r="176" spans="1:20">
      <c r="A176" s="933"/>
      <c r="B176" s="933"/>
      <c r="C176" s="933"/>
      <c r="D176" s="933"/>
      <c r="E176" s="933"/>
      <c r="F176" s="933"/>
      <c r="G176" s="933"/>
      <c r="H176" s="933"/>
      <c r="I176" s="933"/>
      <c r="J176" s="933"/>
      <c r="K176" s="934"/>
      <c r="L176" s="935"/>
      <c r="M176" s="933"/>
      <c r="N176" s="933"/>
      <c r="O176" s="933"/>
      <c r="P176" s="933"/>
      <c r="Q176" s="933"/>
      <c r="R176" s="933"/>
      <c r="S176" s="933"/>
      <c r="T176" s="933"/>
    </row>
    <row r="177" spans="1:20">
      <c r="A177" s="933"/>
      <c r="B177" s="933"/>
      <c r="C177" s="933"/>
      <c r="D177" s="933"/>
      <c r="E177" s="933"/>
      <c r="F177" s="933"/>
      <c r="G177" s="933"/>
      <c r="H177" s="933"/>
      <c r="I177" s="933"/>
      <c r="J177" s="933"/>
      <c r="K177" s="934"/>
      <c r="L177" s="935"/>
      <c r="M177" s="933"/>
      <c r="N177" s="933"/>
      <c r="O177" s="933"/>
      <c r="P177" s="933"/>
      <c r="Q177" s="933"/>
      <c r="R177" s="933"/>
      <c r="S177" s="933"/>
      <c r="T177" s="933"/>
    </row>
    <row r="178" spans="1:20">
      <c r="A178" s="933"/>
      <c r="B178" s="933"/>
      <c r="C178" s="933"/>
      <c r="D178" s="933"/>
      <c r="E178" s="933"/>
      <c r="F178" s="933"/>
      <c r="G178" s="933"/>
      <c r="H178" s="933"/>
      <c r="I178" s="933"/>
      <c r="J178" s="933"/>
      <c r="K178" s="934"/>
      <c r="L178" s="935"/>
      <c r="M178" s="933"/>
      <c r="N178" s="933"/>
      <c r="O178" s="933"/>
      <c r="P178" s="933"/>
      <c r="Q178" s="933"/>
      <c r="R178" s="933"/>
      <c r="S178" s="933"/>
      <c r="T178" s="933"/>
    </row>
    <row r="179" spans="1:20">
      <c r="A179" s="933"/>
      <c r="B179" s="933"/>
      <c r="C179" s="933"/>
      <c r="D179" s="933"/>
      <c r="E179" s="933"/>
      <c r="F179" s="933"/>
      <c r="G179" s="933"/>
      <c r="H179" s="933"/>
      <c r="I179" s="933"/>
      <c r="J179" s="933"/>
      <c r="K179" s="934"/>
      <c r="L179" s="935"/>
      <c r="M179" s="933"/>
      <c r="N179" s="933"/>
      <c r="O179" s="933"/>
      <c r="P179" s="933"/>
      <c r="Q179" s="933"/>
      <c r="R179" s="933"/>
      <c r="S179" s="933"/>
      <c r="T179" s="933"/>
    </row>
    <row r="180" spans="1:20">
      <c r="A180" s="933"/>
      <c r="B180" s="933"/>
      <c r="C180" s="933"/>
      <c r="D180" s="933"/>
      <c r="E180" s="933"/>
      <c r="F180" s="933"/>
      <c r="G180" s="933"/>
      <c r="H180" s="933"/>
      <c r="I180" s="933"/>
      <c r="J180" s="933"/>
      <c r="K180" s="934"/>
      <c r="L180" s="935"/>
      <c r="M180" s="933"/>
      <c r="N180" s="933"/>
      <c r="O180" s="933"/>
      <c r="P180" s="933"/>
      <c r="Q180" s="933"/>
      <c r="R180" s="933"/>
      <c r="S180" s="933"/>
      <c r="T180" s="933"/>
    </row>
    <row r="181" spans="1:20">
      <c r="A181" s="933"/>
      <c r="B181" s="933"/>
      <c r="C181" s="933"/>
      <c r="D181" s="933"/>
      <c r="E181" s="933"/>
      <c r="F181" s="933"/>
      <c r="G181" s="933"/>
      <c r="H181" s="933"/>
      <c r="I181" s="933"/>
      <c r="J181" s="933"/>
      <c r="K181" s="934"/>
      <c r="L181" s="935"/>
      <c r="M181" s="933"/>
      <c r="N181" s="933"/>
      <c r="O181" s="933"/>
      <c r="P181" s="933"/>
      <c r="Q181" s="933"/>
      <c r="R181" s="933"/>
      <c r="S181" s="933"/>
      <c r="T181" s="933"/>
    </row>
    <row r="182" spans="1:20">
      <c r="A182" s="933"/>
      <c r="B182" s="933"/>
      <c r="C182" s="933"/>
      <c r="D182" s="933"/>
      <c r="E182" s="933"/>
      <c r="F182" s="933"/>
      <c r="G182" s="933"/>
      <c r="H182" s="933"/>
      <c r="I182" s="933"/>
      <c r="J182" s="933"/>
      <c r="K182" s="934"/>
      <c r="L182" s="935"/>
      <c r="M182" s="933"/>
      <c r="N182" s="933"/>
      <c r="O182" s="933"/>
      <c r="P182" s="933"/>
      <c r="Q182" s="933"/>
      <c r="R182" s="933"/>
      <c r="S182" s="933"/>
      <c r="T182" s="933"/>
    </row>
    <row r="183" spans="1:20">
      <c r="A183" s="933"/>
      <c r="B183" s="933"/>
      <c r="C183" s="933"/>
      <c r="D183" s="933"/>
      <c r="E183" s="933"/>
      <c r="F183" s="933"/>
      <c r="G183" s="933"/>
      <c r="H183" s="933"/>
      <c r="I183" s="933"/>
      <c r="J183" s="933"/>
      <c r="K183" s="934"/>
      <c r="L183" s="935"/>
      <c r="M183" s="933"/>
      <c r="N183" s="933"/>
      <c r="O183" s="933"/>
      <c r="P183" s="933"/>
      <c r="Q183" s="933"/>
      <c r="R183" s="933"/>
      <c r="S183" s="933"/>
      <c r="T183" s="933"/>
    </row>
    <row r="184" spans="1:20">
      <c r="A184" s="933"/>
      <c r="B184" s="933"/>
      <c r="C184" s="933"/>
      <c r="D184" s="933"/>
      <c r="E184" s="933"/>
      <c r="F184" s="933"/>
      <c r="G184" s="933"/>
      <c r="H184" s="933"/>
      <c r="I184" s="933"/>
      <c r="J184" s="933"/>
      <c r="K184" s="934"/>
      <c r="L184" s="935"/>
      <c r="M184" s="933"/>
      <c r="N184" s="933"/>
      <c r="O184" s="933"/>
      <c r="P184" s="933"/>
      <c r="Q184" s="933"/>
      <c r="R184" s="933"/>
      <c r="S184" s="933"/>
      <c r="T184" s="933"/>
    </row>
    <row r="185" spans="1:20">
      <c r="A185" s="933"/>
      <c r="B185" s="933"/>
      <c r="C185" s="933"/>
      <c r="D185" s="933"/>
      <c r="E185" s="933"/>
      <c r="F185" s="933"/>
      <c r="G185" s="933"/>
      <c r="H185" s="933"/>
      <c r="I185" s="933"/>
      <c r="J185" s="933"/>
      <c r="K185" s="934"/>
      <c r="L185" s="935"/>
      <c r="M185" s="933"/>
      <c r="N185" s="933"/>
      <c r="O185" s="933"/>
      <c r="P185" s="933"/>
      <c r="Q185" s="933"/>
      <c r="R185" s="933"/>
      <c r="S185" s="933"/>
      <c r="T185" s="933"/>
    </row>
    <row r="186" spans="1:20">
      <c r="A186" s="933"/>
      <c r="B186" s="933"/>
      <c r="C186" s="933"/>
      <c r="D186" s="933"/>
      <c r="E186" s="933"/>
      <c r="F186" s="933"/>
      <c r="G186" s="933"/>
      <c r="H186" s="933"/>
      <c r="I186" s="933"/>
      <c r="J186" s="933"/>
      <c r="K186" s="934"/>
      <c r="L186" s="935"/>
      <c r="M186" s="933"/>
      <c r="N186" s="933"/>
      <c r="O186" s="933"/>
      <c r="P186" s="933"/>
      <c r="Q186" s="933"/>
      <c r="R186" s="933"/>
      <c r="S186" s="933"/>
      <c r="T186" s="933"/>
    </row>
    <row r="187" spans="1:20">
      <c r="A187" s="933"/>
      <c r="B187" s="933"/>
      <c r="C187" s="933"/>
      <c r="D187" s="933"/>
      <c r="E187" s="933"/>
      <c r="F187" s="933"/>
      <c r="G187" s="933"/>
      <c r="H187" s="933"/>
      <c r="I187" s="933"/>
      <c r="J187" s="933"/>
      <c r="K187" s="934"/>
      <c r="L187" s="935"/>
      <c r="M187" s="933"/>
      <c r="N187" s="933"/>
      <c r="O187" s="933"/>
      <c r="P187" s="933"/>
      <c r="Q187" s="933"/>
      <c r="R187" s="933"/>
      <c r="S187" s="933"/>
      <c r="T187" s="933"/>
    </row>
    <row r="188" spans="1:20">
      <c r="A188" s="933"/>
      <c r="B188" s="933"/>
      <c r="C188" s="933"/>
      <c r="D188" s="933"/>
      <c r="E188" s="933"/>
      <c r="F188" s="933"/>
      <c r="G188" s="933"/>
      <c r="H188" s="933"/>
      <c r="I188" s="933"/>
      <c r="J188" s="933"/>
      <c r="K188" s="934"/>
      <c r="L188" s="935"/>
      <c r="M188" s="933"/>
      <c r="N188" s="933"/>
      <c r="O188" s="933"/>
      <c r="P188" s="933"/>
      <c r="Q188" s="933"/>
      <c r="R188" s="933"/>
      <c r="S188" s="933"/>
      <c r="T188" s="933"/>
    </row>
    <row r="189" spans="1:20">
      <c r="A189" s="933"/>
      <c r="B189" s="933"/>
      <c r="C189" s="933"/>
      <c r="D189" s="933"/>
      <c r="E189" s="933"/>
      <c r="F189" s="933"/>
      <c r="G189" s="933"/>
      <c r="H189" s="933"/>
      <c r="I189" s="933"/>
      <c r="J189" s="933"/>
      <c r="K189" s="934"/>
      <c r="L189" s="935"/>
      <c r="M189" s="933"/>
      <c r="N189" s="933"/>
      <c r="O189" s="933"/>
      <c r="P189" s="933"/>
      <c r="Q189" s="933"/>
      <c r="R189" s="933"/>
      <c r="S189" s="933"/>
      <c r="T189" s="933"/>
    </row>
    <row r="190" spans="1:20">
      <c r="A190" s="933"/>
      <c r="B190" s="933"/>
      <c r="C190" s="933"/>
      <c r="D190" s="933"/>
      <c r="E190" s="933"/>
      <c r="F190" s="933"/>
      <c r="G190" s="933"/>
      <c r="H190" s="933"/>
      <c r="I190" s="933"/>
      <c r="J190" s="933"/>
      <c r="K190" s="934"/>
      <c r="L190" s="935"/>
      <c r="M190" s="933"/>
      <c r="N190" s="933"/>
      <c r="O190" s="933"/>
      <c r="P190" s="933"/>
      <c r="Q190" s="933"/>
      <c r="R190" s="933"/>
      <c r="S190" s="933"/>
      <c r="T190" s="933"/>
    </row>
    <row r="191" spans="1:20">
      <c r="A191" s="933"/>
      <c r="B191" s="933"/>
      <c r="C191" s="933"/>
      <c r="D191" s="933"/>
      <c r="E191" s="933"/>
      <c r="F191" s="933"/>
      <c r="G191" s="933"/>
      <c r="H191" s="933"/>
      <c r="I191" s="933"/>
      <c r="J191" s="933"/>
      <c r="K191" s="934"/>
      <c r="L191" s="935"/>
      <c r="M191" s="933"/>
      <c r="N191" s="933"/>
      <c r="O191" s="933"/>
      <c r="P191" s="933"/>
      <c r="Q191" s="933"/>
      <c r="R191" s="933"/>
      <c r="S191" s="933"/>
      <c r="T191" s="933"/>
    </row>
    <row r="192" spans="1:20">
      <c r="A192" s="933"/>
      <c r="B192" s="933"/>
      <c r="C192" s="933"/>
      <c r="D192" s="933"/>
      <c r="E192" s="933"/>
      <c r="F192" s="933"/>
      <c r="G192" s="933"/>
      <c r="H192" s="933"/>
      <c r="I192" s="933"/>
      <c r="J192" s="933"/>
      <c r="K192" s="934"/>
      <c r="L192" s="935"/>
      <c r="M192" s="933"/>
      <c r="N192" s="933"/>
      <c r="O192" s="933"/>
      <c r="P192" s="933"/>
      <c r="Q192" s="933"/>
      <c r="R192" s="933"/>
      <c r="S192" s="933"/>
      <c r="T192" s="933"/>
    </row>
    <row r="193" spans="1:20">
      <c r="A193" s="933"/>
      <c r="B193" s="933"/>
      <c r="C193" s="933"/>
      <c r="D193" s="933"/>
      <c r="E193" s="933"/>
      <c r="F193" s="933"/>
      <c r="G193" s="933"/>
      <c r="H193" s="933"/>
      <c r="I193" s="933"/>
      <c r="J193" s="933"/>
      <c r="K193" s="934"/>
      <c r="L193" s="935"/>
      <c r="M193" s="933"/>
      <c r="N193" s="933"/>
      <c r="O193" s="933"/>
      <c r="P193" s="933"/>
      <c r="Q193" s="933"/>
      <c r="R193" s="933"/>
      <c r="S193" s="933"/>
      <c r="T193" s="933"/>
    </row>
    <row r="194" spans="1:20">
      <c r="A194" s="933"/>
      <c r="B194" s="933"/>
      <c r="C194" s="933"/>
      <c r="D194" s="933"/>
      <c r="E194" s="933"/>
      <c r="F194" s="933"/>
      <c r="G194" s="933"/>
      <c r="H194" s="933"/>
      <c r="I194" s="933"/>
      <c r="J194" s="933"/>
      <c r="K194" s="934"/>
      <c r="L194" s="935"/>
      <c r="M194" s="933"/>
      <c r="N194" s="933"/>
      <c r="O194" s="933"/>
      <c r="P194" s="933"/>
      <c r="Q194" s="933"/>
      <c r="R194" s="933"/>
      <c r="S194" s="933"/>
      <c r="T194" s="933"/>
    </row>
    <row r="195" spans="1:20">
      <c r="A195" s="933"/>
      <c r="B195" s="933"/>
      <c r="C195" s="933"/>
      <c r="D195" s="933"/>
      <c r="E195" s="933"/>
      <c r="F195" s="933"/>
      <c r="G195" s="933"/>
      <c r="H195" s="933"/>
      <c r="I195" s="933"/>
      <c r="J195" s="933"/>
      <c r="K195" s="934"/>
      <c r="L195" s="935"/>
      <c r="M195" s="933"/>
      <c r="N195" s="933"/>
      <c r="O195" s="933"/>
      <c r="P195" s="933"/>
      <c r="Q195" s="933"/>
      <c r="R195" s="933"/>
      <c r="S195" s="933"/>
      <c r="T195" s="933"/>
    </row>
    <row r="196" spans="1:20">
      <c r="A196" s="933"/>
      <c r="B196" s="933"/>
      <c r="C196" s="933"/>
      <c r="D196" s="933"/>
      <c r="E196" s="933"/>
      <c r="F196" s="933"/>
      <c r="G196" s="933"/>
      <c r="H196" s="933"/>
      <c r="I196" s="933"/>
      <c r="J196" s="933"/>
      <c r="K196" s="934"/>
      <c r="L196" s="935"/>
      <c r="M196" s="933"/>
      <c r="N196" s="933"/>
      <c r="O196" s="933"/>
      <c r="P196" s="933"/>
      <c r="Q196" s="933"/>
      <c r="R196" s="933"/>
      <c r="S196" s="933"/>
      <c r="T196" s="933"/>
    </row>
    <row r="197" spans="1:20">
      <c r="A197" s="933"/>
      <c r="B197" s="933"/>
      <c r="C197" s="933"/>
      <c r="D197" s="933"/>
      <c r="E197" s="933"/>
      <c r="F197" s="933"/>
      <c r="G197" s="933"/>
      <c r="H197" s="933"/>
      <c r="I197" s="933"/>
      <c r="J197" s="933"/>
      <c r="K197" s="934"/>
      <c r="L197" s="935"/>
      <c r="M197" s="933"/>
      <c r="N197" s="933"/>
      <c r="O197" s="933"/>
      <c r="P197" s="933"/>
      <c r="Q197" s="933"/>
      <c r="R197" s="933"/>
      <c r="S197" s="933"/>
      <c r="T197" s="933"/>
    </row>
    <row r="198" spans="1:20">
      <c r="A198" s="933"/>
      <c r="B198" s="933"/>
      <c r="C198" s="933"/>
      <c r="D198" s="933"/>
      <c r="E198" s="933"/>
      <c r="F198" s="933"/>
      <c r="G198" s="933"/>
      <c r="H198" s="933"/>
      <c r="I198" s="933"/>
      <c r="J198" s="933"/>
      <c r="K198" s="934"/>
      <c r="L198" s="935"/>
      <c r="M198" s="933"/>
      <c r="N198" s="933"/>
      <c r="O198" s="933"/>
      <c r="P198" s="933"/>
      <c r="Q198" s="933"/>
      <c r="R198" s="933"/>
      <c r="S198" s="933"/>
      <c r="T198" s="933"/>
    </row>
    <row r="199" spans="1:20">
      <c r="A199" s="933"/>
      <c r="B199" s="933"/>
      <c r="C199" s="933"/>
      <c r="D199" s="933"/>
      <c r="E199" s="933"/>
      <c r="F199" s="933"/>
      <c r="G199" s="933"/>
      <c r="H199" s="933"/>
      <c r="I199" s="933"/>
      <c r="J199" s="933"/>
      <c r="K199" s="934"/>
      <c r="L199" s="935"/>
      <c r="M199" s="933"/>
      <c r="N199" s="933"/>
      <c r="O199" s="933"/>
      <c r="P199" s="933"/>
      <c r="Q199" s="933"/>
      <c r="R199" s="933"/>
      <c r="S199" s="933"/>
      <c r="T199" s="933"/>
    </row>
    <row r="200" spans="1:20">
      <c r="A200" s="933"/>
      <c r="B200" s="933"/>
      <c r="C200" s="933"/>
      <c r="D200" s="933"/>
      <c r="E200" s="933"/>
      <c r="F200" s="933"/>
      <c r="G200" s="933"/>
      <c r="H200" s="933"/>
      <c r="I200" s="933"/>
      <c r="J200" s="933"/>
      <c r="K200" s="934"/>
      <c r="L200" s="935"/>
      <c r="M200" s="933"/>
      <c r="N200" s="933"/>
      <c r="O200" s="933"/>
      <c r="P200" s="933"/>
      <c r="Q200" s="933"/>
      <c r="R200" s="933"/>
      <c r="S200" s="933"/>
      <c r="T200" s="933"/>
    </row>
    <row r="201" spans="1:20">
      <c r="A201" s="933"/>
      <c r="B201" s="933"/>
      <c r="C201" s="933"/>
      <c r="D201" s="933"/>
      <c r="E201" s="933"/>
      <c r="F201" s="933"/>
      <c r="G201" s="933"/>
      <c r="H201" s="933"/>
      <c r="I201" s="933"/>
      <c r="J201" s="933"/>
      <c r="K201" s="934"/>
      <c r="L201" s="935"/>
      <c r="M201" s="933"/>
      <c r="N201" s="933"/>
      <c r="O201" s="933"/>
      <c r="P201" s="933"/>
      <c r="Q201" s="933"/>
      <c r="R201" s="933"/>
      <c r="S201" s="933"/>
      <c r="T201" s="933"/>
    </row>
    <row r="202" spans="1:20">
      <c r="A202" s="933"/>
      <c r="B202" s="933"/>
      <c r="C202" s="933"/>
      <c r="D202" s="933"/>
      <c r="E202" s="933"/>
      <c r="F202" s="933"/>
      <c r="G202" s="933"/>
      <c r="H202" s="933"/>
      <c r="I202" s="933"/>
      <c r="J202" s="933"/>
      <c r="K202" s="934"/>
      <c r="L202" s="935"/>
      <c r="M202" s="933"/>
      <c r="N202" s="933"/>
      <c r="O202" s="933"/>
      <c r="P202" s="933"/>
      <c r="Q202" s="933"/>
      <c r="R202" s="933"/>
      <c r="S202" s="933"/>
      <c r="T202" s="933"/>
    </row>
    <row r="203" spans="1:20">
      <c r="A203" s="933"/>
      <c r="B203" s="933"/>
      <c r="C203" s="933"/>
      <c r="D203" s="933"/>
      <c r="E203" s="933"/>
      <c r="F203" s="933"/>
      <c r="G203" s="933"/>
      <c r="H203" s="933"/>
      <c r="I203" s="933"/>
      <c r="J203" s="933"/>
      <c r="K203" s="934"/>
      <c r="L203" s="935"/>
      <c r="M203" s="933"/>
      <c r="N203" s="933"/>
      <c r="O203" s="933"/>
      <c r="P203" s="933"/>
      <c r="Q203" s="933"/>
      <c r="R203" s="933"/>
      <c r="S203" s="933"/>
      <c r="T203" s="933"/>
    </row>
    <row r="204" spans="1:20">
      <c r="A204" s="933"/>
      <c r="B204" s="933"/>
      <c r="C204" s="933"/>
      <c r="D204" s="933"/>
      <c r="E204" s="933"/>
      <c r="F204" s="933"/>
      <c r="G204" s="933"/>
      <c r="H204" s="933"/>
      <c r="I204" s="933"/>
      <c r="J204" s="933"/>
      <c r="K204" s="934"/>
      <c r="L204" s="935"/>
      <c r="M204" s="933"/>
      <c r="N204" s="933"/>
      <c r="O204" s="933"/>
      <c r="P204" s="933"/>
      <c r="Q204" s="933"/>
      <c r="R204" s="933"/>
      <c r="S204" s="933"/>
      <c r="T204" s="933"/>
    </row>
    <row r="205" spans="1:20">
      <c r="A205" s="933"/>
      <c r="B205" s="933"/>
      <c r="C205" s="933"/>
      <c r="D205" s="933"/>
      <c r="E205" s="933"/>
      <c r="F205" s="933"/>
      <c r="G205" s="933"/>
      <c r="H205" s="933"/>
      <c r="I205" s="933"/>
      <c r="J205" s="933"/>
      <c r="K205" s="934"/>
      <c r="L205" s="935"/>
      <c r="M205" s="933"/>
      <c r="N205" s="933"/>
      <c r="O205" s="933"/>
      <c r="P205" s="933"/>
      <c r="Q205" s="933"/>
      <c r="R205" s="933"/>
      <c r="S205" s="933"/>
      <c r="T205" s="933"/>
    </row>
    <row r="206" spans="1:20">
      <c r="A206" s="933"/>
      <c r="B206" s="933"/>
      <c r="C206" s="933"/>
      <c r="D206" s="933"/>
      <c r="E206" s="933"/>
      <c r="F206" s="933"/>
      <c r="G206" s="933"/>
      <c r="H206" s="933"/>
      <c r="I206" s="933"/>
      <c r="J206" s="933"/>
      <c r="K206" s="934"/>
      <c r="L206" s="935"/>
      <c r="M206" s="933"/>
      <c r="N206" s="933"/>
      <c r="O206" s="933"/>
      <c r="P206" s="933"/>
      <c r="Q206" s="933"/>
      <c r="R206" s="933"/>
      <c r="S206" s="933"/>
      <c r="T206" s="933"/>
    </row>
    <row r="207" spans="1:20">
      <c r="A207" s="933"/>
      <c r="B207" s="933"/>
      <c r="C207" s="933"/>
      <c r="D207" s="933"/>
      <c r="E207" s="933"/>
      <c r="F207" s="933"/>
      <c r="G207" s="933"/>
      <c r="H207" s="933"/>
      <c r="I207" s="933"/>
      <c r="J207" s="933"/>
      <c r="K207" s="934"/>
      <c r="L207" s="935"/>
      <c r="M207" s="933"/>
      <c r="N207" s="933"/>
      <c r="O207" s="933"/>
      <c r="P207" s="933"/>
      <c r="Q207" s="933"/>
      <c r="R207" s="933"/>
      <c r="S207" s="933"/>
      <c r="T207" s="933"/>
    </row>
    <row r="208" spans="1:20">
      <c r="A208" s="933"/>
      <c r="B208" s="933"/>
      <c r="C208" s="933"/>
      <c r="D208" s="933"/>
      <c r="E208" s="933"/>
      <c r="F208" s="933"/>
      <c r="G208" s="933"/>
      <c r="H208" s="933"/>
      <c r="I208" s="933"/>
      <c r="J208" s="933"/>
      <c r="K208" s="934"/>
      <c r="L208" s="935"/>
      <c r="M208" s="933"/>
      <c r="N208" s="933"/>
      <c r="O208" s="933"/>
      <c r="P208" s="933"/>
      <c r="Q208" s="933"/>
      <c r="R208" s="933"/>
      <c r="S208" s="933"/>
      <c r="T208" s="933"/>
    </row>
    <row r="209" spans="1:20">
      <c r="A209" s="933"/>
      <c r="B209" s="933"/>
      <c r="C209" s="933"/>
      <c r="D209" s="933"/>
      <c r="E209" s="933"/>
      <c r="F209" s="933"/>
      <c r="G209" s="933"/>
      <c r="H209" s="933"/>
      <c r="I209" s="933"/>
      <c r="J209" s="933"/>
      <c r="K209" s="934"/>
      <c r="L209" s="935"/>
      <c r="M209" s="933"/>
      <c r="N209" s="933"/>
      <c r="O209" s="933"/>
      <c r="P209" s="933"/>
      <c r="Q209" s="933"/>
      <c r="R209" s="933"/>
      <c r="S209" s="933"/>
      <c r="T209" s="933"/>
    </row>
    <row r="210" spans="1:20">
      <c r="A210" s="933"/>
      <c r="B210" s="933"/>
      <c r="C210" s="933"/>
      <c r="D210" s="933"/>
      <c r="E210" s="933"/>
      <c r="F210" s="933"/>
      <c r="G210" s="933"/>
      <c r="H210" s="933"/>
      <c r="I210" s="933"/>
      <c r="J210" s="933"/>
      <c r="K210" s="934"/>
      <c r="L210" s="935"/>
      <c r="M210" s="933"/>
      <c r="N210" s="933"/>
      <c r="O210" s="933"/>
      <c r="P210" s="933"/>
      <c r="Q210" s="933"/>
      <c r="R210" s="933"/>
      <c r="S210" s="933"/>
      <c r="T210" s="933"/>
    </row>
    <row r="211" spans="1:20">
      <c r="A211" s="933"/>
      <c r="B211" s="933"/>
      <c r="C211" s="933"/>
      <c r="D211" s="933"/>
      <c r="E211" s="933"/>
      <c r="F211" s="933"/>
      <c r="G211" s="933"/>
      <c r="H211" s="933"/>
      <c r="I211" s="933"/>
      <c r="J211" s="933"/>
      <c r="K211" s="934"/>
      <c r="L211" s="935"/>
      <c r="M211" s="933"/>
      <c r="N211" s="933"/>
      <c r="O211" s="933"/>
      <c r="P211" s="933"/>
      <c r="Q211" s="933"/>
      <c r="R211" s="933"/>
      <c r="S211" s="933"/>
      <c r="T211" s="933"/>
    </row>
    <row r="212" spans="1:20">
      <c r="A212" s="933"/>
      <c r="B212" s="933"/>
      <c r="C212" s="933"/>
      <c r="D212" s="933"/>
      <c r="E212" s="933"/>
      <c r="F212" s="933"/>
      <c r="G212" s="933"/>
      <c r="H212" s="933"/>
      <c r="I212" s="933"/>
      <c r="J212" s="933"/>
      <c r="K212" s="934"/>
      <c r="L212" s="935"/>
      <c r="M212" s="933"/>
      <c r="N212" s="933"/>
      <c r="O212" s="933"/>
      <c r="P212" s="933"/>
      <c r="Q212" s="933"/>
      <c r="R212" s="933"/>
      <c r="S212" s="933"/>
      <c r="T212" s="933"/>
    </row>
    <row r="213" spans="1:20">
      <c r="A213" s="933"/>
      <c r="B213" s="933"/>
      <c r="C213" s="933"/>
      <c r="D213" s="933"/>
      <c r="E213" s="933"/>
      <c r="F213" s="933"/>
      <c r="G213" s="933"/>
      <c r="H213" s="933"/>
      <c r="I213" s="933"/>
      <c r="J213" s="933"/>
      <c r="K213" s="934"/>
      <c r="L213" s="935"/>
      <c r="M213" s="933"/>
      <c r="N213" s="933"/>
      <c r="O213" s="933"/>
      <c r="P213" s="933"/>
      <c r="Q213" s="933"/>
      <c r="R213" s="933"/>
      <c r="S213" s="933"/>
      <c r="T213" s="933"/>
    </row>
    <row r="214" spans="1:20">
      <c r="A214" s="933"/>
      <c r="B214" s="933"/>
      <c r="C214" s="933"/>
      <c r="D214" s="933"/>
      <c r="E214" s="933"/>
      <c r="F214" s="933"/>
      <c r="G214" s="933"/>
      <c r="H214" s="933"/>
      <c r="I214" s="933"/>
      <c r="J214" s="933"/>
      <c r="K214" s="934"/>
      <c r="L214" s="935"/>
      <c r="M214" s="933"/>
      <c r="N214" s="933"/>
      <c r="O214" s="933"/>
      <c r="P214" s="933"/>
      <c r="Q214" s="933"/>
      <c r="R214" s="933"/>
      <c r="S214" s="933"/>
      <c r="T214" s="933"/>
    </row>
    <row r="215" spans="1:20">
      <c r="A215" s="933"/>
      <c r="B215" s="933"/>
      <c r="C215" s="933"/>
      <c r="D215" s="933"/>
      <c r="E215" s="933"/>
      <c r="F215" s="933"/>
      <c r="G215" s="933"/>
      <c r="H215" s="933"/>
      <c r="I215" s="933"/>
      <c r="J215" s="933"/>
      <c r="K215" s="934"/>
      <c r="L215" s="935"/>
      <c r="M215" s="933"/>
      <c r="N215" s="933"/>
      <c r="O215" s="933"/>
      <c r="P215" s="933"/>
      <c r="Q215" s="933"/>
      <c r="R215" s="933"/>
      <c r="S215" s="933"/>
      <c r="T215" s="933"/>
    </row>
    <row r="216" spans="1:20">
      <c r="A216" s="933"/>
      <c r="B216" s="933"/>
      <c r="C216" s="933"/>
      <c r="D216" s="933"/>
      <c r="E216" s="933"/>
      <c r="F216" s="933"/>
      <c r="G216" s="933"/>
      <c r="H216" s="933"/>
      <c r="I216" s="933"/>
      <c r="J216" s="933"/>
      <c r="K216" s="934"/>
      <c r="L216" s="935"/>
      <c r="M216" s="933"/>
      <c r="N216" s="933"/>
      <c r="O216" s="933"/>
      <c r="P216" s="933"/>
      <c r="Q216" s="933"/>
      <c r="R216" s="933"/>
      <c r="S216" s="933"/>
      <c r="T216" s="933"/>
    </row>
    <row r="217" spans="1:20">
      <c r="A217" s="933"/>
      <c r="B217" s="933"/>
      <c r="C217" s="933"/>
      <c r="D217" s="933"/>
      <c r="E217" s="933"/>
      <c r="F217" s="933"/>
      <c r="G217" s="933"/>
      <c r="H217" s="933"/>
      <c r="I217" s="933"/>
      <c r="J217" s="933"/>
      <c r="K217" s="934"/>
      <c r="L217" s="935"/>
      <c r="M217" s="933"/>
      <c r="N217" s="933"/>
      <c r="O217" s="933"/>
      <c r="P217" s="933"/>
      <c r="Q217" s="933"/>
      <c r="R217" s="933"/>
      <c r="S217" s="933"/>
      <c r="T217" s="933"/>
    </row>
    <row r="218" spans="1:20">
      <c r="A218" s="933"/>
      <c r="B218" s="933"/>
      <c r="C218" s="933"/>
      <c r="D218" s="933"/>
      <c r="E218" s="933"/>
      <c r="F218" s="933"/>
      <c r="G218" s="933"/>
      <c r="H218" s="933"/>
      <c r="I218" s="933"/>
      <c r="J218" s="933"/>
      <c r="K218" s="934"/>
      <c r="L218" s="935"/>
      <c r="M218" s="933"/>
      <c r="N218" s="933"/>
      <c r="O218" s="933"/>
      <c r="P218" s="933"/>
      <c r="Q218" s="933"/>
      <c r="R218" s="933"/>
      <c r="S218" s="933"/>
      <c r="T218" s="933"/>
    </row>
    <row r="219" spans="1:20">
      <c r="A219" s="933"/>
      <c r="B219" s="933"/>
      <c r="C219" s="933"/>
      <c r="D219" s="933"/>
      <c r="E219" s="933"/>
      <c r="F219" s="933"/>
      <c r="G219" s="933"/>
      <c r="H219" s="933"/>
      <c r="I219" s="933"/>
      <c r="J219" s="933"/>
      <c r="K219" s="934"/>
      <c r="L219" s="935"/>
      <c r="M219" s="933"/>
      <c r="N219" s="933"/>
      <c r="O219" s="933"/>
      <c r="P219" s="933"/>
      <c r="Q219" s="933"/>
      <c r="R219" s="933"/>
      <c r="S219" s="933"/>
      <c r="T219" s="933"/>
    </row>
    <row r="220" spans="1:20">
      <c r="A220" s="933"/>
      <c r="B220" s="933"/>
      <c r="C220" s="933"/>
      <c r="D220" s="933"/>
      <c r="E220" s="933"/>
      <c r="F220" s="933"/>
      <c r="G220" s="933"/>
      <c r="H220" s="933"/>
      <c r="I220" s="933"/>
      <c r="J220" s="933"/>
      <c r="K220" s="934"/>
      <c r="L220" s="935"/>
      <c r="M220" s="933"/>
      <c r="N220" s="933"/>
      <c r="O220" s="933"/>
      <c r="P220" s="933"/>
      <c r="Q220" s="933"/>
      <c r="R220" s="933"/>
      <c r="S220" s="933"/>
      <c r="T220" s="933"/>
    </row>
    <row r="221" spans="1:20">
      <c r="A221" s="933"/>
      <c r="B221" s="933"/>
      <c r="C221" s="933"/>
      <c r="D221" s="933"/>
      <c r="E221" s="933"/>
      <c r="F221" s="933"/>
      <c r="G221" s="933"/>
      <c r="H221" s="933"/>
      <c r="I221" s="933"/>
      <c r="J221" s="933"/>
      <c r="K221" s="934"/>
      <c r="L221" s="935"/>
      <c r="M221" s="933"/>
      <c r="N221" s="933"/>
      <c r="O221" s="933"/>
      <c r="P221" s="933"/>
      <c r="Q221" s="933"/>
      <c r="R221" s="933"/>
      <c r="S221" s="933"/>
      <c r="T221" s="933"/>
    </row>
    <row r="222" spans="1:20">
      <c r="A222" s="933"/>
      <c r="B222" s="933"/>
      <c r="C222" s="933"/>
      <c r="D222" s="933"/>
      <c r="E222" s="933"/>
      <c r="F222" s="933"/>
      <c r="G222" s="933"/>
      <c r="H222" s="933"/>
      <c r="I222" s="933"/>
      <c r="J222" s="933"/>
      <c r="K222" s="934"/>
      <c r="L222" s="935"/>
      <c r="M222" s="933"/>
      <c r="N222" s="933"/>
      <c r="O222" s="933"/>
      <c r="P222" s="933"/>
      <c r="Q222" s="933"/>
      <c r="R222" s="933"/>
      <c r="S222" s="933"/>
      <c r="T222" s="933"/>
    </row>
    <row r="223" spans="1:20">
      <c r="A223" s="933"/>
      <c r="B223" s="933"/>
      <c r="C223" s="933"/>
      <c r="D223" s="933"/>
      <c r="E223" s="933"/>
      <c r="F223" s="933"/>
      <c r="G223" s="933"/>
      <c r="H223" s="933"/>
      <c r="I223" s="933"/>
      <c r="J223" s="933"/>
      <c r="K223" s="934"/>
      <c r="L223" s="935"/>
      <c r="M223" s="933"/>
      <c r="N223" s="933"/>
      <c r="O223" s="933"/>
      <c r="P223" s="933"/>
      <c r="Q223" s="933"/>
      <c r="R223" s="933"/>
      <c r="S223" s="933"/>
      <c r="T223" s="933"/>
    </row>
    <row r="224" spans="1:20">
      <c r="A224" s="933"/>
      <c r="B224" s="933"/>
      <c r="C224" s="933"/>
      <c r="D224" s="933"/>
      <c r="E224" s="933"/>
      <c r="F224" s="933"/>
      <c r="G224" s="933"/>
      <c r="H224" s="933"/>
      <c r="I224" s="933"/>
      <c r="J224" s="933"/>
      <c r="K224" s="934"/>
      <c r="L224" s="935"/>
      <c r="M224" s="933"/>
      <c r="N224" s="933"/>
      <c r="O224" s="933"/>
      <c r="P224" s="933"/>
      <c r="Q224" s="933"/>
      <c r="R224" s="933"/>
      <c r="S224" s="933"/>
      <c r="T224" s="933"/>
    </row>
    <row r="225" spans="1:20">
      <c r="A225" s="933"/>
      <c r="B225" s="933"/>
      <c r="C225" s="933"/>
      <c r="D225" s="933"/>
      <c r="E225" s="933"/>
      <c r="F225" s="933"/>
      <c r="G225" s="933"/>
      <c r="H225" s="933"/>
      <c r="I225" s="933"/>
      <c r="J225" s="933"/>
      <c r="K225" s="934"/>
      <c r="L225" s="935"/>
      <c r="M225" s="933"/>
      <c r="N225" s="933"/>
      <c r="O225" s="933"/>
      <c r="P225" s="933"/>
      <c r="Q225" s="933"/>
      <c r="R225" s="933"/>
      <c r="S225" s="933"/>
      <c r="T225" s="933"/>
    </row>
    <row r="226" spans="1:20">
      <c r="A226" s="933"/>
      <c r="B226" s="933"/>
      <c r="C226" s="933"/>
      <c r="D226" s="933"/>
      <c r="E226" s="933"/>
      <c r="F226" s="933"/>
      <c r="G226" s="933"/>
      <c r="H226" s="933"/>
      <c r="I226" s="933"/>
      <c r="J226" s="933"/>
      <c r="K226" s="934"/>
      <c r="L226" s="935"/>
      <c r="M226" s="933"/>
      <c r="N226" s="933"/>
      <c r="O226" s="933"/>
      <c r="P226" s="933"/>
      <c r="Q226" s="933"/>
      <c r="R226" s="933"/>
      <c r="S226" s="933"/>
      <c r="T226" s="933"/>
    </row>
    <row r="227" spans="1:20">
      <c r="A227" s="933"/>
      <c r="B227" s="933"/>
      <c r="C227" s="933"/>
      <c r="D227" s="933"/>
      <c r="E227" s="933"/>
      <c r="F227" s="933"/>
      <c r="G227" s="933"/>
      <c r="H227" s="933"/>
      <c r="I227" s="933"/>
      <c r="J227" s="933"/>
      <c r="K227" s="934"/>
      <c r="L227" s="935"/>
      <c r="M227" s="933"/>
      <c r="N227" s="933"/>
      <c r="O227" s="933"/>
      <c r="P227" s="933"/>
      <c r="Q227" s="933"/>
      <c r="R227" s="933"/>
      <c r="S227" s="933"/>
      <c r="T227" s="933"/>
    </row>
    <row r="228" spans="1:20">
      <c r="A228" s="933"/>
      <c r="B228" s="933"/>
      <c r="C228" s="933"/>
      <c r="D228" s="933"/>
      <c r="E228" s="933"/>
      <c r="F228" s="933"/>
      <c r="G228" s="933"/>
      <c r="H228" s="933"/>
      <c r="I228" s="933"/>
      <c r="J228" s="933"/>
      <c r="K228" s="934"/>
      <c r="L228" s="935"/>
      <c r="M228" s="933"/>
      <c r="N228" s="933"/>
      <c r="O228" s="933"/>
      <c r="P228" s="933"/>
      <c r="Q228" s="933"/>
      <c r="R228" s="933"/>
      <c r="S228" s="933"/>
      <c r="T228" s="933"/>
    </row>
    <row r="229" spans="1:20">
      <c r="A229" s="933"/>
      <c r="B229" s="933"/>
      <c r="C229" s="933"/>
      <c r="D229" s="933"/>
      <c r="E229" s="933"/>
      <c r="F229" s="933"/>
      <c r="G229" s="933"/>
      <c r="H229" s="933"/>
      <c r="I229" s="933"/>
      <c r="J229" s="933"/>
      <c r="K229" s="934"/>
      <c r="L229" s="935"/>
      <c r="M229" s="933"/>
      <c r="N229" s="933"/>
      <c r="O229" s="933"/>
      <c r="P229" s="933"/>
      <c r="Q229" s="933"/>
      <c r="R229" s="933"/>
      <c r="S229" s="933"/>
      <c r="T229" s="933"/>
    </row>
    <row r="230" spans="1:20">
      <c r="A230" s="933"/>
      <c r="B230" s="933"/>
      <c r="C230" s="933"/>
      <c r="D230" s="933"/>
      <c r="E230" s="933"/>
      <c r="F230" s="933"/>
      <c r="G230" s="933"/>
      <c r="H230" s="933"/>
      <c r="I230" s="933"/>
      <c r="J230" s="933"/>
      <c r="K230" s="934"/>
      <c r="L230" s="935"/>
      <c r="M230" s="933"/>
      <c r="N230" s="933"/>
      <c r="O230" s="933"/>
      <c r="P230" s="933"/>
      <c r="Q230" s="933"/>
      <c r="R230" s="933"/>
      <c r="S230" s="933"/>
      <c r="T230" s="933"/>
    </row>
    <row r="231" spans="1:20">
      <c r="A231" s="933"/>
      <c r="B231" s="933"/>
      <c r="C231" s="933"/>
      <c r="D231" s="933"/>
      <c r="E231" s="933"/>
      <c r="F231" s="933"/>
      <c r="G231" s="933"/>
      <c r="H231" s="933"/>
      <c r="I231" s="933"/>
      <c r="J231" s="933"/>
      <c r="K231" s="934"/>
      <c r="L231" s="935"/>
      <c r="M231" s="933"/>
      <c r="N231" s="933"/>
      <c r="O231" s="933"/>
      <c r="P231" s="933"/>
      <c r="Q231" s="933"/>
      <c r="R231" s="933"/>
      <c r="S231" s="933"/>
      <c r="T231" s="933"/>
    </row>
    <row r="232" spans="1:20">
      <c r="A232" s="933"/>
      <c r="B232" s="933"/>
      <c r="C232" s="933"/>
      <c r="D232" s="933"/>
      <c r="E232" s="933"/>
      <c r="F232" s="933"/>
      <c r="G232" s="933"/>
      <c r="H232" s="933"/>
      <c r="I232" s="933"/>
      <c r="J232" s="933"/>
      <c r="K232" s="934"/>
      <c r="L232" s="935"/>
      <c r="M232" s="933"/>
      <c r="N232" s="933"/>
      <c r="O232" s="933"/>
      <c r="P232" s="933"/>
      <c r="Q232" s="933"/>
      <c r="R232" s="933"/>
      <c r="S232" s="933"/>
      <c r="T232" s="933"/>
    </row>
    <row r="233" spans="1:20">
      <c r="A233" s="933"/>
      <c r="B233" s="933"/>
      <c r="C233" s="933"/>
      <c r="D233" s="933"/>
      <c r="E233" s="933"/>
      <c r="F233" s="933"/>
      <c r="G233" s="933"/>
      <c r="H233" s="933"/>
      <c r="I233" s="933"/>
      <c r="J233" s="933"/>
      <c r="K233" s="934"/>
      <c r="L233" s="935"/>
      <c r="M233" s="933"/>
      <c r="N233" s="933"/>
      <c r="O233" s="933"/>
      <c r="P233" s="933"/>
      <c r="Q233" s="933"/>
      <c r="R233" s="933"/>
      <c r="S233" s="933"/>
      <c r="T233" s="933"/>
    </row>
    <row r="234" spans="1:20">
      <c r="A234" s="933"/>
      <c r="B234" s="933"/>
      <c r="C234" s="933"/>
      <c r="D234" s="933"/>
      <c r="E234" s="933"/>
      <c r="F234" s="933"/>
      <c r="G234" s="933"/>
      <c r="H234" s="933"/>
      <c r="I234" s="933"/>
      <c r="J234" s="933"/>
      <c r="K234" s="934"/>
      <c r="L234" s="935"/>
      <c r="M234" s="933"/>
      <c r="N234" s="933"/>
      <c r="O234" s="933"/>
      <c r="P234" s="933"/>
      <c r="Q234" s="933"/>
      <c r="R234" s="933"/>
      <c r="S234" s="933"/>
      <c r="T234" s="933"/>
    </row>
    <row r="235" spans="1:20">
      <c r="A235" s="933"/>
      <c r="B235" s="933"/>
      <c r="C235" s="933"/>
      <c r="D235" s="933"/>
      <c r="E235" s="933"/>
      <c r="F235" s="933"/>
      <c r="G235" s="933"/>
      <c r="H235" s="933"/>
      <c r="I235" s="933"/>
      <c r="J235" s="933"/>
      <c r="K235" s="934"/>
      <c r="L235" s="935"/>
      <c r="M235" s="933"/>
      <c r="N235" s="933"/>
      <c r="O235" s="933"/>
      <c r="P235" s="933"/>
      <c r="Q235" s="933"/>
      <c r="R235" s="933"/>
      <c r="S235" s="933"/>
      <c r="T235" s="933"/>
    </row>
    <row r="236" spans="1:20">
      <c r="A236" s="933"/>
      <c r="B236" s="933"/>
      <c r="C236" s="933"/>
      <c r="D236" s="933"/>
      <c r="E236" s="933"/>
      <c r="F236" s="933"/>
      <c r="G236" s="933"/>
      <c r="H236" s="933"/>
      <c r="I236" s="933"/>
      <c r="J236" s="933"/>
      <c r="K236" s="934"/>
      <c r="L236" s="935"/>
      <c r="M236" s="933"/>
      <c r="N236" s="933"/>
      <c r="O236" s="933"/>
      <c r="P236" s="933"/>
      <c r="Q236" s="933"/>
      <c r="R236" s="933"/>
      <c r="S236" s="933"/>
      <c r="T236" s="933"/>
    </row>
    <row r="237" spans="1:20">
      <c r="A237" s="933"/>
      <c r="B237" s="933"/>
      <c r="C237" s="933"/>
      <c r="D237" s="933"/>
      <c r="E237" s="933"/>
      <c r="F237" s="933"/>
      <c r="G237" s="933"/>
      <c r="H237" s="933"/>
      <c r="I237" s="933"/>
      <c r="J237" s="933"/>
      <c r="K237" s="934"/>
      <c r="L237" s="935"/>
      <c r="M237" s="933"/>
      <c r="N237" s="933"/>
      <c r="O237" s="933"/>
      <c r="P237" s="933"/>
      <c r="Q237" s="933"/>
      <c r="R237" s="933"/>
      <c r="S237" s="933"/>
      <c r="T237" s="933"/>
    </row>
    <row r="238" spans="1:20">
      <c r="A238" s="933"/>
      <c r="B238" s="933"/>
      <c r="C238" s="933"/>
      <c r="D238" s="933"/>
      <c r="E238" s="933"/>
      <c r="F238" s="933"/>
      <c r="G238" s="933"/>
      <c r="H238" s="933"/>
      <c r="I238" s="933"/>
      <c r="J238" s="933"/>
      <c r="K238" s="934"/>
      <c r="L238" s="935"/>
      <c r="M238" s="933"/>
      <c r="N238" s="933"/>
      <c r="O238" s="933"/>
      <c r="P238" s="933"/>
      <c r="Q238" s="933"/>
      <c r="R238" s="933"/>
      <c r="S238" s="933"/>
      <c r="T238" s="933"/>
    </row>
    <row r="239" spans="1:20">
      <c r="A239" s="933"/>
      <c r="B239" s="933"/>
      <c r="C239" s="933"/>
      <c r="D239" s="933"/>
      <c r="E239" s="933"/>
      <c r="F239" s="933"/>
      <c r="G239" s="933"/>
      <c r="H239" s="933"/>
      <c r="I239" s="933"/>
      <c r="J239" s="933"/>
      <c r="K239" s="934"/>
      <c r="L239" s="935"/>
      <c r="M239" s="933"/>
      <c r="N239" s="933"/>
      <c r="O239" s="933"/>
      <c r="P239" s="933"/>
      <c r="Q239" s="933"/>
      <c r="R239" s="933"/>
      <c r="S239" s="933"/>
      <c r="T239" s="933"/>
    </row>
    <row r="240" spans="1:20">
      <c r="A240" s="933"/>
      <c r="B240" s="933"/>
      <c r="C240" s="933"/>
      <c r="D240" s="933"/>
      <c r="E240" s="933"/>
      <c r="F240" s="933"/>
      <c r="G240" s="933"/>
      <c r="H240" s="933"/>
      <c r="I240" s="933"/>
      <c r="J240" s="933"/>
      <c r="K240" s="934"/>
      <c r="L240" s="935"/>
      <c r="M240" s="933"/>
      <c r="N240" s="933"/>
      <c r="O240" s="933"/>
      <c r="P240" s="933"/>
      <c r="Q240" s="933"/>
      <c r="R240" s="933"/>
      <c r="S240" s="933"/>
      <c r="T240" s="933"/>
    </row>
    <row r="241" spans="1:20">
      <c r="A241" s="933"/>
      <c r="B241" s="933"/>
      <c r="C241" s="933"/>
      <c r="D241" s="933"/>
      <c r="E241" s="933"/>
      <c r="F241" s="933"/>
      <c r="G241" s="933"/>
      <c r="H241" s="933"/>
      <c r="I241" s="933"/>
      <c r="J241" s="933"/>
      <c r="K241" s="934"/>
      <c r="L241" s="935"/>
      <c r="M241" s="933"/>
      <c r="N241" s="933"/>
      <c r="O241" s="933"/>
      <c r="P241" s="933"/>
      <c r="Q241" s="933"/>
      <c r="R241" s="933"/>
      <c r="S241" s="933"/>
      <c r="T241" s="9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6" priority="18" stopIfTrue="1" operator="containsText" text="超过">
      <formula>NOT(ISERROR(SEARCH("超过",F40)))</formula>
    </cfRule>
  </conditionalFormatting>
  <conditionalFormatting sqref="J42">
    <cfRule type="containsText" dxfId="65" priority="17" stopIfTrue="1" operator="containsText" text="超过">
      <formula>NOT(ISERROR(SEARCH("超过",J42)))</formula>
    </cfRule>
  </conditionalFormatting>
  <conditionalFormatting sqref="H42">
    <cfRule type="containsText" dxfId="64" priority="16" stopIfTrue="1" operator="containsText" text="超过">
      <formula>NOT(ISERROR(SEARCH("超过",H42)))</formula>
    </cfRule>
  </conditionalFormatting>
  <conditionalFormatting sqref="F42">
    <cfRule type="containsText" dxfId="63" priority="15" stopIfTrue="1" operator="containsText" text="超过">
      <formula>NOT(ISERROR(SEARCH("超过",F42)))</formula>
    </cfRule>
  </conditionalFormatting>
  <conditionalFormatting sqref="F41 H41 J41">
    <cfRule type="containsText" dxfId="62" priority="14" stopIfTrue="1" operator="containsText" text="超过">
      <formula>NOT(ISERROR(SEARCH("超过",F41)))</formula>
    </cfRule>
  </conditionalFormatting>
  <conditionalFormatting sqref="E40">
    <cfRule type="expression" dxfId="61" priority="13" stopIfTrue="1">
      <formula>$F$40="超过30%"</formula>
    </cfRule>
  </conditionalFormatting>
  <conditionalFormatting sqref="G42">
    <cfRule type="expression" dxfId="60" priority="12" stopIfTrue="1">
      <formula>$H$54+$H$42="超过30%"</formula>
    </cfRule>
  </conditionalFormatting>
  <conditionalFormatting sqref="E41">
    <cfRule type="expression" dxfId="59" priority="11" stopIfTrue="1">
      <formula>$F$41="超过20%"</formula>
    </cfRule>
  </conditionalFormatting>
  <conditionalFormatting sqref="E42">
    <cfRule type="expression" dxfId="58" priority="10" stopIfTrue="1">
      <formula>$F$42="超过30%"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I40">
    <cfRule type="expression" dxfId="55" priority="7" stopIfTrue="1">
      <formula>$J$40="超过30%"</formula>
    </cfRule>
  </conditionalFormatting>
  <conditionalFormatting sqref="I41">
    <cfRule type="expression" dxfId="54" priority="6" stopIfTrue="1">
      <formula>$J$41="超过20%"</formula>
    </cfRule>
  </conditionalFormatting>
  <conditionalFormatting sqref="I42">
    <cfRule type="expression" dxfId="53" priority="5" stopIfTrue="1">
      <formula>$J$42="超过30%"</formula>
    </cfRule>
  </conditionalFormatting>
  <conditionalFormatting sqref="F36">
    <cfRule type="expression" dxfId="52" priority="4">
      <formula>$D$36="简单平均"</formula>
    </cfRule>
  </conditionalFormatting>
  <conditionalFormatting sqref="H36">
    <cfRule type="expression" dxfId="51" priority="3">
      <formula>$D$36="简单平均"</formula>
    </cfRule>
  </conditionalFormatting>
  <conditionalFormatting sqref="J36">
    <cfRule type="expression" dxfId="50" priority="2">
      <formula>$D$36="简单平均"</formula>
    </cfRule>
  </conditionalFormatting>
  <conditionalFormatting sqref="F7:F34 H7:H34 J7:J34">
    <cfRule type="cellIs" dxfId="4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4"/>
      <c r="D2" s="904"/>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30" ht="14.4">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804" t="s">
        <v>1769</v>
      </c>
      <c r="S4" s="3805"/>
      <c r="T4" s="3804" t="s">
        <v>1770</v>
      </c>
      <c r="U4" s="3805"/>
      <c r="V4" s="3810" t="s">
        <v>1771</v>
      </c>
      <c r="W4" s="3810"/>
      <c r="X4" s="1352"/>
      <c r="Y4" s="3804" t="s">
        <v>1773</v>
      </c>
      <c r="Z4" s="3805"/>
      <c r="AA4" s="3791" t="s">
        <v>1769</v>
      </c>
      <c r="AB4" s="3792" t="s">
        <v>1770</v>
      </c>
      <c r="AC4" s="3791" t="s">
        <v>1771</v>
      </c>
    </row>
    <row r="5" spans="1:30">
      <c r="A5" s="358"/>
      <c r="B5" s="359"/>
      <c r="C5" s="3813" t="s">
        <v>1671</v>
      </c>
      <c r="D5" s="3814"/>
      <c r="E5" s="3820" t="s">
        <v>1672</v>
      </c>
      <c r="F5" s="3821"/>
      <c r="G5" s="3813" t="s">
        <v>1673</v>
      </c>
      <c r="H5" s="3814"/>
      <c r="I5" s="3813" t="s">
        <v>1674</v>
      </c>
      <c r="J5" s="3814"/>
      <c r="K5" s="559"/>
      <c r="L5" s="2712"/>
      <c r="M5" s="2713"/>
      <c r="N5" s="2713"/>
      <c r="O5" s="2713"/>
      <c r="P5" s="3800"/>
      <c r="Q5" s="3801"/>
      <c r="R5" s="3806"/>
      <c r="S5" s="3807"/>
      <c r="T5" s="3806"/>
      <c r="U5" s="3807"/>
      <c r="V5" s="3810"/>
      <c r="W5" s="3810"/>
      <c r="X5" s="1352"/>
      <c r="Y5" s="3806"/>
      <c r="Z5" s="3807"/>
      <c r="AA5" s="3792"/>
      <c r="AB5" s="3792"/>
      <c r="AC5" s="3792"/>
    </row>
    <row r="6" spans="1:30" ht="15" thickBot="1">
      <c r="A6" s="360"/>
      <c r="B6" s="361"/>
      <c r="C6" s="3811" t="s">
        <v>1675</v>
      </c>
      <c r="D6" s="3812"/>
      <c r="E6" s="3818" t="s">
        <v>1675</v>
      </c>
      <c r="F6" s="3819"/>
      <c r="G6" s="3811" t="s">
        <v>1675</v>
      </c>
      <c r="H6" s="3812"/>
      <c r="I6" s="3811" t="s">
        <v>1675</v>
      </c>
      <c r="J6" s="3812"/>
      <c r="K6" s="559" t="s">
        <v>1676</v>
      </c>
      <c r="L6" s="2712"/>
      <c r="M6" s="2713"/>
      <c r="N6" s="2713"/>
      <c r="O6" s="2713"/>
      <c r="P6" s="3802"/>
      <c r="Q6" s="3803"/>
      <c r="R6" s="3806"/>
      <c r="S6" s="3807"/>
      <c r="T6" s="3808"/>
      <c r="U6" s="3809"/>
      <c r="V6" s="3810"/>
      <c r="W6" s="3810"/>
      <c r="X6" s="1352"/>
      <c r="Y6" s="3808"/>
      <c r="Z6" s="3809"/>
      <c r="AA6" s="3793"/>
      <c r="AB6" s="3793"/>
      <c r="AC6" s="3793"/>
    </row>
    <row r="7" spans="1:30" s="108" customFormat="1" ht="15" thickBot="1">
      <c r="A7" s="362" t="s">
        <v>1677</v>
      </c>
      <c r="B7" s="363"/>
      <c r="C7" s="364">
        <f>'数据-取费表'!B2</f>
        <v>45295</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815" t="s">
        <v>1678</v>
      </c>
      <c r="Q7" s="3817"/>
      <c r="R7" s="701" t="s">
        <v>14</v>
      </c>
      <c r="S7" s="702">
        <f t="shared" ref="S7:S15" si="0">F7</f>
        <v>0</v>
      </c>
      <c r="T7" s="701" t="s">
        <v>14</v>
      </c>
      <c r="U7" s="702">
        <f t="shared" ref="U7:U15" si="1">H7</f>
        <v>0</v>
      </c>
      <c r="V7" s="701" t="s">
        <v>14</v>
      </c>
      <c r="W7" s="702">
        <f t="shared" ref="W7:W15" si="2">J7</f>
        <v>0</v>
      </c>
      <c r="X7" s="703"/>
      <c r="Y7" s="3815" t="s">
        <v>1678</v>
      </c>
      <c r="Z7" s="3816"/>
      <c r="AA7" s="704" t="e">
        <f>D7/F7</f>
        <v>#DIV/0!</v>
      </c>
      <c r="AB7" s="704" t="e">
        <f>D7/H7</f>
        <v>#DIV/0!</v>
      </c>
      <c r="AC7" s="704" t="e">
        <f>D7/J7</f>
        <v>#DIV/0!</v>
      </c>
    </row>
    <row r="8" spans="1:30" s="108" customFormat="1" ht="1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815" t="s">
        <v>1681</v>
      </c>
      <c r="Q8" s="3816"/>
      <c r="R8" s="701" t="s">
        <v>14</v>
      </c>
      <c r="S8" s="702">
        <f t="shared" si="0"/>
        <v>0</v>
      </c>
      <c r="T8" s="701" t="s">
        <v>14</v>
      </c>
      <c r="U8" s="702">
        <f t="shared" si="1"/>
        <v>0</v>
      </c>
      <c r="V8" s="701" t="s">
        <v>14</v>
      </c>
      <c r="W8" s="702">
        <f t="shared" si="2"/>
        <v>0</v>
      </c>
      <c r="X8" s="703"/>
      <c r="Y8" s="3815" t="s">
        <v>1681</v>
      </c>
      <c r="Z8" s="3816"/>
      <c r="AA8" s="704" t="e">
        <f t="shared" ref="AA8:AA45" si="3">D8/F8</f>
        <v>#DIV/0!</v>
      </c>
      <c r="AB8" s="704" t="e">
        <f t="shared" ref="AB8:AB45" si="4">D8/H8</f>
        <v>#DIV/0!</v>
      </c>
      <c r="AC8" s="704" t="e">
        <f t="shared" ref="AC8:AC45" si="5">D8/J8</f>
        <v>#DIV/0!</v>
      </c>
    </row>
    <row r="9" spans="1:30" s="108" customFormat="1" ht="14.4">
      <c r="A9" s="369" t="s">
        <v>1682</v>
      </c>
      <c r="B9" s="63" t="s">
        <v>1683</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779"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704">
        <f t="shared" si="5"/>
        <v>1</v>
      </c>
    </row>
    <row r="10" spans="1:30" s="378" customFormat="1" ht="28.8">
      <c r="A10" s="374"/>
      <c r="B10" s="375" t="s">
        <v>1686</v>
      </c>
      <c r="C10" s="383"/>
      <c r="D10" s="127">
        <v>100</v>
      </c>
      <c r="E10" s="416"/>
      <c r="F10" s="127">
        <f>ROUND(100/'数据-取费表'!G16,0)</f>
        <v>124</v>
      </c>
      <c r="G10" s="414"/>
      <c r="H10" s="127">
        <f>ROUND(100/'数据-取费表'!G16,0)</f>
        <v>124</v>
      </c>
      <c r="I10" s="414"/>
      <c r="J10" s="127">
        <f>ROUND(100/'数据-取费表'!G16,0)</f>
        <v>124</v>
      </c>
      <c r="K10" s="620"/>
      <c r="L10" s="2716"/>
      <c r="M10" s="2717"/>
      <c r="N10" s="2717"/>
      <c r="O10" s="2770"/>
      <c r="P10" s="3779"/>
      <c r="Q10" s="1340" t="str">
        <f t="shared" si="6"/>
        <v>土地使用年限（年）</v>
      </c>
      <c r="R10" s="701" t="s">
        <v>14</v>
      </c>
      <c r="S10" s="702">
        <f t="shared" si="0"/>
        <v>124</v>
      </c>
      <c r="T10" s="701" t="s">
        <v>14</v>
      </c>
      <c r="U10" s="702">
        <f t="shared" si="1"/>
        <v>124</v>
      </c>
      <c r="V10" s="701" t="s">
        <v>14</v>
      </c>
      <c r="W10" s="702">
        <f t="shared" si="2"/>
        <v>124</v>
      </c>
      <c r="X10" s="703"/>
      <c r="Y10" s="3654"/>
      <c r="Z10" s="52" t="str">
        <f t="shared" si="7"/>
        <v>土地使用年限（年）</v>
      </c>
      <c r="AA10" s="704">
        <f t="shared" si="3"/>
        <v>0.80645161290322576</v>
      </c>
      <c r="AB10" s="704">
        <f t="shared" si="4"/>
        <v>0.80645161290322576</v>
      </c>
      <c r="AC10" s="704">
        <f t="shared" si="5"/>
        <v>0.80645161290322576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79"/>
      <c r="Q11" s="1340"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30" s="108" customFormat="1" ht="15">
      <c r="A12" s="382"/>
      <c r="B12" s="1890" t="s">
        <v>1868</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79"/>
      <c r="Q12" s="1340" t="str">
        <f t="shared" si="6"/>
        <v>配建</v>
      </c>
      <c r="R12" s="701" t="s">
        <v>14</v>
      </c>
      <c r="S12" s="702">
        <f t="shared" si="0"/>
        <v>100</v>
      </c>
      <c r="T12" s="701" t="s">
        <v>14</v>
      </c>
      <c r="U12" s="702">
        <f t="shared" si="1"/>
        <v>100</v>
      </c>
      <c r="V12" s="701" t="s">
        <v>14</v>
      </c>
      <c r="W12" s="702">
        <f t="shared" si="2"/>
        <v>100</v>
      </c>
      <c r="X12" s="703"/>
      <c r="Y12" s="3654"/>
      <c r="Z12" s="52" t="str">
        <f t="shared" si="7"/>
        <v>配建</v>
      </c>
      <c r="AA12" s="704">
        <f>D12/F12</f>
        <v>1</v>
      </c>
      <c r="AB12" s="704">
        <f>D12/H12</f>
        <v>1</v>
      </c>
      <c r="AC12" s="704">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79"/>
      <c r="Q13" s="1340">
        <f t="shared" si="6"/>
        <v>111</v>
      </c>
      <c r="R13" s="701" t="s">
        <v>14</v>
      </c>
      <c r="S13" s="702">
        <f t="shared" si="0"/>
        <v>100</v>
      </c>
      <c r="T13" s="701" t="s">
        <v>14</v>
      </c>
      <c r="U13" s="702">
        <f t="shared" si="1"/>
        <v>100</v>
      </c>
      <c r="V13" s="701" t="s">
        <v>14</v>
      </c>
      <c r="W13" s="702">
        <f t="shared" si="2"/>
        <v>100</v>
      </c>
      <c r="X13" s="703"/>
      <c r="Y13" s="3654"/>
      <c r="Z13" s="52">
        <f t="shared" si="7"/>
        <v>111</v>
      </c>
      <c r="AA13" s="704">
        <f>D13/F13</f>
        <v>1</v>
      </c>
      <c r="AB13" s="704">
        <f>D13/H13</f>
        <v>1</v>
      </c>
      <c r="AC13" s="704">
        <f>D13/J13</f>
        <v>1</v>
      </c>
    </row>
    <row r="14" spans="1:30" ht="15.6"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79"/>
      <c r="Q14" s="1340">
        <f t="shared" si="6"/>
        <v>111</v>
      </c>
      <c r="R14" s="701" t="s">
        <v>14</v>
      </c>
      <c r="S14" s="702">
        <f t="shared" si="0"/>
        <v>100</v>
      </c>
      <c r="T14" s="701" t="s">
        <v>14</v>
      </c>
      <c r="U14" s="702">
        <f t="shared" si="1"/>
        <v>100</v>
      </c>
      <c r="V14" s="701" t="s">
        <v>14</v>
      </c>
      <c r="W14" s="702">
        <f t="shared" si="2"/>
        <v>100</v>
      </c>
      <c r="X14" s="703"/>
      <c r="Y14" s="3654"/>
      <c r="Z14" s="52">
        <f t="shared" si="7"/>
        <v>111</v>
      </c>
      <c r="AA14" s="704">
        <f>D14/F14</f>
        <v>1</v>
      </c>
      <c r="AB14" s="704">
        <f>D14/H14</f>
        <v>1</v>
      </c>
      <c r="AC14" s="704">
        <f>D14/J14</f>
        <v>1</v>
      </c>
    </row>
    <row r="15" spans="1:30" ht="96.6">
      <c r="A15" s="391" t="s">
        <v>1688</v>
      </c>
      <c r="B15" s="61" t="s">
        <v>1255</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81" t="s">
        <v>1689</v>
      </c>
      <c r="Q15" s="1349" t="str">
        <f t="shared" si="6"/>
        <v>居住社区成熟度</v>
      </c>
      <c r="R15" s="705" t="s">
        <v>14</v>
      </c>
      <c r="S15" s="706">
        <f t="shared" si="0"/>
        <v>100</v>
      </c>
      <c r="T15" s="705" t="s">
        <v>14</v>
      </c>
      <c r="U15" s="706">
        <f t="shared" si="1"/>
        <v>100</v>
      </c>
      <c r="V15" s="705" t="s">
        <v>14</v>
      </c>
      <c r="W15" s="706">
        <f t="shared" si="2"/>
        <v>100</v>
      </c>
      <c r="X15" s="1352"/>
      <c r="Y15" s="3781" t="s">
        <v>1689</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782"/>
      <c r="Q16" s="1349"/>
      <c r="R16" s="705"/>
      <c r="S16" s="706"/>
      <c r="T16" s="705"/>
      <c r="U16" s="706"/>
      <c r="V16" s="705"/>
      <c r="W16" s="706"/>
      <c r="X16" s="1352"/>
      <c r="Y16" s="3782"/>
      <c r="Z16" s="1353"/>
      <c r="AA16" s="1350">
        <v>1</v>
      </c>
      <c r="AB16" s="1350">
        <v>1</v>
      </c>
      <c r="AC16" s="1350">
        <v>1</v>
      </c>
    </row>
    <row r="17" spans="1:29" ht="82.8">
      <c r="A17" s="379"/>
      <c r="B17" s="402" t="s">
        <v>1775</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82"/>
      <c r="Q17" s="1349" t="str">
        <f>B17</f>
        <v>商业繁华度</v>
      </c>
      <c r="R17" s="705" t="s">
        <v>14</v>
      </c>
      <c r="S17" s="706">
        <f>F17</f>
        <v>100</v>
      </c>
      <c r="T17" s="705" t="s">
        <v>14</v>
      </c>
      <c r="U17" s="706">
        <f>H17</f>
        <v>100</v>
      </c>
      <c r="V17" s="705" t="s">
        <v>14</v>
      </c>
      <c r="W17" s="706">
        <f>J17</f>
        <v>100</v>
      </c>
      <c r="X17" s="1352"/>
      <c r="Y17" s="3782"/>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782"/>
      <c r="Q18" s="1349"/>
      <c r="R18" s="705"/>
      <c r="S18" s="706"/>
      <c r="T18" s="705"/>
      <c r="U18" s="706"/>
      <c r="V18" s="705"/>
      <c r="W18" s="706"/>
      <c r="X18" s="1352"/>
      <c r="Y18" s="3782"/>
      <c r="Z18" s="1353"/>
      <c r="AA18" s="1350">
        <v>1</v>
      </c>
      <c r="AB18" s="1350">
        <v>1</v>
      </c>
      <c r="AC18" s="1350">
        <v>1</v>
      </c>
    </row>
    <row r="19" spans="1:29" ht="82.8">
      <c r="A19" s="379"/>
      <c r="B19" s="402" t="s">
        <v>1809</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82"/>
      <c r="Q19" s="1349" t="str">
        <f>B19</f>
        <v>办公集聚程度</v>
      </c>
      <c r="R19" s="705" t="s">
        <v>14</v>
      </c>
      <c r="S19" s="706">
        <f>F19</f>
        <v>100</v>
      </c>
      <c r="T19" s="705" t="s">
        <v>14</v>
      </c>
      <c r="U19" s="706">
        <f>H19</f>
        <v>100</v>
      </c>
      <c r="V19" s="705" t="s">
        <v>14</v>
      </c>
      <c r="W19" s="706">
        <f>J19</f>
        <v>100</v>
      </c>
      <c r="X19" s="1352"/>
      <c r="Y19" s="3782"/>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782"/>
      <c r="Q20" s="1349"/>
      <c r="R20" s="705"/>
      <c r="S20" s="706"/>
      <c r="T20" s="705"/>
      <c r="U20" s="706"/>
      <c r="V20" s="705"/>
      <c r="W20" s="706"/>
      <c r="X20" s="1352"/>
      <c r="Y20" s="3782"/>
      <c r="Z20" s="1353"/>
      <c r="AA20" s="1350">
        <v>1</v>
      </c>
      <c r="AB20" s="1350">
        <v>1</v>
      </c>
      <c r="AC20" s="1350">
        <v>1</v>
      </c>
    </row>
    <row r="21" spans="1:29" ht="96.6">
      <c r="A21" s="379"/>
      <c r="B21" s="402" t="s">
        <v>1831</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82"/>
      <c r="Q21" s="1349" t="str">
        <f>B21</f>
        <v>交通便捷度</v>
      </c>
      <c r="R21" s="705" t="s">
        <v>14</v>
      </c>
      <c r="S21" s="706">
        <f>F21</f>
        <v>100</v>
      </c>
      <c r="T21" s="705" t="s">
        <v>14</v>
      </c>
      <c r="U21" s="706">
        <f>H21</f>
        <v>100</v>
      </c>
      <c r="V21" s="705" t="s">
        <v>14</v>
      </c>
      <c r="W21" s="706">
        <f>J21</f>
        <v>100</v>
      </c>
      <c r="X21" s="1352"/>
      <c r="Y21" s="3782"/>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782"/>
      <c r="Q22" s="1349"/>
      <c r="R22" s="705"/>
      <c r="S22" s="706"/>
      <c r="T22" s="705"/>
      <c r="U22" s="706"/>
      <c r="V22" s="705"/>
      <c r="W22" s="706"/>
      <c r="X22" s="1352"/>
      <c r="Y22" s="3782"/>
      <c r="Z22" s="1353"/>
      <c r="AA22" s="1350">
        <v>1</v>
      </c>
      <c r="AB22" s="1350">
        <v>1</v>
      </c>
      <c r="AC22" s="1350">
        <v>1</v>
      </c>
    </row>
    <row r="23" spans="1:29" ht="28.8">
      <c r="A23" s="358"/>
      <c r="B23" s="402" t="s">
        <v>1869</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82"/>
      <c r="Q23" s="1349" t="str">
        <f t="shared" ref="Q23:Q37" si="8">B23</f>
        <v>区域土地利用方向</v>
      </c>
      <c r="R23" s="705" t="s">
        <v>14</v>
      </c>
      <c r="S23" s="706">
        <f>F23</f>
        <v>100</v>
      </c>
      <c r="T23" s="705" t="s">
        <v>14</v>
      </c>
      <c r="U23" s="706">
        <f>H23</f>
        <v>100</v>
      </c>
      <c r="V23" s="705" t="s">
        <v>14</v>
      </c>
      <c r="W23" s="706">
        <f>J23</f>
        <v>100</v>
      </c>
      <c r="X23" s="1352"/>
      <c r="Y23" s="3782"/>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7"/>
      <c r="L24" s="2719"/>
      <c r="M24" s="2713"/>
      <c r="N24" s="2713"/>
      <c r="O24" s="2771"/>
      <c r="P24" s="3782"/>
      <c r="Q24" s="1349"/>
      <c r="R24" s="705"/>
      <c r="S24" s="706"/>
      <c r="T24" s="705"/>
      <c r="U24" s="706"/>
      <c r="V24" s="705"/>
      <c r="W24" s="706"/>
      <c r="X24" s="1352"/>
      <c r="Y24" s="3782"/>
      <c r="Z24" s="1353"/>
      <c r="AA24" s="1350"/>
      <c r="AB24" s="1350"/>
      <c r="AC24" s="1350"/>
    </row>
    <row r="25" spans="1:29" ht="55.2">
      <c r="A25" s="358"/>
      <c r="B25" s="1128" t="s">
        <v>1870</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82"/>
      <c r="Q25" s="1349" t="str">
        <f t="shared" si="8"/>
        <v>自然及人文环境状况</v>
      </c>
      <c r="R25" s="705" t="s">
        <v>14</v>
      </c>
      <c r="S25" s="706">
        <f>F25</f>
        <v>100</v>
      </c>
      <c r="T25" s="705" t="s">
        <v>14</v>
      </c>
      <c r="U25" s="706">
        <f>H25</f>
        <v>100</v>
      </c>
      <c r="V25" s="705" t="s">
        <v>14</v>
      </c>
      <c r="W25" s="706">
        <f>J25</f>
        <v>100</v>
      </c>
      <c r="X25" s="1352"/>
      <c r="Y25" s="3782"/>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782"/>
      <c r="Q26" s="1349"/>
      <c r="R26" s="705"/>
      <c r="S26" s="706"/>
      <c r="T26" s="705"/>
      <c r="U26" s="706"/>
      <c r="V26" s="705"/>
      <c r="W26" s="706"/>
      <c r="X26" s="1352"/>
      <c r="Y26" s="3782"/>
      <c r="Z26" s="1353"/>
      <c r="AA26" s="1350">
        <v>1</v>
      </c>
      <c r="AB26" s="1350">
        <v>1</v>
      </c>
      <c r="AC26" s="1350">
        <v>1</v>
      </c>
    </row>
    <row r="27" spans="1:29" s="108" customFormat="1" ht="41.4">
      <c r="A27" s="597"/>
      <c r="B27" s="1128" t="s">
        <v>1776</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82"/>
      <c r="Q27" s="1340" t="str">
        <f t="shared" si="8"/>
        <v>公共配套设施</v>
      </c>
      <c r="R27" s="701" t="s">
        <v>14</v>
      </c>
      <c r="S27" s="702">
        <f>F27</f>
        <v>100</v>
      </c>
      <c r="T27" s="701" t="s">
        <v>14</v>
      </c>
      <c r="U27" s="702">
        <f>H27</f>
        <v>100</v>
      </c>
      <c r="V27" s="701" t="s">
        <v>14</v>
      </c>
      <c r="W27" s="702">
        <f>J27</f>
        <v>100</v>
      </c>
      <c r="X27" s="703"/>
      <c r="Y27" s="3782"/>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782"/>
      <c r="Q28" s="1340"/>
      <c r="R28" s="701"/>
      <c r="S28" s="702"/>
      <c r="T28" s="701"/>
      <c r="U28" s="702"/>
      <c r="V28" s="701"/>
      <c r="W28" s="702"/>
      <c r="X28" s="703"/>
      <c r="Y28" s="3782"/>
      <c r="Z28" s="52"/>
      <c r="AA28" s="1350">
        <v>1</v>
      </c>
      <c r="AB28" s="1350">
        <v>1</v>
      </c>
      <c r="AC28" s="1350">
        <v>1</v>
      </c>
    </row>
    <row r="29" spans="1:29" s="108" customFormat="1" ht="41.4">
      <c r="A29" s="597"/>
      <c r="B29" s="1128" t="s">
        <v>1777</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82"/>
      <c r="Q29" s="1340" t="str">
        <f t="shared" ref="Q29" si="9">B29</f>
        <v>基础设施水平</v>
      </c>
      <c r="R29" s="701" t="s">
        <v>14</v>
      </c>
      <c r="S29" s="702">
        <f>F29</f>
        <v>100</v>
      </c>
      <c r="T29" s="701" t="s">
        <v>14</v>
      </c>
      <c r="U29" s="702">
        <f>H29</f>
        <v>100</v>
      </c>
      <c r="V29" s="701" t="s">
        <v>14</v>
      </c>
      <c r="W29" s="702">
        <f>J29</f>
        <v>100</v>
      </c>
      <c r="X29" s="703"/>
      <c r="Y29" s="3782"/>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782"/>
      <c r="Q30" s="1340"/>
      <c r="R30" s="701"/>
      <c r="S30" s="702"/>
      <c r="T30" s="701"/>
      <c r="U30" s="702"/>
      <c r="V30" s="701"/>
      <c r="W30" s="702"/>
      <c r="X30" s="703"/>
      <c r="Y30" s="3782"/>
      <c r="Z30" s="52"/>
      <c r="AA30" s="1350">
        <v>1</v>
      </c>
      <c r="AB30" s="1350">
        <v>1</v>
      </c>
      <c r="AC30" s="1350">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82"/>
      <c r="Q31" s="1349" t="str">
        <f t="shared" si="8"/>
        <v>临街状况</v>
      </c>
      <c r="R31" s="705" t="s">
        <v>14</v>
      </c>
      <c r="S31" s="706">
        <f t="shared" ref="S31:S45" si="10">F31</f>
        <v>100</v>
      </c>
      <c r="T31" s="705" t="s">
        <v>14</v>
      </c>
      <c r="U31" s="706">
        <f t="shared" ref="U31:U45" si="11">H31</f>
        <v>100</v>
      </c>
      <c r="V31" s="705" t="s">
        <v>14</v>
      </c>
      <c r="W31" s="706">
        <f t="shared" ref="W31:W45" si="12">J31</f>
        <v>100</v>
      </c>
      <c r="X31" s="1352"/>
      <c r="Y31" s="3782"/>
      <c r="Z31" s="1353" t="str">
        <f t="shared" ref="Z31:Z45" si="13">Q31</f>
        <v>临街状况</v>
      </c>
      <c r="AA31" s="1350">
        <f t="shared" si="3"/>
        <v>1</v>
      </c>
      <c r="AB31" s="1350">
        <f t="shared" si="4"/>
        <v>1</v>
      </c>
      <c r="AC31" s="1350">
        <f t="shared" si="5"/>
        <v>1</v>
      </c>
    </row>
    <row r="32" spans="1:29" ht="28.8">
      <c r="A32" s="379"/>
      <c r="B32" s="1128"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82"/>
      <c r="Q32" s="1349" t="str">
        <f t="shared" si="8"/>
        <v>毗邻道路的类型与等级</v>
      </c>
      <c r="R32" s="705" t="s">
        <v>14</v>
      </c>
      <c r="S32" s="706">
        <f t="shared" si="10"/>
        <v>100</v>
      </c>
      <c r="T32" s="705" t="s">
        <v>14</v>
      </c>
      <c r="U32" s="706">
        <f t="shared" si="11"/>
        <v>100</v>
      </c>
      <c r="V32" s="705" t="s">
        <v>14</v>
      </c>
      <c r="W32" s="706">
        <f t="shared" si="12"/>
        <v>100</v>
      </c>
      <c r="X32" s="1352"/>
      <c r="Y32" s="3782"/>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782"/>
      <c r="Q33" s="1349"/>
      <c r="R33" s="705"/>
      <c r="S33" s="706"/>
      <c r="T33" s="705"/>
      <c r="U33" s="706"/>
      <c r="V33" s="705"/>
      <c r="W33" s="706"/>
      <c r="X33" s="1352"/>
      <c r="Y33" s="3782"/>
      <c r="Z33" s="1353"/>
      <c r="AA33" s="1350">
        <v>1</v>
      </c>
      <c r="AB33" s="1350">
        <v>1</v>
      </c>
      <c r="AC33" s="1350">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82"/>
      <c r="Q34" s="1349" t="str">
        <f t="shared" si="8"/>
        <v>土地级别</v>
      </c>
      <c r="R34" s="705" t="s">
        <v>14</v>
      </c>
      <c r="S34" s="706">
        <f t="shared" si="10"/>
        <v>100</v>
      </c>
      <c r="T34" s="705" t="s">
        <v>14</v>
      </c>
      <c r="U34" s="706">
        <f t="shared" si="11"/>
        <v>100</v>
      </c>
      <c r="V34" s="705" t="s">
        <v>14</v>
      </c>
      <c r="W34" s="706">
        <f t="shared" si="12"/>
        <v>100</v>
      </c>
      <c r="X34" s="1352"/>
      <c r="Y34" s="3782"/>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82"/>
      <c r="Q35" s="1349">
        <f t="shared" si="8"/>
        <v>111</v>
      </c>
      <c r="R35" s="705" t="s">
        <v>14</v>
      </c>
      <c r="S35" s="706">
        <f t="shared" si="10"/>
        <v>100</v>
      </c>
      <c r="T35" s="705" t="s">
        <v>14</v>
      </c>
      <c r="U35" s="706">
        <f t="shared" si="11"/>
        <v>100</v>
      </c>
      <c r="V35" s="705" t="s">
        <v>14</v>
      </c>
      <c r="W35" s="706">
        <f t="shared" si="12"/>
        <v>100</v>
      </c>
      <c r="X35" s="1352"/>
      <c r="Y35" s="3782"/>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837" t="s">
        <v>1694</v>
      </c>
      <c r="Q36" s="1349">
        <f t="shared" si="8"/>
        <v>111</v>
      </c>
      <c r="R36" s="705" t="s">
        <v>14</v>
      </c>
      <c r="S36" s="706">
        <f t="shared" si="10"/>
        <v>100</v>
      </c>
      <c r="T36" s="705" t="s">
        <v>14</v>
      </c>
      <c r="U36" s="706">
        <f t="shared" si="11"/>
        <v>100</v>
      </c>
      <c r="V36" s="705" t="s">
        <v>14</v>
      </c>
      <c r="W36" s="706">
        <f t="shared" si="12"/>
        <v>100</v>
      </c>
      <c r="X36" s="1352"/>
      <c r="Y36" s="3786" t="s">
        <v>1694</v>
      </c>
      <c r="Z36" s="1353">
        <f t="shared" si="13"/>
        <v>111</v>
      </c>
      <c r="AA36" s="1350">
        <f t="shared" si="3"/>
        <v>1</v>
      </c>
      <c r="AB36" s="1350">
        <f t="shared" si="4"/>
        <v>1</v>
      </c>
      <c r="AC36" s="1350">
        <f t="shared" si="5"/>
        <v>1</v>
      </c>
    </row>
    <row r="37" spans="1:29" s="422" customFormat="1" ht="15.6"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86"/>
      <c r="Q37" s="1349">
        <f t="shared" si="8"/>
        <v>111</v>
      </c>
      <c r="R37" s="708" t="s">
        <v>14</v>
      </c>
      <c r="S37" s="709">
        <f t="shared" si="10"/>
        <v>100</v>
      </c>
      <c r="T37" s="708" t="s">
        <v>14</v>
      </c>
      <c r="U37" s="709">
        <f t="shared" si="11"/>
        <v>100</v>
      </c>
      <c r="V37" s="708" t="s">
        <v>14</v>
      </c>
      <c r="W37" s="709">
        <f t="shared" si="12"/>
        <v>100</v>
      </c>
      <c r="X37" s="710"/>
      <c r="Y37" s="3786"/>
      <c r="Z37" s="711">
        <f t="shared" si="13"/>
        <v>111</v>
      </c>
      <c r="AA37" s="1350">
        <f t="shared" si="3"/>
        <v>1</v>
      </c>
      <c r="AB37" s="1350">
        <f t="shared" si="4"/>
        <v>1</v>
      </c>
      <c r="AC37" s="1350">
        <f t="shared" si="5"/>
        <v>1</v>
      </c>
    </row>
    <row r="38" spans="1:29" ht="15.6">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86"/>
      <c r="Q38" s="1349" t="str">
        <f>B38</f>
        <v>宗地面积</v>
      </c>
      <c r="R38" s="705" t="s">
        <v>14</v>
      </c>
      <c r="S38" s="706" t="e">
        <f t="shared" si="10"/>
        <v>#N/A</v>
      </c>
      <c r="T38" s="705" t="s">
        <v>14</v>
      </c>
      <c r="U38" s="706" t="e">
        <f t="shared" si="11"/>
        <v>#N/A</v>
      </c>
      <c r="V38" s="705" t="s">
        <v>14</v>
      </c>
      <c r="W38" s="706" t="e">
        <f t="shared" si="12"/>
        <v>#N/A</v>
      </c>
      <c r="X38" s="1352"/>
      <c r="Y38" s="3786"/>
      <c r="Z38" s="1353" t="str">
        <f t="shared" si="13"/>
        <v>宗地面积</v>
      </c>
      <c r="AA38" s="1350" t="e">
        <f t="shared" si="3"/>
        <v>#N/A</v>
      </c>
      <c r="AB38" s="1350" t="e">
        <f t="shared" si="4"/>
        <v>#N/A</v>
      </c>
      <c r="AC38" s="1350" t="e">
        <f t="shared" si="5"/>
        <v>#N/A</v>
      </c>
    </row>
    <row r="39" spans="1:29" ht="15">
      <c r="A39" s="423"/>
      <c r="B39" s="375" t="s">
        <v>1873</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786"/>
      <c r="Q39" s="1349" t="str">
        <f t="shared" ref="Q39:Q45" si="14">B39</f>
        <v>宗地形状</v>
      </c>
      <c r="R39" s="705" t="s">
        <v>14</v>
      </c>
      <c r="S39" s="706">
        <f t="shared" si="10"/>
        <v>100</v>
      </c>
      <c r="T39" s="705" t="s">
        <v>14</v>
      </c>
      <c r="U39" s="706">
        <f t="shared" si="11"/>
        <v>100</v>
      </c>
      <c r="V39" s="705" t="s">
        <v>14</v>
      </c>
      <c r="W39" s="706">
        <f t="shared" si="12"/>
        <v>100</v>
      </c>
      <c r="X39" s="1352"/>
      <c r="Y39" s="3786"/>
      <c r="Z39" s="1353" t="str">
        <f t="shared" si="13"/>
        <v>宗地形状</v>
      </c>
      <c r="AA39" s="1350">
        <f t="shared" si="3"/>
        <v>1</v>
      </c>
      <c r="AB39" s="1350">
        <f t="shared" si="4"/>
        <v>1</v>
      </c>
      <c r="AC39" s="1350">
        <f t="shared" si="5"/>
        <v>1</v>
      </c>
    </row>
    <row r="40" spans="1:29" ht="15">
      <c r="A40" s="423"/>
      <c r="B40" s="375" t="s">
        <v>1874</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786"/>
      <c r="Q40" s="1349" t="str">
        <f t="shared" si="14"/>
        <v>临街宽度及深度</v>
      </c>
      <c r="R40" s="705" t="s">
        <v>14</v>
      </c>
      <c r="S40" s="706">
        <f t="shared" si="10"/>
        <v>100</v>
      </c>
      <c r="T40" s="705" t="s">
        <v>14</v>
      </c>
      <c r="U40" s="706">
        <f t="shared" si="11"/>
        <v>100</v>
      </c>
      <c r="V40" s="705" t="s">
        <v>14</v>
      </c>
      <c r="W40" s="706">
        <f t="shared" si="12"/>
        <v>100</v>
      </c>
      <c r="X40" s="1352"/>
      <c r="Y40" s="3786"/>
      <c r="Z40" s="1353" t="str">
        <f t="shared" si="13"/>
        <v>临街宽度及深度</v>
      </c>
      <c r="AA40" s="1350">
        <f t="shared" si="3"/>
        <v>1</v>
      </c>
      <c r="AB40" s="1350">
        <f t="shared" si="4"/>
        <v>1</v>
      </c>
      <c r="AC40" s="1350">
        <f t="shared" si="5"/>
        <v>1</v>
      </c>
    </row>
    <row r="41" spans="1:29" s="108" customFormat="1" ht="15">
      <c r="A41" s="424"/>
      <c r="B41" s="375" t="s">
        <v>1875</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786"/>
      <c r="Q41" s="1349" t="str">
        <f t="shared" si="14"/>
        <v>宗地开发程度</v>
      </c>
      <c r="R41" s="701" t="s">
        <v>14</v>
      </c>
      <c r="S41" s="702">
        <f t="shared" si="10"/>
        <v>100</v>
      </c>
      <c r="T41" s="701" t="s">
        <v>14</v>
      </c>
      <c r="U41" s="702">
        <f t="shared" si="11"/>
        <v>100</v>
      </c>
      <c r="V41" s="701" t="s">
        <v>14</v>
      </c>
      <c r="W41" s="702">
        <f t="shared" si="12"/>
        <v>100</v>
      </c>
      <c r="X41" s="703"/>
      <c r="Y41" s="3786"/>
      <c r="Z41" s="52" t="str">
        <f t="shared" si="13"/>
        <v>宗地开发程度</v>
      </c>
      <c r="AA41" s="704">
        <f t="shared" si="3"/>
        <v>1</v>
      </c>
      <c r="AB41" s="704">
        <f t="shared" si="4"/>
        <v>1</v>
      </c>
      <c r="AC41" s="704">
        <f t="shared" si="5"/>
        <v>1</v>
      </c>
    </row>
    <row r="42" spans="1:29" ht="15">
      <c r="A42" s="423"/>
      <c r="B42" s="375" t="s">
        <v>1876</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786" t="s">
        <v>1694</v>
      </c>
      <c r="Q42" s="1349" t="str">
        <f t="shared" si="14"/>
        <v>工程地质条件</v>
      </c>
      <c r="R42" s="705" t="s">
        <v>14</v>
      </c>
      <c r="S42" s="706">
        <f t="shared" si="10"/>
        <v>100</v>
      </c>
      <c r="T42" s="705" t="s">
        <v>14</v>
      </c>
      <c r="U42" s="706">
        <f t="shared" si="11"/>
        <v>100</v>
      </c>
      <c r="V42" s="705" t="s">
        <v>14</v>
      </c>
      <c r="W42" s="706">
        <f t="shared" si="12"/>
        <v>100</v>
      </c>
      <c r="X42" s="1352"/>
      <c r="Y42" s="3786" t="s">
        <v>1694</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86"/>
      <c r="Q43" s="1349">
        <f t="shared" si="14"/>
        <v>111</v>
      </c>
      <c r="R43" s="705" t="s">
        <v>14</v>
      </c>
      <c r="S43" s="706">
        <f t="shared" si="10"/>
        <v>100</v>
      </c>
      <c r="T43" s="705" t="s">
        <v>14</v>
      </c>
      <c r="U43" s="706">
        <f t="shared" si="11"/>
        <v>100</v>
      </c>
      <c r="V43" s="705" t="s">
        <v>14</v>
      </c>
      <c r="W43" s="706">
        <f t="shared" si="12"/>
        <v>100</v>
      </c>
      <c r="X43" s="1352"/>
      <c r="Y43" s="3786"/>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86"/>
      <c r="Q44" s="1349">
        <f t="shared" si="14"/>
        <v>111</v>
      </c>
      <c r="R44" s="705" t="s">
        <v>14</v>
      </c>
      <c r="S44" s="706">
        <f t="shared" si="10"/>
        <v>100</v>
      </c>
      <c r="T44" s="705" t="s">
        <v>14</v>
      </c>
      <c r="U44" s="706">
        <f t="shared" si="11"/>
        <v>100</v>
      </c>
      <c r="V44" s="705" t="s">
        <v>14</v>
      </c>
      <c r="W44" s="706">
        <f t="shared" si="12"/>
        <v>100</v>
      </c>
      <c r="X44" s="1352"/>
      <c r="Y44" s="3786"/>
      <c r="Z44" s="1353">
        <f t="shared" si="13"/>
        <v>111</v>
      </c>
      <c r="AA44" s="1350">
        <f t="shared" si="3"/>
        <v>1</v>
      </c>
      <c r="AB44" s="1350">
        <f t="shared" si="4"/>
        <v>1</v>
      </c>
      <c r="AC44" s="1350">
        <f t="shared" si="5"/>
        <v>1</v>
      </c>
    </row>
    <row r="45" spans="1:29" s="422" customFormat="1" ht="15.6"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86"/>
      <c r="Q45" s="1349">
        <f t="shared" si="14"/>
        <v>111</v>
      </c>
      <c r="R45" s="708" t="s">
        <v>14</v>
      </c>
      <c r="S45" s="709">
        <f t="shared" si="10"/>
        <v>100</v>
      </c>
      <c r="T45" s="708" t="s">
        <v>14</v>
      </c>
      <c r="U45" s="709">
        <f t="shared" si="11"/>
        <v>100</v>
      </c>
      <c r="V45" s="708" t="s">
        <v>14</v>
      </c>
      <c r="W45" s="709">
        <f t="shared" si="12"/>
        <v>100</v>
      </c>
      <c r="X45" s="710"/>
      <c r="Y45" s="3786"/>
      <c r="Z45" s="711">
        <f t="shared" si="13"/>
        <v>111</v>
      </c>
      <c r="AA45" s="1350">
        <f t="shared" si="3"/>
        <v>1</v>
      </c>
      <c r="AB45" s="1350">
        <f t="shared" si="4"/>
        <v>1</v>
      </c>
      <c r="AC45" s="1350">
        <f t="shared" si="5"/>
        <v>1</v>
      </c>
    </row>
    <row r="46" spans="1:29" ht="14.4">
      <c r="A46" s="430" t="s">
        <v>1842</v>
      </c>
      <c r="B46" s="1979" t="s">
        <v>1877</v>
      </c>
      <c r="C46" s="630" t="s">
        <v>0</v>
      </c>
      <c r="D46" s="432"/>
      <c r="E46" s="433"/>
      <c r="F46" s="434"/>
      <c r="G46" s="435"/>
      <c r="H46" s="436"/>
      <c r="I46" s="433"/>
      <c r="J46" s="436"/>
      <c r="K46" s="714"/>
      <c r="L46" s="2721"/>
      <c r="M46" s="2722"/>
      <c r="N46" s="2713"/>
      <c r="O46" s="2722"/>
      <c r="P46" s="3779" t="str">
        <f>A46</f>
        <v>成交单价</v>
      </c>
      <c r="Q46" s="3779"/>
      <c r="R46" s="3810">
        <f>E46</f>
        <v>0</v>
      </c>
      <c r="S46" s="3810"/>
      <c r="T46" s="3810">
        <f>G46</f>
        <v>0</v>
      </c>
      <c r="U46" s="3810"/>
      <c r="V46" s="3810">
        <f>I46</f>
        <v>0</v>
      </c>
      <c r="W46" s="3810"/>
      <c r="X46" s="690"/>
      <c r="Y46" s="712"/>
      <c r="Z46" s="690"/>
      <c r="AA46" s="690"/>
      <c r="AB46" s="690"/>
      <c r="AC46" s="690"/>
    </row>
    <row r="47" spans="1:29" ht="15" thickBot="1">
      <c r="A47" s="437" t="s">
        <v>1791</v>
      </c>
      <c r="B47" s="631"/>
      <c r="C47" s="440" t="e">
        <f>R48</f>
        <v>#DIV/0!</v>
      </c>
      <c r="D47" s="2314" t="s">
        <v>2135</v>
      </c>
      <c r="E47" s="440" t="e">
        <f>R47</f>
        <v>#DIV/0!</v>
      </c>
      <c r="F47" s="2315"/>
      <c r="G47" s="439" t="e">
        <f>T47</f>
        <v>#DIV/0!</v>
      </c>
      <c r="H47" s="2315"/>
      <c r="I47" s="440" t="e">
        <f>V47</f>
        <v>#DIV/0!</v>
      </c>
      <c r="J47" s="2315"/>
      <c r="K47" s="2317">
        <f>F47+H47+J47</f>
        <v>0</v>
      </c>
      <c r="L47" s="2721"/>
      <c r="M47" s="2722"/>
      <c r="N47" s="2722"/>
      <c r="O47" s="2722"/>
      <c r="P47" s="3779" t="str">
        <f>A47</f>
        <v>比较价值（元/平方米）</v>
      </c>
      <c r="Q47" s="3779"/>
      <c r="R47" s="3839" t="e">
        <f>ROUND(PRODUCT(R46,AA7:AA45),0)</f>
        <v>#DIV/0!</v>
      </c>
      <c r="S47" s="3839"/>
      <c r="T47" s="3839" t="e">
        <f>ROUND(PRODUCT(T46,AB7:AB45),0)</f>
        <v>#DIV/0!</v>
      </c>
      <c r="U47" s="3839"/>
      <c r="V47" s="3839" t="e">
        <f>ROUND(PRODUCT(V46,AC7:AC45),0)</f>
        <v>#DIV/0!</v>
      </c>
      <c r="W47" s="3839"/>
      <c r="X47" s="690"/>
      <c r="Y47" s="690"/>
      <c r="Z47" s="690"/>
      <c r="AA47" s="690"/>
      <c r="AB47" s="690"/>
      <c r="AC47" s="690"/>
    </row>
    <row r="48" spans="1:29" ht="15" thickBot="1">
      <c r="A48" s="441" t="s">
        <v>1878</v>
      </c>
      <c r="B48" s="442"/>
      <c r="C48" s="443" t="e">
        <f>R48</f>
        <v>#DIV/0!</v>
      </c>
      <c r="D48" s="443"/>
      <c r="E48" s="443"/>
      <c r="F48" s="443"/>
      <c r="G48" s="443"/>
      <c r="H48" s="443"/>
      <c r="I48" s="443"/>
      <c r="J48" s="443"/>
      <c r="K48" s="715"/>
      <c r="L48" s="2721"/>
      <c r="M48" s="2722"/>
      <c r="N48" s="2722"/>
      <c r="O48" s="2722"/>
      <c r="P48" s="3776" t="str">
        <f>A48</f>
        <v>估价对象XX用房的比较价值（楼面单价，元/平方米）</v>
      </c>
      <c r="Q48" s="3777"/>
      <c r="R48" s="3840" t="e">
        <f>ROUND(IF(D47="简单平均",AVERAGE(R47:W47),R47*F47+T47*H47+V47*J47),0)</f>
        <v>#DIV/0!</v>
      </c>
      <c r="S48" s="3840"/>
      <c r="T48" s="3840"/>
      <c r="U48" s="3840"/>
      <c r="V48" s="3840"/>
      <c r="W48" s="3840"/>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1879</v>
      </c>
      <c r="B55" s="633" t="s">
        <v>1880</v>
      </c>
      <c r="C55" s="1980" t="s">
        <v>1881</v>
      </c>
      <c r="D55" s="1981" t="s">
        <v>1882</v>
      </c>
      <c r="E55" s="634" t="s">
        <v>1883</v>
      </c>
      <c r="F55" s="887" t="s">
        <v>1884</v>
      </c>
      <c r="G55" s="3794" t="s">
        <v>1885</v>
      </c>
      <c r="H55" s="3841"/>
      <c r="I55" s="135" t="s">
        <v>1886</v>
      </c>
      <c r="J55" s="1982">
        <f>项目基本情况!F35</f>
        <v>0</v>
      </c>
      <c r="K55" s="1983" t="s">
        <v>1887</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1888</v>
      </c>
      <c r="B56" s="637" t="e">
        <f>C48</f>
        <v>#DIV/0!</v>
      </c>
      <c r="C56" s="638">
        <v>1</v>
      </c>
      <c r="D56" s="941">
        <v>1</v>
      </c>
      <c r="E56" s="638">
        <f>'数据-汇总表'!E8+'数据-汇总表'!E9</f>
        <v>66617.25</v>
      </c>
      <c r="F56" s="883" t="e">
        <f t="shared" ref="F56:F64" si="15">ROUND(B56*E56/10000,0)</f>
        <v>#DIV/0!</v>
      </c>
      <c r="G56" s="3790"/>
      <c r="H56" s="3779"/>
      <c r="I56" s="888">
        <v>1</v>
      </c>
      <c r="J56" s="891">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1889</v>
      </c>
      <c r="B57" s="218" t="e">
        <f>ROUND($C$48*C57*D57,0)</f>
        <v>#DIV/0!</v>
      </c>
      <c r="C57" s="171">
        <f t="shared" ref="C57:C64" si="16">IF($C$55="北京市系数",I57,J57)</f>
        <v>0.6</v>
      </c>
      <c r="D57" s="942">
        <v>0.25</v>
      </c>
      <c r="E57" s="642"/>
      <c r="F57" s="883" t="e">
        <f t="shared" si="15"/>
        <v>#DIV/0!</v>
      </c>
      <c r="G57" s="3003" t="s">
        <v>1890</v>
      </c>
      <c r="H57" s="884" t="str">
        <f>项目基本情况!B37</f>
        <v>三级</v>
      </c>
      <c r="I57" s="888">
        <f>SUMIF(修正!A57:A68,H57,修正!B57:B68)</f>
        <v>0.6</v>
      </c>
      <c r="J57" s="892"/>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1891</v>
      </c>
      <c r="B58" s="218" t="e">
        <f t="shared" ref="B58:B64" si="17">ROUND($C$48*C58*D58,0)</f>
        <v>#DIV/0!</v>
      </c>
      <c r="C58" s="171">
        <f t="shared" si="16"/>
        <v>0.3</v>
      </c>
      <c r="D58" s="942">
        <v>0.25</v>
      </c>
      <c r="E58" s="642"/>
      <c r="F58" s="883" t="e">
        <f t="shared" si="15"/>
        <v>#DIV/0!</v>
      </c>
      <c r="G58" s="3004"/>
      <c r="H58" s="884" t="str">
        <f>项目基本情况!B37</f>
        <v>三级</v>
      </c>
      <c r="I58" s="888">
        <f>SUMIF(修正!A57:A68,H58,修正!C57:C68)</f>
        <v>0.3</v>
      </c>
      <c r="J58" s="892"/>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1892</v>
      </c>
      <c r="B59" s="218" t="e">
        <f t="shared" si="17"/>
        <v>#DIV/0!</v>
      </c>
      <c r="C59" s="171">
        <f t="shared" si="16"/>
        <v>0.25</v>
      </c>
      <c r="D59" s="942">
        <v>0.25</v>
      </c>
      <c r="E59" s="642"/>
      <c r="F59" s="883" t="e">
        <f t="shared" si="15"/>
        <v>#DIV/0!</v>
      </c>
      <c r="G59" s="3004"/>
      <c r="H59" s="884" t="str">
        <f>项目基本情况!B37</f>
        <v>三级</v>
      </c>
      <c r="I59" s="888">
        <f>SUMIF(修正!A57:A68,H59,修正!D57:D68)</f>
        <v>0.25</v>
      </c>
      <c r="J59" s="892"/>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1893</v>
      </c>
      <c r="B60" s="218" t="e">
        <f t="shared" si="17"/>
        <v>#DIV/0!</v>
      </c>
      <c r="C60" s="171">
        <f t="shared" si="16"/>
        <v>0.3</v>
      </c>
      <c r="D60" s="942">
        <v>0.25</v>
      </c>
      <c r="E60" s="217">
        <f>'数据-汇总表'!E11</f>
        <v>7419.8799999999983</v>
      </c>
      <c r="F60" s="883" t="e">
        <f t="shared" si="15"/>
        <v>#DIV/0!</v>
      </c>
      <c r="G60" s="1984" t="s">
        <v>1894</v>
      </c>
      <c r="H60" s="884" t="str">
        <f>项目基本情况!C37</f>
        <v>二级</v>
      </c>
      <c r="I60" s="888">
        <f>SUMIF(修正!A57:A68,H60,修正!E57:E68)</f>
        <v>0.3</v>
      </c>
      <c r="J60" s="892"/>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1895</v>
      </c>
      <c r="B61" s="218" t="e">
        <f t="shared" si="17"/>
        <v>#DIV/0!</v>
      </c>
      <c r="C61" s="171">
        <f t="shared" si="16"/>
        <v>0.3</v>
      </c>
      <c r="D61" s="942">
        <v>0.25</v>
      </c>
      <c r="E61" s="217">
        <f>'数据-汇总表'!E12</f>
        <v>2679.84</v>
      </c>
      <c r="F61" s="883" t="e">
        <f t="shared" si="15"/>
        <v>#DIV/0!</v>
      </c>
      <c r="G61" s="889" t="s">
        <v>1896</v>
      </c>
      <c r="H61" s="884" t="str">
        <f>IF(G61="商业",项目基本情况!B37,IF(G61="办公",项目基本情况!C37,IF(G61="住宅",项目基本情况!D37,项目基本情况!E37)))</f>
        <v>二级</v>
      </c>
      <c r="I61" s="888">
        <f>SUMIF(修正!A57:A68,H61,修正!F57:F68)</f>
        <v>0.3</v>
      </c>
      <c r="J61" s="892"/>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1897</v>
      </c>
      <c r="B62" s="218" t="e">
        <f t="shared" si="17"/>
        <v>#DIV/0!</v>
      </c>
      <c r="C62" s="171">
        <f t="shared" si="16"/>
        <v>0</v>
      </c>
      <c r="D62" s="942">
        <v>0.25</v>
      </c>
      <c r="E62" s="217">
        <f>'数据-汇总表'!E13</f>
        <v>10131.459999999992</v>
      </c>
      <c r="F62" s="883" t="e">
        <f t="shared" si="15"/>
        <v>#DIV/0!</v>
      </c>
      <c r="G62" s="889" t="s">
        <v>1898</v>
      </c>
      <c r="H62" s="884">
        <f>IF(G62="商业",项目基本情况!B37,IF(G62="办公",项目基本情况!C37,IF(G62="住宅",项目基本情况!D37,项目基本情况!E37)))</f>
        <v>0</v>
      </c>
      <c r="I62" s="888">
        <f>SUMIF(修正!A57:A68,H62,修正!G57:G68)</f>
        <v>0</v>
      </c>
      <c r="J62" s="892"/>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1899</v>
      </c>
      <c r="B63" s="218" t="e">
        <f t="shared" si="17"/>
        <v>#DIV/0!</v>
      </c>
      <c r="C63" s="171">
        <f t="shared" si="16"/>
        <v>0.15</v>
      </c>
      <c r="D63" s="942">
        <v>0.25</v>
      </c>
      <c r="E63" s="217">
        <f>'数据-汇总表'!E14</f>
        <v>0</v>
      </c>
      <c r="F63" s="883" t="e">
        <f t="shared" si="15"/>
        <v>#DIV/0!</v>
      </c>
      <c r="G63" s="1984" t="s">
        <v>1890</v>
      </c>
      <c r="H63" s="884" t="str">
        <f>项目基本情况!B37</f>
        <v>三级</v>
      </c>
      <c r="I63" s="888">
        <f>SUMIF(修正!A57:A68,H63,修正!G57:G68)</f>
        <v>0.15</v>
      </c>
      <c r="J63" s="892"/>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1900</v>
      </c>
      <c r="B64" s="218" t="e">
        <f t="shared" si="17"/>
        <v>#DIV/0!</v>
      </c>
      <c r="C64" s="171">
        <f t="shared" si="16"/>
        <v>0.2</v>
      </c>
      <c r="D64" s="942">
        <v>0.25</v>
      </c>
      <c r="E64" s="217">
        <f>'数据-汇总表'!E15</f>
        <v>0</v>
      </c>
      <c r="F64" s="883" t="e">
        <f t="shared" si="15"/>
        <v>#DIV/0!</v>
      </c>
      <c r="G64" s="1985" t="s">
        <v>1894</v>
      </c>
      <c r="H64" s="894" t="str">
        <f>项目基本情况!C37</f>
        <v>二级</v>
      </c>
      <c r="I64" s="890">
        <f>SUMIF(修正!A57:A68,H64,修正!G57:G68)</f>
        <v>0.2</v>
      </c>
      <c r="J64" s="893"/>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1901</v>
      </c>
      <c r="B65" s="644" t="s">
        <v>22</v>
      </c>
      <c r="C65" s="644" t="s">
        <v>23</v>
      </c>
      <c r="D65" s="644" t="s">
        <v>391</v>
      </c>
      <c r="E65" s="644">
        <f>IF(B46="楼面地价",SUM(E56:E64),'数据-汇总表'!D3)</f>
        <v>86848.43</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4"/>
      <c r="K66" s="885"/>
      <c r="L66" s="886"/>
      <c r="M66" s="924"/>
      <c r="N66" s="924"/>
      <c r="O66" s="924"/>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2024-1-1</v>
      </c>
      <c r="D67" s="692">
        <f>EDATE(C67,-3)</f>
        <v>45200</v>
      </c>
      <c r="E67" s="692">
        <f>EDATE(D67,-3)</f>
        <v>45108</v>
      </c>
      <c r="F67" s="692">
        <f t="shared" ref="F67:O67" si="18">EDATE(E67,-3)</f>
        <v>45017</v>
      </c>
      <c r="G67" s="692">
        <f t="shared" si="18"/>
        <v>44927</v>
      </c>
      <c r="H67" s="692">
        <f t="shared" si="18"/>
        <v>44835</v>
      </c>
      <c r="I67" s="692">
        <f t="shared" si="18"/>
        <v>44743</v>
      </c>
      <c r="J67" s="692">
        <f t="shared" si="18"/>
        <v>44652</v>
      </c>
      <c r="K67" s="692">
        <f t="shared" si="18"/>
        <v>44562</v>
      </c>
      <c r="L67" s="692">
        <f t="shared" si="18"/>
        <v>44470</v>
      </c>
      <c r="M67" s="692">
        <f t="shared" si="18"/>
        <v>44378</v>
      </c>
      <c r="N67" s="692">
        <f t="shared" si="18"/>
        <v>44287</v>
      </c>
      <c r="O67" s="692">
        <f t="shared" si="18"/>
        <v>44197</v>
      </c>
      <c r="P67" s="2722"/>
      <c r="Q67" s="2722"/>
      <c r="R67" s="2722"/>
      <c r="S67" s="2722"/>
      <c r="T67" s="2722"/>
      <c r="U67" s="2722"/>
      <c r="V67" s="2722"/>
      <c r="W67" s="2722"/>
      <c r="X67" s="2722"/>
      <c r="Y67" s="2722"/>
      <c r="Z67" s="2722"/>
      <c r="AA67" s="2722"/>
      <c r="AB67" s="2722"/>
      <c r="AC67" s="2722"/>
    </row>
    <row r="68" spans="1:29" ht="22.2" thickBot="1">
      <c r="A68" s="694" t="s">
        <v>1796</v>
      </c>
      <c r="B68" s="690"/>
      <c r="C68" s="695"/>
      <c r="D68" s="695"/>
      <c r="E68" s="695"/>
      <c r="F68" s="696"/>
      <c r="G68" s="696"/>
      <c r="H68" s="695"/>
      <c r="I68" s="695"/>
      <c r="J68" s="937"/>
      <c r="K68" s="938"/>
      <c r="L68" s="939"/>
      <c r="M68" s="937"/>
      <c r="N68" s="2766"/>
      <c r="O68" s="2766"/>
      <c r="P68" s="2766"/>
      <c r="Q68" s="2736"/>
      <c r="R68" s="2722"/>
      <c r="S68" s="2722"/>
      <c r="T68" s="2722"/>
      <c r="U68" s="2722"/>
      <c r="V68" s="2722"/>
      <c r="W68" s="2722"/>
      <c r="X68" s="2722"/>
      <c r="Y68" s="2722"/>
      <c r="Z68" s="2722"/>
      <c r="AA68" s="2722"/>
      <c r="AB68" s="2722"/>
      <c r="AC68" s="2722"/>
    </row>
    <row r="69" spans="1:29" s="457" customFormat="1" ht="14.4">
      <c r="A69" s="1986" t="s">
        <v>1902</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1903</v>
      </c>
      <c r="B70" s="288" t="str">
        <f>"北京市平均增长率"&amp;TEXT(SUMIF('基准地价修正-办公'!N25:N29,A70,'基准地价修正-办公'!P25:P29),"0.00%")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 thickBot="1">
      <c r="A71" s="464" t="s">
        <v>1714</v>
      </c>
      <c r="B71" s="465"/>
      <c r="C71" s="466"/>
      <c r="D71" s="467"/>
      <c r="E71" s="467"/>
      <c r="F71" s="467"/>
      <c r="G71" s="467"/>
      <c r="H71" s="467"/>
      <c r="I71" s="467"/>
      <c r="J71" s="467"/>
      <c r="K71" s="467"/>
      <c r="L71" s="467"/>
      <c r="M71" s="468"/>
      <c r="N71" s="467"/>
      <c r="O71" s="940"/>
      <c r="P71" s="2736"/>
      <c r="Q71" s="2736"/>
      <c r="R71" s="2658"/>
      <c r="S71" s="2658"/>
      <c r="T71" s="2658"/>
      <c r="U71" s="2658"/>
      <c r="V71" s="2658"/>
      <c r="W71" s="2658"/>
      <c r="X71" s="2658"/>
      <c r="Y71" s="2658"/>
      <c r="Z71" s="2658"/>
      <c r="AA71" s="2658"/>
      <c r="AB71" s="2658"/>
      <c r="AC71" s="2658"/>
    </row>
    <row r="72" spans="1:29" s="108" customFormat="1" ht="14.4">
      <c r="A72" s="470" t="s">
        <v>1679</v>
      </c>
      <c r="B72" s="459"/>
      <c r="C72" s="471" t="s">
        <v>1774</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1717</v>
      </c>
      <c r="B74" s="477" t="s">
        <v>1683</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1686</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1688</v>
      </c>
      <c r="B87" s="477" t="s">
        <v>1718</v>
      </c>
      <c r="C87" s="522" t="s">
        <v>1719</v>
      </c>
      <c r="D87" s="522" t="s">
        <v>1720</v>
      </c>
      <c r="E87" s="522" t="s">
        <v>1721</v>
      </c>
      <c r="F87" s="522" t="s">
        <v>1722</v>
      </c>
      <c r="G87" s="522" t="s">
        <v>1723</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1904</v>
      </c>
      <c r="C89" s="527" t="s">
        <v>1719</v>
      </c>
      <c r="D89" s="527" t="s">
        <v>1720</v>
      </c>
      <c r="E89" s="527" t="s">
        <v>1721</v>
      </c>
      <c r="F89" s="527" t="s">
        <v>1722</v>
      </c>
      <c r="G89" s="527" t="s">
        <v>1723</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1819</v>
      </c>
      <c r="C91" s="527" t="s">
        <v>1719</v>
      </c>
      <c r="D91" s="527" t="s">
        <v>1720</v>
      </c>
      <c r="E91" s="527" t="s">
        <v>1721</v>
      </c>
      <c r="F91" s="527" t="s">
        <v>1722</v>
      </c>
      <c r="G91" s="527" t="s">
        <v>1723</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1724</v>
      </c>
      <c r="C93" s="527" t="s">
        <v>1719</v>
      </c>
      <c r="D93" s="527" t="s">
        <v>1720</v>
      </c>
      <c r="E93" s="527" t="s">
        <v>1721</v>
      </c>
      <c r="F93" s="527" t="s">
        <v>1722</v>
      </c>
      <c r="G93" s="527" t="s">
        <v>1723</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1905</v>
      </c>
      <c r="C95" s="527" t="s">
        <v>1719</v>
      </c>
      <c r="D95" s="527" t="s">
        <v>1720</v>
      </c>
      <c r="E95" s="527" t="s">
        <v>1721</v>
      </c>
      <c r="F95" s="527" t="s">
        <v>1722</v>
      </c>
      <c r="G95" s="527" t="s">
        <v>1723</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1906</v>
      </c>
      <c r="C97" s="522" t="s">
        <v>1719</v>
      </c>
      <c r="D97" s="522" t="s">
        <v>1720</v>
      </c>
      <c r="E97" s="522" t="s">
        <v>1721</v>
      </c>
      <c r="F97" s="522" t="s">
        <v>1722</v>
      </c>
      <c r="G97" s="522" t="s">
        <v>1723</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1776</v>
      </c>
      <c r="C99" s="522" t="s">
        <v>1719</v>
      </c>
      <c r="D99" s="522" t="s">
        <v>1720</v>
      </c>
      <c r="E99" s="522" t="s">
        <v>1721</v>
      </c>
      <c r="F99" s="522" t="s">
        <v>1722</v>
      </c>
      <c r="G99" s="522" t="s">
        <v>1723</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1777</v>
      </c>
      <c r="C101" s="608" t="s">
        <v>1797</v>
      </c>
      <c r="D101" s="608" t="s">
        <v>1798</v>
      </c>
      <c r="E101" s="608" t="s">
        <v>1799</v>
      </c>
      <c r="F101" s="608" t="s">
        <v>1800</v>
      </c>
      <c r="G101" s="608" t="s">
        <v>1801</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1907</v>
      </c>
      <c r="D103" s="488" t="s">
        <v>1908</v>
      </c>
      <c r="E103" s="488" t="s">
        <v>1909</v>
      </c>
      <c r="F103" s="488" t="s">
        <v>1910</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1813</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1871</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1912</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1913</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1914</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1915</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8" priority="18" stopIfTrue="1" operator="containsText" text="超过">
      <formula>NOT(ISERROR(SEARCH("超过",F51)))</formula>
    </cfRule>
  </conditionalFormatting>
  <conditionalFormatting sqref="J53">
    <cfRule type="containsText" dxfId="47" priority="17" stopIfTrue="1" operator="containsText" text="超过">
      <formula>NOT(ISERROR(SEARCH("超过",J53)))</formula>
    </cfRule>
  </conditionalFormatting>
  <conditionalFormatting sqref="H53">
    <cfRule type="containsText" dxfId="46" priority="16" stopIfTrue="1" operator="containsText" text="超过">
      <formula>NOT(ISERROR(SEARCH("超过",H53)))</formula>
    </cfRule>
  </conditionalFormatting>
  <conditionalFormatting sqref="F53">
    <cfRule type="containsText" dxfId="45" priority="15" stopIfTrue="1" operator="containsText" text="超过">
      <formula>NOT(ISERROR(SEARCH("超过",F53)))</formula>
    </cfRule>
  </conditionalFormatting>
  <conditionalFormatting sqref="F52 H52 J52">
    <cfRule type="containsText" dxfId="44" priority="14" stopIfTrue="1" operator="containsText" text="超过">
      <formula>NOT(ISERROR(SEARCH("超过",F52)))</formula>
    </cfRule>
  </conditionalFormatting>
  <conditionalFormatting sqref="E51">
    <cfRule type="expression" dxfId="43" priority="13" stopIfTrue="1">
      <formula>$F$51="超过30%"</formula>
    </cfRule>
  </conditionalFormatting>
  <conditionalFormatting sqref="G53">
    <cfRule type="expression" dxfId="42" priority="12" stopIfTrue="1">
      <formula>$H$53="超过30%"</formula>
    </cfRule>
  </conditionalFormatting>
  <conditionalFormatting sqref="E52">
    <cfRule type="expression" dxfId="41" priority="11" stopIfTrue="1">
      <formula>$F$52="超过20%"</formula>
    </cfRule>
  </conditionalFormatting>
  <conditionalFormatting sqref="E53">
    <cfRule type="expression" dxfId="40" priority="10" stopIfTrue="1">
      <formula>$F$53="超过30%"</formula>
    </cfRule>
  </conditionalFormatting>
  <conditionalFormatting sqref="G51">
    <cfRule type="expression" dxfId="39" priority="9" stopIfTrue="1">
      <formula>$H$53+$H$51="超过30%"</formula>
    </cfRule>
  </conditionalFormatting>
  <conditionalFormatting sqref="G52">
    <cfRule type="expression" dxfId="38" priority="8" stopIfTrue="1">
      <formula>$H$52="超过20%"</formula>
    </cfRule>
  </conditionalFormatting>
  <conditionalFormatting sqref="I51">
    <cfRule type="expression" dxfId="37" priority="7" stopIfTrue="1">
      <formula>$J$51="超过30%"</formula>
    </cfRule>
  </conditionalFormatting>
  <conditionalFormatting sqref="I52">
    <cfRule type="expression" dxfId="36" priority="6" stopIfTrue="1">
      <formula>$J$52="超过20%"</formula>
    </cfRule>
  </conditionalFormatting>
  <conditionalFormatting sqref="I53">
    <cfRule type="expression" dxfId="35" priority="5" stopIfTrue="1">
      <formula>$J$53="超过30%"</formula>
    </cfRule>
  </conditionalFormatting>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F7:F45 H7:H45 J7:J45">
    <cfRule type="cellIs" dxfId="3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5"/>
      <c r="D2" s="905"/>
      <c r="E2" s="905"/>
      <c r="F2" s="906"/>
      <c r="G2" s="905"/>
      <c r="H2" s="905"/>
      <c r="I2" s="905"/>
      <c r="J2" s="905"/>
      <c r="K2" s="907"/>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0"/>
      <c r="E3" s="905"/>
      <c r="F3" s="906"/>
      <c r="G3" s="905"/>
      <c r="H3" s="905"/>
      <c r="I3" s="905"/>
      <c r="J3" s="905"/>
      <c r="K3" s="907"/>
      <c r="L3" s="2731"/>
      <c r="M3" s="2732"/>
      <c r="N3" s="2732"/>
      <c r="O3" s="2732"/>
      <c r="P3" s="699"/>
      <c r="Q3" s="699"/>
      <c r="R3" s="699"/>
      <c r="S3" s="699"/>
      <c r="T3" s="699"/>
      <c r="U3" s="699"/>
      <c r="V3" s="699"/>
      <c r="W3" s="699"/>
      <c r="X3" s="699"/>
      <c r="Y3" s="699"/>
      <c r="Z3" s="699"/>
      <c r="AA3" s="699"/>
      <c r="AB3" s="716"/>
      <c r="AC3" s="713"/>
    </row>
    <row r="4" spans="1:29" ht="14.4">
      <c r="A4" s="355" t="s">
        <v>1767</v>
      </c>
      <c r="B4" s="356"/>
      <c r="C4" s="3794" t="s">
        <v>1768</v>
      </c>
      <c r="D4" s="3795"/>
      <c r="E4" s="3796" t="s">
        <v>1769</v>
      </c>
      <c r="F4" s="3797"/>
      <c r="G4" s="3794" t="s">
        <v>1770</v>
      </c>
      <c r="H4" s="3795"/>
      <c r="I4" s="3794" t="s">
        <v>1771</v>
      </c>
      <c r="J4" s="3795"/>
      <c r="K4" s="559" t="s">
        <v>1772</v>
      </c>
      <c r="L4" s="2712"/>
      <c r="M4" s="2713"/>
      <c r="N4" s="2713"/>
      <c r="O4" s="2713"/>
      <c r="P4" s="3798" t="s">
        <v>1773</v>
      </c>
      <c r="Q4" s="3799"/>
      <c r="R4" s="3804" t="s">
        <v>1769</v>
      </c>
      <c r="S4" s="3805"/>
      <c r="T4" s="3804" t="s">
        <v>1770</v>
      </c>
      <c r="U4" s="3805"/>
      <c r="V4" s="3810" t="s">
        <v>1771</v>
      </c>
      <c r="W4" s="3810"/>
      <c r="X4" s="1352"/>
      <c r="Y4" s="3804" t="s">
        <v>1773</v>
      </c>
      <c r="Z4" s="3805"/>
      <c r="AA4" s="3791" t="s">
        <v>1769</v>
      </c>
      <c r="AB4" s="3792" t="s">
        <v>1770</v>
      </c>
      <c r="AC4" s="3791" t="s">
        <v>1771</v>
      </c>
    </row>
    <row r="5" spans="1:29">
      <c r="A5" s="358"/>
      <c r="B5" s="359"/>
      <c r="C5" s="3813" t="s">
        <v>1671</v>
      </c>
      <c r="D5" s="3814"/>
      <c r="E5" s="3820" t="s">
        <v>1672</v>
      </c>
      <c r="F5" s="3821"/>
      <c r="G5" s="3813" t="s">
        <v>1673</v>
      </c>
      <c r="H5" s="3814"/>
      <c r="I5" s="3813" t="s">
        <v>1674</v>
      </c>
      <c r="J5" s="3814"/>
      <c r="K5" s="559"/>
      <c r="L5" s="2712"/>
      <c r="M5" s="2713"/>
      <c r="N5" s="2713"/>
      <c r="O5" s="2713"/>
      <c r="P5" s="3800"/>
      <c r="Q5" s="3801"/>
      <c r="R5" s="3806"/>
      <c r="S5" s="3807"/>
      <c r="T5" s="3806"/>
      <c r="U5" s="3807"/>
      <c r="V5" s="3810"/>
      <c r="W5" s="3810"/>
      <c r="X5" s="1352"/>
      <c r="Y5" s="3806"/>
      <c r="Z5" s="3807"/>
      <c r="AA5" s="3792"/>
      <c r="AB5" s="3792"/>
      <c r="AC5" s="3792"/>
    </row>
    <row r="6" spans="1:29" ht="15" thickBot="1">
      <c r="A6" s="360"/>
      <c r="B6" s="361"/>
      <c r="C6" s="3842" t="s">
        <v>1917</v>
      </c>
      <c r="D6" s="3843"/>
      <c r="E6" s="3844" t="s">
        <v>1917</v>
      </c>
      <c r="F6" s="3845"/>
      <c r="G6" s="3842" t="s">
        <v>1917</v>
      </c>
      <c r="H6" s="3843"/>
      <c r="I6" s="3842" t="s">
        <v>1917</v>
      </c>
      <c r="J6" s="3843"/>
      <c r="K6" s="559" t="s">
        <v>1676</v>
      </c>
      <c r="L6" s="2712"/>
      <c r="M6" s="2713"/>
      <c r="N6" s="2713"/>
      <c r="O6" s="2713"/>
      <c r="P6" s="3802"/>
      <c r="Q6" s="3803"/>
      <c r="R6" s="3806"/>
      <c r="S6" s="3807"/>
      <c r="T6" s="3808"/>
      <c r="U6" s="3809"/>
      <c r="V6" s="3810"/>
      <c r="W6" s="3810"/>
      <c r="X6" s="1352"/>
      <c r="Y6" s="3808"/>
      <c r="Z6" s="3809"/>
      <c r="AA6" s="3793"/>
      <c r="AB6" s="3793"/>
      <c r="AC6" s="3793"/>
    </row>
    <row r="7" spans="1:29" s="108" customFormat="1" ht="15" thickBot="1">
      <c r="A7" s="362" t="s">
        <v>1677</v>
      </c>
      <c r="B7" s="363"/>
      <c r="C7" s="364">
        <f>'数据-取费表'!B2</f>
        <v>45295</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815" t="s">
        <v>1678</v>
      </c>
      <c r="Q7" s="3817"/>
      <c r="R7" s="701" t="s">
        <v>14</v>
      </c>
      <c r="S7" s="702">
        <f t="shared" ref="S7:S15" si="0">F7</f>
        <v>0</v>
      </c>
      <c r="T7" s="701" t="s">
        <v>14</v>
      </c>
      <c r="U7" s="702">
        <f t="shared" ref="U7:U15" si="1">H7</f>
        <v>0</v>
      </c>
      <c r="V7" s="701" t="s">
        <v>14</v>
      </c>
      <c r="W7" s="702">
        <f t="shared" ref="W7:W15" si="2">J7</f>
        <v>0</v>
      </c>
      <c r="X7" s="703"/>
      <c r="Y7" s="3815" t="s">
        <v>1678</v>
      </c>
      <c r="Z7" s="3816"/>
      <c r="AA7" s="704" t="e">
        <f>D7/F7</f>
        <v>#DIV/0!</v>
      </c>
      <c r="AB7" s="704" t="e">
        <f>D7/H7</f>
        <v>#DIV/0!</v>
      </c>
      <c r="AC7" s="704" t="e">
        <f>D7/J7</f>
        <v>#DIV/0!</v>
      </c>
    </row>
    <row r="8" spans="1:29" s="108" customFormat="1" ht="1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815" t="s">
        <v>1681</v>
      </c>
      <c r="Q8" s="3816"/>
      <c r="R8" s="701" t="s">
        <v>14</v>
      </c>
      <c r="S8" s="702">
        <f t="shared" si="0"/>
        <v>0</v>
      </c>
      <c r="T8" s="701" t="s">
        <v>14</v>
      </c>
      <c r="U8" s="702">
        <f t="shared" si="1"/>
        <v>0</v>
      </c>
      <c r="V8" s="701" t="s">
        <v>14</v>
      </c>
      <c r="W8" s="702">
        <f t="shared" si="2"/>
        <v>0</v>
      </c>
      <c r="X8" s="703"/>
      <c r="Y8" s="3815" t="s">
        <v>1681</v>
      </c>
      <c r="Z8" s="3816"/>
      <c r="AA8" s="704" t="e">
        <f t="shared" ref="AA8:AA40" si="3">D8/F8</f>
        <v>#DIV/0!</v>
      </c>
      <c r="AB8" s="704" t="e">
        <f t="shared" ref="AB8:AB40" si="4">D8/H8</f>
        <v>#DIV/0!</v>
      </c>
      <c r="AC8" s="704" t="e">
        <f t="shared" ref="AC8:AC40" si="5">D8/J8</f>
        <v>#DIV/0!</v>
      </c>
    </row>
    <row r="9" spans="1:29" s="108" customFormat="1" ht="14.4">
      <c r="A9" s="369" t="s">
        <v>1682</v>
      </c>
      <c r="B9" s="63" t="s">
        <v>1683</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779" t="s">
        <v>1684</v>
      </c>
      <c r="Q9" s="1340" t="str">
        <f t="shared" ref="Q9:Q15" si="6">B9</f>
        <v>用途</v>
      </c>
      <c r="R9" s="701" t="s">
        <v>14</v>
      </c>
      <c r="S9" s="702">
        <f t="shared" si="0"/>
        <v>100</v>
      </c>
      <c r="T9" s="701" t="s">
        <v>14</v>
      </c>
      <c r="U9" s="702">
        <f t="shared" si="1"/>
        <v>100</v>
      </c>
      <c r="V9" s="701" t="s">
        <v>14</v>
      </c>
      <c r="W9" s="702">
        <f t="shared" si="2"/>
        <v>100</v>
      </c>
      <c r="X9" s="703"/>
      <c r="Y9" s="3654" t="s">
        <v>1685</v>
      </c>
      <c r="Z9" s="52" t="str">
        <f t="shared" ref="Z9:Z15" si="7">Q9</f>
        <v>用途</v>
      </c>
      <c r="AA9" s="704">
        <f t="shared" si="3"/>
        <v>1</v>
      </c>
      <c r="AB9" s="704">
        <f t="shared" si="4"/>
        <v>1</v>
      </c>
      <c r="AC9" s="704">
        <f t="shared" si="5"/>
        <v>1</v>
      </c>
    </row>
    <row r="10" spans="1:29" s="378" customFormat="1" ht="28.8">
      <c r="A10" s="374"/>
      <c r="B10" s="375" t="s">
        <v>1686</v>
      </c>
      <c r="C10" s="383"/>
      <c r="D10" s="127">
        <v>100</v>
      </c>
      <c r="E10" s="383"/>
      <c r="F10" s="127">
        <f>ROUND(100/'数据-取费表'!G16,0)</f>
        <v>124</v>
      </c>
      <c r="G10" s="383"/>
      <c r="H10" s="127">
        <f>ROUND(100/'数据-取费表'!G16,0)</f>
        <v>124</v>
      </c>
      <c r="I10" s="383"/>
      <c r="J10" s="127">
        <f>ROUND(100/'数据-取费表'!G16,0)</f>
        <v>124</v>
      </c>
      <c r="K10" s="620"/>
      <c r="L10" s="2716"/>
      <c r="M10" s="2717"/>
      <c r="N10" s="2717"/>
      <c r="O10" s="2770"/>
      <c r="P10" s="3779"/>
      <c r="Q10" s="1340" t="str">
        <f t="shared" si="6"/>
        <v>土地使用年限（年）</v>
      </c>
      <c r="R10" s="701" t="s">
        <v>14</v>
      </c>
      <c r="S10" s="702">
        <f t="shared" si="0"/>
        <v>124</v>
      </c>
      <c r="T10" s="701" t="s">
        <v>14</v>
      </c>
      <c r="U10" s="702">
        <f t="shared" si="1"/>
        <v>124</v>
      </c>
      <c r="V10" s="701" t="s">
        <v>14</v>
      </c>
      <c r="W10" s="702">
        <f t="shared" si="2"/>
        <v>124</v>
      </c>
      <c r="X10" s="703"/>
      <c r="Y10" s="3654"/>
      <c r="Z10" s="52" t="str">
        <f t="shared" si="7"/>
        <v>土地使用年限（年）</v>
      </c>
      <c r="AA10" s="704">
        <f t="shared" si="3"/>
        <v>0.80645161290322576</v>
      </c>
      <c r="AB10" s="704">
        <f t="shared" si="4"/>
        <v>0.80645161290322576</v>
      </c>
      <c r="AC10" s="704">
        <f t="shared" si="5"/>
        <v>0.80645161290322576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79"/>
      <c r="Q11" s="1340" t="str">
        <f t="shared" si="6"/>
        <v>容积率</v>
      </c>
      <c r="R11" s="701" t="s">
        <v>14</v>
      </c>
      <c r="S11" s="702" t="e">
        <f t="shared" si="0"/>
        <v>#N/A</v>
      </c>
      <c r="T11" s="701" t="s">
        <v>14</v>
      </c>
      <c r="U11" s="702" t="e">
        <f t="shared" si="1"/>
        <v>#N/A</v>
      </c>
      <c r="V11" s="701" t="s">
        <v>14</v>
      </c>
      <c r="W11" s="702" t="e">
        <f t="shared" si="2"/>
        <v>#N/A</v>
      </c>
      <c r="X11" s="703"/>
      <c r="Y11" s="3654"/>
      <c r="Z11" s="52" t="str">
        <f t="shared" si="7"/>
        <v>容积率</v>
      </c>
      <c r="AA11" s="704" t="e">
        <f t="shared" si="3"/>
        <v>#N/A</v>
      </c>
      <c r="AB11" s="704" t="e">
        <f t="shared" si="4"/>
        <v>#N/A</v>
      </c>
      <c r="AC11" s="704"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79"/>
      <c r="Q12" s="1340">
        <f t="shared" si="6"/>
        <v>111</v>
      </c>
      <c r="R12" s="701" t="s">
        <v>14</v>
      </c>
      <c r="S12" s="702">
        <f t="shared" si="0"/>
        <v>100</v>
      </c>
      <c r="T12" s="701" t="s">
        <v>14</v>
      </c>
      <c r="U12" s="702">
        <f t="shared" si="1"/>
        <v>100</v>
      </c>
      <c r="V12" s="701" t="s">
        <v>14</v>
      </c>
      <c r="W12" s="702">
        <f t="shared" si="2"/>
        <v>100</v>
      </c>
      <c r="X12" s="703"/>
      <c r="Y12" s="3654"/>
      <c r="Z12" s="52">
        <f t="shared" si="7"/>
        <v>111</v>
      </c>
      <c r="AA12" s="704">
        <f>D12/F12</f>
        <v>1</v>
      </c>
      <c r="AB12" s="704">
        <f>D12/H12</f>
        <v>1</v>
      </c>
      <c r="AC12" s="704">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79"/>
      <c r="Q13" s="1340">
        <f t="shared" si="6"/>
        <v>111</v>
      </c>
      <c r="R13" s="701" t="s">
        <v>14</v>
      </c>
      <c r="S13" s="702">
        <f t="shared" si="0"/>
        <v>100</v>
      </c>
      <c r="T13" s="701" t="s">
        <v>14</v>
      </c>
      <c r="U13" s="702">
        <f t="shared" si="1"/>
        <v>100</v>
      </c>
      <c r="V13" s="701" t="s">
        <v>14</v>
      </c>
      <c r="W13" s="702">
        <f t="shared" si="2"/>
        <v>100</v>
      </c>
      <c r="X13" s="703"/>
      <c r="Y13" s="3654"/>
      <c r="Z13" s="52">
        <f t="shared" si="7"/>
        <v>111</v>
      </c>
      <c r="AA13" s="704">
        <f t="shared" si="3"/>
        <v>1</v>
      </c>
      <c r="AB13" s="704">
        <f t="shared" si="4"/>
        <v>1</v>
      </c>
      <c r="AC13" s="704">
        <f t="shared" si="5"/>
        <v>1</v>
      </c>
    </row>
    <row r="14" spans="1:29" ht="15.6"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79"/>
      <c r="Q14" s="1340">
        <f t="shared" si="6"/>
        <v>111</v>
      </c>
      <c r="R14" s="701" t="s">
        <v>14</v>
      </c>
      <c r="S14" s="702">
        <f t="shared" si="0"/>
        <v>100</v>
      </c>
      <c r="T14" s="701" t="s">
        <v>14</v>
      </c>
      <c r="U14" s="702">
        <f t="shared" si="1"/>
        <v>100</v>
      </c>
      <c r="V14" s="701" t="s">
        <v>14</v>
      </c>
      <c r="W14" s="702">
        <f t="shared" si="2"/>
        <v>100</v>
      </c>
      <c r="X14" s="703"/>
      <c r="Y14" s="3654"/>
      <c r="Z14" s="52">
        <f t="shared" si="7"/>
        <v>111</v>
      </c>
      <c r="AA14" s="704">
        <f t="shared" si="3"/>
        <v>1</v>
      </c>
      <c r="AB14" s="704">
        <f t="shared" si="4"/>
        <v>1</v>
      </c>
      <c r="AC14" s="704">
        <f t="shared" si="5"/>
        <v>1</v>
      </c>
    </row>
    <row r="15" spans="1:29" ht="69">
      <c r="A15" s="391" t="s">
        <v>1688</v>
      </c>
      <c r="B15" s="577" t="s">
        <v>1918</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81" t="s">
        <v>1689</v>
      </c>
      <c r="Q15" s="1349" t="str">
        <f t="shared" si="6"/>
        <v>产业集聚程度</v>
      </c>
      <c r="R15" s="705" t="s">
        <v>14</v>
      </c>
      <c r="S15" s="706">
        <f t="shared" si="0"/>
        <v>100</v>
      </c>
      <c r="T15" s="705" t="s">
        <v>14</v>
      </c>
      <c r="U15" s="706">
        <f t="shared" si="1"/>
        <v>100</v>
      </c>
      <c r="V15" s="705" t="s">
        <v>14</v>
      </c>
      <c r="W15" s="706">
        <f t="shared" si="2"/>
        <v>100</v>
      </c>
      <c r="X15" s="1352"/>
      <c r="Y15" s="3781" t="s">
        <v>1689</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782"/>
      <c r="Q16" s="1349"/>
      <c r="R16" s="705"/>
      <c r="S16" s="706"/>
      <c r="T16" s="705"/>
      <c r="U16" s="706"/>
      <c r="V16" s="705"/>
      <c r="W16" s="706"/>
      <c r="X16" s="1352"/>
      <c r="Y16" s="3782"/>
      <c r="Z16" s="1353"/>
      <c r="AA16" s="1350">
        <v>1</v>
      </c>
      <c r="AB16" s="1350">
        <v>1</v>
      </c>
      <c r="AC16" s="1350">
        <v>1</v>
      </c>
    </row>
    <row r="17" spans="1:29" ht="96.6">
      <c r="A17" s="379"/>
      <c r="B17" s="579" t="s">
        <v>1831</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82"/>
      <c r="Q17" s="1349" t="str">
        <f>B17</f>
        <v>交通便捷度</v>
      </c>
      <c r="R17" s="705" t="s">
        <v>14</v>
      </c>
      <c r="S17" s="706">
        <f>F17</f>
        <v>100</v>
      </c>
      <c r="T17" s="705" t="s">
        <v>14</v>
      </c>
      <c r="U17" s="706">
        <f>H17</f>
        <v>100</v>
      </c>
      <c r="V17" s="705" t="s">
        <v>14</v>
      </c>
      <c r="W17" s="706">
        <f>J17</f>
        <v>100</v>
      </c>
      <c r="X17" s="1352"/>
      <c r="Y17" s="3782"/>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782"/>
      <c r="Q18" s="1349"/>
      <c r="R18" s="705"/>
      <c r="S18" s="706"/>
      <c r="T18" s="705"/>
      <c r="U18" s="706"/>
      <c r="V18" s="705"/>
      <c r="W18" s="706"/>
      <c r="X18" s="1352"/>
      <c r="Y18" s="3782"/>
      <c r="Z18" s="1353"/>
      <c r="AA18" s="1350">
        <v>1</v>
      </c>
      <c r="AB18" s="1350">
        <v>1</v>
      </c>
      <c r="AC18" s="1350">
        <v>1</v>
      </c>
    </row>
    <row r="19" spans="1:29" ht="28.8">
      <c r="A19" s="379"/>
      <c r="B19" s="579" t="s">
        <v>1869</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82"/>
      <c r="Q19" s="1349" t="str">
        <f t="shared" ref="Q19:Q33" si="8">B19</f>
        <v>区域土地利用方向</v>
      </c>
      <c r="R19" s="705" t="s">
        <v>14</v>
      </c>
      <c r="S19" s="706">
        <f>F19</f>
        <v>100</v>
      </c>
      <c r="T19" s="705" t="s">
        <v>14</v>
      </c>
      <c r="U19" s="706">
        <f>H19</f>
        <v>100</v>
      </c>
      <c r="V19" s="705" t="s">
        <v>14</v>
      </c>
      <c r="W19" s="706">
        <f>J19</f>
        <v>100</v>
      </c>
      <c r="X19" s="1352"/>
      <c r="Y19" s="3782"/>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7"/>
      <c r="L20" s="2719"/>
      <c r="M20" s="2713"/>
      <c r="N20" s="2713"/>
      <c r="O20" s="2771"/>
      <c r="P20" s="3782"/>
      <c r="Q20" s="1349"/>
      <c r="R20" s="705"/>
      <c r="S20" s="706"/>
      <c r="T20" s="705"/>
      <c r="U20" s="706"/>
      <c r="V20" s="705"/>
      <c r="W20" s="706"/>
      <c r="X20" s="1352"/>
      <c r="Y20" s="3782"/>
      <c r="Z20" s="1353"/>
      <c r="AA20" s="1350"/>
      <c r="AB20" s="1350"/>
      <c r="AC20" s="1350"/>
    </row>
    <row r="21" spans="1:29" ht="82.8">
      <c r="A21" s="358"/>
      <c r="B21" s="579" t="s">
        <v>1919</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82"/>
      <c r="Q21" s="1349" t="str">
        <f t="shared" si="8"/>
        <v>环境状况</v>
      </c>
      <c r="R21" s="705" t="s">
        <v>14</v>
      </c>
      <c r="S21" s="706">
        <f>F21</f>
        <v>100</v>
      </c>
      <c r="T21" s="705" t="s">
        <v>14</v>
      </c>
      <c r="U21" s="706">
        <f>H21</f>
        <v>100</v>
      </c>
      <c r="V21" s="705" t="s">
        <v>14</v>
      </c>
      <c r="W21" s="706">
        <f>J21</f>
        <v>100</v>
      </c>
      <c r="X21" s="1352"/>
      <c r="Y21" s="3782"/>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782"/>
      <c r="Q22" s="1349"/>
      <c r="R22" s="705"/>
      <c r="S22" s="706"/>
      <c r="T22" s="705"/>
      <c r="U22" s="706"/>
      <c r="V22" s="705"/>
      <c r="W22" s="706"/>
      <c r="X22" s="1352"/>
      <c r="Y22" s="3782"/>
      <c r="Z22" s="1353"/>
      <c r="AA22" s="1350">
        <v>1</v>
      </c>
      <c r="AB22" s="1350">
        <v>1</v>
      </c>
      <c r="AC22" s="1350">
        <v>1</v>
      </c>
    </row>
    <row r="23" spans="1:29" s="108" customFormat="1" ht="41.4">
      <c r="A23" s="597"/>
      <c r="B23" s="581" t="s">
        <v>1776</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82"/>
      <c r="Q23" s="1340" t="str">
        <f t="shared" si="8"/>
        <v>公共配套设施</v>
      </c>
      <c r="R23" s="701" t="s">
        <v>14</v>
      </c>
      <c r="S23" s="702">
        <f>F23</f>
        <v>100</v>
      </c>
      <c r="T23" s="701" t="s">
        <v>14</v>
      </c>
      <c r="U23" s="702">
        <f>H23</f>
        <v>100</v>
      </c>
      <c r="V23" s="701" t="s">
        <v>14</v>
      </c>
      <c r="W23" s="702">
        <f>J23</f>
        <v>100</v>
      </c>
      <c r="X23" s="703"/>
      <c r="Y23" s="3782"/>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782"/>
      <c r="Q24" s="1340"/>
      <c r="R24" s="701"/>
      <c r="S24" s="702"/>
      <c r="T24" s="701"/>
      <c r="U24" s="702"/>
      <c r="V24" s="701"/>
      <c r="W24" s="702"/>
      <c r="X24" s="703"/>
      <c r="Y24" s="3782"/>
      <c r="Z24" s="52"/>
      <c r="AA24" s="704">
        <v>1</v>
      </c>
      <c r="AB24" s="704">
        <v>1</v>
      </c>
      <c r="AC24" s="704">
        <v>1</v>
      </c>
    </row>
    <row r="25" spans="1:29" s="108" customFormat="1" ht="41.4">
      <c r="A25" s="597"/>
      <c r="B25" s="581" t="s">
        <v>1777</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82"/>
      <c r="Q25" s="1340" t="str">
        <f t="shared" ref="Q25" si="9">B25</f>
        <v>基础设施水平</v>
      </c>
      <c r="R25" s="701" t="s">
        <v>14</v>
      </c>
      <c r="S25" s="702">
        <f>F25</f>
        <v>100</v>
      </c>
      <c r="T25" s="701" t="s">
        <v>14</v>
      </c>
      <c r="U25" s="702">
        <f>H25</f>
        <v>100</v>
      </c>
      <c r="V25" s="701" t="s">
        <v>14</v>
      </c>
      <c r="W25" s="702">
        <f>J25</f>
        <v>100</v>
      </c>
      <c r="X25" s="703"/>
      <c r="Y25" s="3782"/>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782"/>
      <c r="Q26" s="1340"/>
      <c r="R26" s="701"/>
      <c r="S26" s="702"/>
      <c r="T26" s="701"/>
      <c r="U26" s="702"/>
      <c r="V26" s="701"/>
      <c r="W26" s="702"/>
      <c r="X26" s="703"/>
      <c r="Y26" s="3782"/>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82"/>
      <c r="Q27" s="1349" t="str">
        <f t="shared" si="8"/>
        <v>临街状况</v>
      </c>
      <c r="R27" s="705" t="s">
        <v>14</v>
      </c>
      <c r="S27" s="706">
        <f t="shared" ref="S27:S40" si="10">F27</f>
        <v>100</v>
      </c>
      <c r="T27" s="705" t="s">
        <v>14</v>
      </c>
      <c r="U27" s="706">
        <f t="shared" ref="U27:U40" si="11">H27</f>
        <v>100</v>
      </c>
      <c r="V27" s="705" t="s">
        <v>14</v>
      </c>
      <c r="W27" s="706">
        <f t="shared" ref="W27:W40" si="12">J27</f>
        <v>100</v>
      </c>
      <c r="X27" s="1352"/>
      <c r="Y27" s="3782"/>
      <c r="Z27" s="1353" t="str">
        <f t="shared" ref="Z27:Z40" si="13">Q27</f>
        <v>临街状况</v>
      </c>
      <c r="AA27" s="1350">
        <f t="shared" si="3"/>
        <v>1</v>
      </c>
      <c r="AB27" s="1350">
        <f t="shared" si="4"/>
        <v>1</v>
      </c>
      <c r="AC27" s="1350">
        <f t="shared" si="5"/>
        <v>1</v>
      </c>
    </row>
    <row r="28" spans="1:29" ht="28.8">
      <c r="A28" s="379"/>
      <c r="B28" s="581" t="s">
        <v>1813</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82"/>
      <c r="Q28" s="1349" t="str">
        <f t="shared" si="8"/>
        <v>毗邻道路的类型与等级</v>
      </c>
      <c r="R28" s="705" t="s">
        <v>14</v>
      </c>
      <c r="S28" s="706">
        <f t="shared" si="10"/>
        <v>100</v>
      </c>
      <c r="T28" s="705" t="s">
        <v>14</v>
      </c>
      <c r="U28" s="706">
        <f t="shared" si="11"/>
        <v>100</v>
      </c>
      <c r="V28" s="705" t="s">
        <v>14</v>
      </c>
      <c r="W28" s="706">
        <f t="shared" si="12"/>
        <v>100</v>
      </c>
      <c r="X28" s="1352"/>
      <c r="Y28" s="3782"/>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782"/>
      <c r="Q29" s="1349"/>
      <c r="R29" s="705"/>
      <c r="S29" s="706"/>
      <c r="T29" s="705"/>
      <c r="U29" s="706"/>
      <c r="V29" s="705"/>
      <c r="W29" s="706"/>
      <c r="X29" s="1352"/>
      <c r="Y29" s="3782"/>
      <c r="Z29" s="1353"/>
      <c r="AA29" s="1350">
        <v>1</v>
      </c>
      <c r="AB29" s="1350">
        <v>1</v>
      </c>
      <c r="AC29" s="1350">
        <v>1</v>
      </c>
    </row>
    <row r="30" spans="1:29" ht="15">
      <c r="A30" s="379"/>
      <c r="B30" s="602" t="s">
        <v>1871</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82"/>
      <c r="Q30" s="1349" t="str">
        <f t="shared" si="8"/>
        <v>土地级别</v>
      </c>
      <c r="R30" s="705" t="s">
        <v>14</v>
      </c>
      <c r="S30" s="706">
        <f t="shared" si="10"/>
        <v>100</v>
      </c>
      <c r="T30" s="705" t="s">
        <v>14</v>
      </c>
      <c r="U30" s="706">
        <f t="shared" si="11"/>
        <v>100</v>
      </c>
      <c r="V30" s="705" t="s">
        <v>14</v>
      </c>
      <c r="W30" s="706">
        <f t="shared" si="12"/>
        <v>100</v>
      </c>
      <c r="X30" s="1352"/>
      <c r="Y30" s="3782"/>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82"/>
      <c r="Q31" s="1349">
        <f t="shared" si="8"/>
        <v>111</v>
      </c>
      <c r="R31" s="705" t="s">
        <v>14</v>
      </c>
      <c r="S31" s="706">
        <f t="shared" si="10"/>
        <v>100</v>
      </c>
      <c r="T31" s="705" t="s">
        <v>14</v>
      </c>
      <c r="U31" s="706">
        <f t="shared" si="11"/>
        <v>100</v>
      </c>
      <c r="V31" s="705" t="s">
        <v>14</v>
      </c>
      <c r="W31" s="706">
        <f t="shared" si="12"/>
        <v>100</v>
      </c>
      <c r="X31" s="1352"/>
      <c r="Y31" s="3782"/>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837" t="s">
        <v>1694</v>
      </c>
      <c r="Q32" s="1349">
        <f t="shared" si="8"/>
        <v>111</v>
      </c>
      <c r="R32" s="705" t="s">
        <v>14</v>
      </c>
      <c r="S32" s="706">
        <f t="shared" si="10"/>
        <v>100</v>
      </c>
      <c r="T32" s="705" t="s">
        <v>14</v>
      </c>
      <c r="U32" s="706">
        <f t="shared" si="11"/>
        <v>100</v>
      </c>
      <c r="V32" s="705" t="s">
        <v>14</v>
      </c>
      <c r="W32" s="706">
        <f t="shared" si="12"/>
        <v>100</v>
      </c>
      <c r="X32" s="1352"/>
      <c r="Y32" s="3786" t="s">
        <v>1694</v>
      </c>
      <c r="Z32" s="1353">
        <f t="shared" si="13"/>
        <v>111</v>
      </c>
      <c r="AA32" s="1350">
        <f t="shared" si="3"/>
        <v>1</v>
      </c>
      <c r="AB32" s="1350">
        <f t="shared" si="4"/>
        <v>1</v>
      </c>
      <c r="AC32" s="1350">
        <f t="shared" si="5"/>
        <v>1</v>
      </c>
    </row>
    <row r="33" spans="1:31" s="422" customFormat="1" ht="15.6"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86"/>
      <c r="Q33" s="1349">
        <f t="shared" si="8"/>
        <v>111</v>
      </c>
      <c r="R33" s="708" t="s">
        <v>14</v>
      </c>
      <c r="S33" s="709">
        <f t="shared" si="10"/>
        <v>100</v>
      </c>
      <c r="T33" s="708" t="s">
        <v>14</v>
      </c>
      <c r="U33" s="709">
        <f t="shared" si="11"/>
        <v>100</v>
      </c>
      <c r="V33" s="708" t="s">
        <v>14</v>
      </c>
      <c r="W33" s="709">
        <f t="shared" si="12"/>
        <v>100</v>
      </c>
      <c r="X33" s="710"/>
      <c r="Y33" s="3786"/>
      <c r="Z33" s="711">
        <f t="shared" si="13"/>
        <v>111</v>
      </c>
      <c r="AA33" s="1350">
        <f t="shared" si="3"/>
        <v>1</v>
      </c>
      <c r="AB33" s="1350">
        <f t="shared" si="4"/>
        <v>1</v>
      </c>
      <c r="AC33" s="1350">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86"/>
      <c r="Q34" s="1349" t="str">
        <f>B34</f>
        <v>宗地面积</v>
      </c>
      <c r="R34" s="705" t="s">
        <v>14</v>
      </c>
      <c r="S34" s="706" t="e">
        <f t="shared" si="10"/>
        <v>#N/A</v>
      </c>
      <c r="T34" s="705" t="s">
        <v>14</v>
      </c>
      <c r="U34" s="706" t="e">
        <f t="shared" si="11"/>
        <v>#N/A</v>
      </c>
      <c r="V34" s="705" t="s">
        <v>14</v>
      </c>
      <c r="W34" s="706" t="e">
        <f t="shared" si="12"/>
        <v>#N/A</v>
      </c>
      <c r="X34" s="1352"/>
      <c r="Y34" s="3786"/>
      <c r="Z34" s="1353" t="str">
        <f t="shared" si="13"/>
        <v>宗地面积</v>
      </c>
      <c r="AA34" s="1350" t="e">
        <f t="shared" si="3"/>
        <v>#N/A</v>
      </c>
      <c r="AB34" s="1350" t="e">
        <f t="shared" si="4"/>
        <v>#N/A</v>
      </c>
      <c r="AC34" s="1350" t="e">
        <f t="shared" si="5"/>
        <v>#N/A</v>
      </c>
    </row>
    <row r="35" spans="1:31" ht="15">
      <c r="A35" s="423"/>
      <c r="B35" s="375" t="s">
        <v>1873</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786"/>
      <c r="Q35" s="1349" t="str">
        <f t="shared" ref="Q35:Q40" si="14">B35</f>
        <v>宗地形状</v>
      </c>
      <c r="R35" s="705" t="s">
        <v>14</v>
      </c>
      <c r="S35" s="706">
        <f t="shared" si="10"/>
        <v>100</v>
      </c>
      <c r="T35" s="705" t="s">
        <v>14</v>
      </c>
      <c r="U35" s="706">
        <f t="shared" si="11"/>
        <v>100</v>
      </c>
      <c r="V35" s="705" t="s">
        <v>14</v>
      </c>
      <c r="W35" s="706">
        <f t="shared" si="12"/>
        <v>100</v>
      </c>
      <c r="X35" s="1352"/>
      <c r="Y35" s="3786"/>
      <c r="Z35" s="1353" t="str">
        <f t="shared" si="13"/>
        <v>宗地形状</v>
      </c>
      <c r="AA35" s="1350">
        <f t="shared" si="3"/>
        <v>1</v>
      </c>
      <c r="AB35" s="1350">
        <f t="shared" si="4"/>
        <v>1</v>
      </c>
      <c r="AC35" s="1350">
        <f t="shared" si="5"/>
        <v>1</v>
      </c>
    </row>
    <row r="36" spans="1:31" s="108" customFormat="1" ht="15">
      <c r="A36" s="424"/>
      <c r="B36" s="375" t="s">
        <v>1875</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786"/>
      <c r="Q36" s="1349" t="str">
        <f t="shared" si="14"/>
        <v>宗地开发程度</v>
      </c>
      <c r="R36" s="701" t="s">
        <v>14</v>
      </c>
      <c r="S36" s="702">
        <f t="shared" si="10"/>
        <v>100</v>
      </c>
      <c r="T36" s="701" t="s">
        <v>14</v>
      </c>
      <c r="U36" s="702">
        <f t="shared" si="11"/>
        <v>100</v>
      </c>
      <c r="V36" s="701" t="s">
        <v>14</v>
      </c>
      <c r="W36" s="702">
        <f t="shared" si="12"/>
        <v>100</v>
      </c>
      <c r="X36" s="703"/>
      <c r="Y36" s="3786"/>
      <c r="Z36" s="52" t="str">
        <f t="shared" si="13"/>
        <v>宗地开发程度</v>
      </c>
      <c r="AA36" s="704">
        <f t="shared" si="3"/>
        <v>1</v>
      </c>
      <c r="AB36" s="704">
        <f t="shared" si="4"/>
        <v>1</v>
      </c>
      <c r="AC36" s="704">
        <f t="shared" si="5"/>
        <v>1</v>
      </c>
    </row>
    <row r="37" spans="1:31" ht="15">
      <c r="A37" s="423"/>
      <c r="B37" s="375" t="s">
        <v>1876</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786" t="s">
        <v>1694</v>
      </c>
      <c r="Q37" s="1349" t="str">
        <f t="shared" si="14"/>
        <v>工程地质条件</v>
      </c>
      <c r="R37" s="705" t="s">
        <v>14</v>
      </c>
      <c r="S37" s="706">
        <f t="shared" si="10"/>
        <v>100</v>
      </c>
      <c r="T37" s="705" t="s">
        <v>14</v>
      </c>
      <c r="U37" s="706">
        <f t="shared" si="11"/>
        <v>100</v>
      </c>
      <c r="V37" s="705" t="s">
        <v>14</v>
      </c>
      <c r="W37" s="706">
        <f t="shared" si="12"/>
        <v>100</v>
      </c>
      <c r="X37" s="1352"/>
      <c r="Y37" s="3786" t="s">
        <v>1694</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86"/>
      <c r="Q38" s="1349">
        <f t="shared" si="14"/>
        <v>111</v>
      </c>
      <c r="R38" s="705" t="s">
        <v>14</v>
      </c>
      <c r="S38" s="706">
        <f t="shared" si="10"/>
        <v>100</v>
      </c>
      <c r="T38" s="705" t="s">
        <v>14</v>
      </c>
      <c r="U38" s="706">
        <f t="shared" si="11"/>
        <v>100</v>
      </c>
      <c r="V38" s="705" t="s">
        <v>14</v>
      </c>
      <c r="W38" s="706">
        <f t="shared" si="12"/>
        <v>100</v>
      </c>
      <c r="X38" s="1352"/>
      <c r="Y38" s="3786"/>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86"/>
      <c r="Q39" s="1349">
        <f t="shared" si="14"/>
        <v>111</v>
      </c>
      <c r="R39" s="705" t="s">
        <v>14</v>
      </c>
      <c r="S39" s="706">
        <f t="shared" si="10"/>
        <v>100</v>
      </c>
      <c r="T39" s="705" t="s">
        <v>14</v>
      </c>
      <c r="U39" s="706">
        <f t="shared" si="11"/>
        <v>100</v>
      </c>
      <c r="V39" s="705" t="s">
        <v>14</v>
      </c>
      <c r="W39" s="706">
        <f t="shared" si="12"/>
        <v>100</v>
      </c>
      <c r="X39" s="1352"/>
      <c r="Y39" s="3786"/>
      <c r="Z39" s="1353">
        <f t="shared" si="13"/>
        <v>111</v>
      </c>
      <c r="AA39" s="1350">
        <f t="shared" si="3"/>
        <v>1</v>
      </c>
      <c r="AB39" s="1350">
        <f t="shared" si="4"/>
        <v>1</v>
      </c>
      <c r="AC39" s="1350">
        <f t="shared" si="5"/>
        <v>1</v>
      </c>
    </row>
    <row r="40" spans="1:31" s="422" customFormat="1" ht="15.6"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86"/>
      <c r="Q40" s="1349">
        <f t="shared" si="14"/>
        <v>111</v>
      </c>
      <c r="R40" s="708" t="s">
        <v>14</v>
      </c>
      <c r="S40" s="709">
        <f t="shared" si="10"/>
        <v>100</v>
      </c>
      <c r="T40" s="708" t="s">
        <v>14</v>
      </c>
      <c r="U40" s="709">
        <f t="shared" si="11"/>
        <v>100</v>
      </c>
      <c r="V40" s="708" t="s">
        <v>14</v>
      </c>
      <c r="W40" s="709">
        <f t="shared" si="12"/>
        <v>100</v>
      </c>
      <c r="X40" s="710"/>
      <c r="Y40" s="3786"/>
      <c r="Z40" s="711">
        <f t="shared" si="13"/>
        <v>111</v>
      </c>
      <c r="AA40" s="1350">
        <f t="shared" si="3"/>
        <v>1</v>
      </c>
      <c r="AB40" s="1350">
        <f t="shared" si="4"/>
        <v>1</v>
      </c>
      <c r="AC40" s="1350">
        <f t="shared" si="5"/>
        <v>1</v>
      </c>
    </row>
    <row r="41" spans="1:31" ht="14.4">
      <c r="A41" s="430" t="s">
        <v>1842</v>
      </c>
      <c r="B41" s="1979" t="s">
        <v>1920</v>
      </c>
      <c r="C41" s="630" t="s">
        <v>0</v>
      </c>
      <c r="D41" s="432"/>
      <c r="E41" s="433"/>
      <c r="F41" s="434"/>
      <c r="G41" s="435"/>
      <c r="H41" s="436"/>
      <c r="I41" s="433"/>
      <c r="J41" s="436"/>
      <c r="K41" s="714"/>
      <c r="L41" s="2721"/>
      <c r="M41" s="2713"/>
      <c r="N41" s="2713"/>
      <c r="O41" s="2722"/>
      <c r="P41" s="3779" t="str">
        <f>A41</f>
        <v>成交单价</v>
      </c>
      <c r="Q41" s="3779"/>
      <c r="R41" s="3810">
        <f>E41</f>
        <v>0</v>
      </c>
      <c r="S41" s="3810"/>
      <c r="T41" s="3810">
        <f>G41</f>
        <v>0</v>
      </c>
      <c r="U41" s="3810"/>
      <c r="V41" s="3810">
        <f>I41</f>
        <v>0</v>
      </c>
      <c r="W41" s="3810"/>
      <c r="X41" s="690"/>
      <c r="Y41" s="712"/>
      <c r="Z41" s="690"/>
      <c r="AA41" s="690"/>
      <c r="AB41" s="690"/>
      <c r="AC41" s="690"/>
    </row>
    <row r="42" spans="1:31" ht="15" thickBot="1">
      <c r="A42" s="437" t="s">
        <v>1791</v>
      </c>
      <c r="B42" s="631"/>
      <c r="C42" s="440" t="e">
        <f>R43</f>
        <v>#DIV/0!</v>
      </c>
      <c r="D42" s="2314" t="s">
        <v>2135</v>
      </c>
      <c r="E42" s="440" t="e">
        <f>R42</f>
        <v>#DIV/0!</v>
      </c>
      <c r="F42" s="2315"/>
      <c r="G42" s="439" t="e">
        <f>T42</f>
        <v>#DIV/0!</v>
      </c>
      <c r="H42" s="2315"/>
      <c r="I42" s="440" t="e">
        <f>V42</f>
        <v>#DIV/0!</v>
      </c>
      <c r="J42" s="2315"/>
      <c r="K42" s="2317">
        <f>F42+H42+J42</f>
        <v>0</v>
      </c>
      <c r="L42" s="2721"/>
      <c r="M42" s="2713"/>
      <c r="N42" s="2713"/>
      <c r="O42" s="2722"/>
      <c r="P42" s="3779" t="str">
        <f>A42</f>
        <v>比较价值（元/平方米）</v>
      </c>
      <c r="Q42" s="3779"/>
      <c r="R42" s="3839" t="e">
        <f>ROUND(PRODUCT(R41,AA7:AA40),0)</f>
        <v>#DIV/0!</v>
      </c>
      <c r="S42" s="3839"/>
      <c r="T42" s="3839" t="e">
        <f>ROUND(PRODUCT(T41,AB7:AB40),0)</f>
        <v>#DIV/0!</v>
      </c>
      <c r="U42" s="3839"/>
      <c r="V42" s="3839" t="e">
        <f>ROUND(PRODUCT(V41,AC7:AC40),0)</f>
        <v>#DIV/0!</v>
      </c>
      <c r="W42" s="3839"/>
      <c r="X42" s="690"/>
      <c r="Y42" s="690"/>
      <c r="Z42" s="690"/>
      <c r="AA42" s="690"/>
      <c r="AB42" s="690"/>
      <c r="AC42" s="690"/>
    </row>
    <row r="43" spans="1:31" ht="15" thickBot="1">
      <c r="A43" s="441" t="s">
        <v>1792</v>
      </c>
      <c r="B43" s="442"/>
      <c r="C43" s="443" t="e">
        <f>R43</f>
        <v>#DIV/0!</v>
      </c>
      <c r="D43" s="443"/>
      <c r="E43" s="443"/>
      <c r="F43" s="443"/>
      <c r="G43" s="443"/>
      <c r="H43" s="443"/>
      <c r="I43" s="443"/>
      <c r="J43" s="443"/>
      <c r="K43" s="715"/>
      <c r="L43" s="2721"/>
      <c r="M43" s="2713"/>
      <c r="N43" s="2713"/>
      <c r="O43" s="2722"/>
      <c r="P43" s="3776" t="str">
        <f>A43</f>
        <v>估价对象XX用房的比较价值（楼面单价，元/平方米）</v>
      </c>
      <c r="Q43" s="3777"/>
      <c r="R43" s="3840" t="e">
        <f>ROUND(IF(D42="简单平均",AVERAGE(R42:W42),R42*F42+T42*H42+V42*J42),0)</f>
        <v>#DIV/0!</v>
      </c>
      <c r="S43" s="3840"/>
      <c r="T43" s="3840"/>
      <c r="U43" s="3840"/>
      <c r="V43" s="3840"/>
      <c r="W43" s="3840"/>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1879</v>
      </c>
      <c r="B50" s="633" t="s">
        <v>1880</v>
      </c>
      <c r="C50" s="1980" t="s">
        <v>1881</v>
      </c>
      <c r="D50" s="1981" t="s">
        <v>1882</v>
      </c>
      <c r="E50" s="634" t="s">
        <v>1883</v>
      </c>
      <c r="F50" s="635" t="s">
        <v>1884</v>
      </c>
      <c r="G50" s="3794" t="s">
        <v>1885</v>
      </c>
      <c r="H50" s="3841"/>
      <c r="I50" s="1353" t="s">
        <v>1921</v>
      </c>
      <c r="J50" s="1353">
        <f>项目基本情况!F35</f>
        <v>0</v>
      </c>
      <c r="K50" s="1983" t="s">
        <v>1887</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1888</v>
      </c>
      <c r="B51" s="637" t="e">
        <f>C43</f>
        <v>#DIV/0!</v>
      </c>
      <c r="C51" s="638">
        <v>1</v>
      </c>
      <c r="D51" s="941">
        <v>1</v>
      </c>
      <c r="E51" s="638">
        <f>'数据-汇总表'!E8+'数据-汇总表'!E9</f>
        <v>66617.25</v>
      </c>
      <c r="F51" s="639" t="e">
        <f t="shared" ref="F51:F60" si="15">ROUND(B51*E51/10000,0)</f>
        <v>#DIV/0!</v>
      </c>
      <c r="G51" s="3790"/>
      <c r="H51" s="3779"/>
      <c r="I51" s="770">
        <v>1</v>
      </c>
      <c r="J51" s="770">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1889</v>
      </c>
      <c r="B52" s="218" t="e">
        <f>ROUND($C$43*C52*D52,0)</f>
        <v>#DIV/0!</v>
      </c>
      <c r="C52" s="171">
        <f t="shared" ref="C52:C60" si="16">IF($C$50="北京市系数",I52,J52)</f>
        <v>0.6</v>
      </c>
      <c r="D52" s="942">
        <v>0.25</v>
      </c>
      <c r="E52" s="642"/>
      <c r="F52" s="639" t="e">
        <f t="shared" si="15"/>
        <v>#DIV/0!</v>
      </c>
      <c r="G52" s="3003" t="s">
        <v>1890</v>
      </c>
      <c r="H52" s="884" t="str">
        <f>项目基本情况!B37</f>
        <v>三级</v>
      </c>
      <c r="I52" s="770">
        <f>SUMIF(修正!A57:A68,H52,修正!B57:B68)</f>
        <v>0.6</v>
      </c>
      <c r="J52" s="771"/>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1891</v>
      </c>
      <c r="B53" s="218" t="e">
        <f t="shared" ref="B53:B60" si="17">ROUND($C$43*C53*D53,0)</f>
        <v>#DIV/0!</v>
      </c>
      <c r="C53" s="171">
        <f t="shared" si="16"/>
        <v>0.3</v>
      </c>
      <c r="D53" s="942">
        <v>0.25</v>
      </c>
      <c r="E53" s="642"/>
      <c r="F53" s="639" t="e">
        <f t="shared" si="15"/>
        <v>#DIV/0!</v>
      </c>
      <c r="G53" s="3004"/>
      <c r="H53" s="884" t="str">
        <f>项目基本情况!B37</f>
        <v>三级</v>
      </c>
      <c r="I53" s="770">
        <f>SUMIF(修正!A57:A68,H53,修正!C57:C68)</f>
        <v>0.3</v>
      </c>
      <c r="J53" s="771"/>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1892</v>
      </c>
      <c r="B54" s="218" t="e">
        <f t="shared" si="17"/>
        <v>#DIV/0!</v>
      </c>
      <c r="C54" s="171">
        <f t="shared" si="16"/>
        <v>0.25</v>
      </c>
      <c r="D54" s="942">
        <v>0.25</v>
      </c>
      <c r="E54" s="642"/>
      <c r="F54" s="639" t="e">
        <f t="shared" si="15"/>
        <v>#DIV/0!</v>
      </c>
      <c r="G54" s="3004"/>
      <c r="H54" s="884" t="str">
        <f>项目基本情况!B37</f>
        <v>三级</v>
      </c>
      <c r="I54" s="770">
        <f>SUMIF(修正!A57:A68,H54,修正!D57:D68)</f>
        <v>0.25</v>
      </c>
      <c r="J54" s="771"/>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2"/>
      <c r="E55" s="642"/>
      <c r="F55" s="639"/>
      <c r="G55" s="3005"/>
      <c r="H55" s="884"/>
      <c r="I55" s="770"/>
      <c r="J55" s="771"/>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1893</v>
      </c>
      <c r="B56" s="218" t="e">
        <f t="shared" si="17"/>
        <v>#DIV/0!</v>
      </c>
      <c r="C56" s="171">
        <f t="shared" si="16"/>
        <v>0.3</v>
      </c>
      <c r="D56" s="942">
        <v>0.25</v>
      </c>
      <c r="E56" s="217">
        <f>'数据-汇总表'!E11</f>
        <v>7419.8799999999983</v>
      </c>
      <c r="F56" s="639" t="e">
        <f t="shared" si="15"/>
        <v>#DIV/0!</v>
      </c>
      <c r="G56" s="1984" t="s">
        <v>1894</v>
      </c>
      <c r="H56" s="884" t="str">
        <f>项目基本情况!C37</f>
        <v>二级</v>
      </c>
      <c r="I56" s="770">
        <f>SUMIF(修正!A57:A68,H56,修正!E57:E68)</f>
        <v>0.3</v>
      </c>
      <c r="J56" s="771"/>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1895</v>
      </c>
      <c r="B57" s="218" t="e">
        <f t="shared" si="17"/>
        <v>#DIV/0!</v>
      </c>
      <c r="C57" s="171">
        <f t="shared" si="16"/>
        <v>0.3</v>
      </c>
      <c r="D57" s="942">
        <v>0.25</v>
      </c>
      <c r="E57" s="217">
        <f>'数据-汇总表'!E12</f>
        <v>2679.84</v>
      </c>
      <c r="F57" s="639" t="e">
        <f t="shared" si="15"/>
        <v>#DIV/0!</v>
      </c>
      <c r="G57" s="889" t="s">
        <v>1896</v>
      </c>
      <c r="H57" s="884" t="str">
        <f>IF(G57="商业",项目基本情况!B37,IF(G57="办公",项目基本情况!C37,IF(G57="住宅",项目基本情况!D37,项目基本情况!E37)))</f>
        <v>二级</v>
      </c>
      <c r="I57" s="770">
        <f>SUMIF(修正!A57:A68,H57,修正!F57:F68)</f>
        <v>0.3</v>
      </c>
      <c r="J57" s="771"/>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1897</v>
      </c>
      <c r="B58" s="218" t="e">
        <f t="shared" si="17"/>
        <v>#DIV/0!</v>
      </c>
      <c r="C58" s="171">
        <f t="shared" si="16"/>
        <v>0</v>
      </c>
      <c r="D58" s="942">
        <v>0.25</v>
      </c>
      <c r="E58" s="217">
        <f>'数据-汇总表'!E13</f>
        <v>10131.459999999992</v>
      </c>
      <c r="F58" s="639" t="e">
        <f t="shared" si="15"/>
        <v>#DIV/0!</v>
      </c>
      <c r="G58" s="889" t="s">
        <v>1898</v>
      </c>
      <c r="H58" s="884">
        <f>IF(G58="商业",项目基本情况!B37,IF(G58="办公",项目基本情况!C37,IF(G58="住宅",项目基本情况!D37,项目基本情况!E37)))</f>
        <v>0</v>
      </c>
      <c r="I58" s="770">
        <f>SUMIF(修正!A57:A68,H58,修正!G57:G68)</f>
        <v>0</v>
      </c>
      <c r="J58" s="771"/>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1899</v>
      </c>
      <c r="B59" s="218" t="e">
        <f t="shared" si="17"/>
        <v>#DIV/0!</v>
      </c>
      <c r="C59" s="171">
        <f t="shared" si="16"/>
        <v>0.15</v>
      </c>
      <c r="D59" s="942">
        <v>0.25</v>
      </c>
      <c r="E59" s="217">
        <f>'数据-汇总表'!E14</f>
        <v>0</v>
      </c>
      <c r="F59" s="639" t="e">
        <f t="shared" si="15"/>
        <v>#DIV/0!</v>
      </c>
      <c r="G59" s="1984" t="s">
        <v>1890</v>
      </c>
      <c r="H59" s="884" t="str">
        <f>项目基本情况!B37</f>
        <v>三级</v>
      </c>
      <c r="I59" s="770">
        <f>SUMIF(修正!A57:A68,H59,修正!G57:G68)</f>
        <v>0.15</v>
      </c>
      <c r="J59" s="771"/>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1900</v>
      </c>
      <c r="B60" s="218" t="e">
        <f t="shared" si="17"/>
        <v>#DIV/0!</v>
      </c>
      <c r="C60" s="171">
        <f t="shared" si="16"/>
        <v>0.2</v>
      </c>
      <c r="D60" s="942">
        <v>0.25</v>
      </c>
      <c r="E60" s="217">
        <f>'数据-汇总表'!E15</f>
        <v>0</v>
      </c>
      <c r="F60" s="639" t="e">
        <f t="shared" si="15"/>
        <v>#DIV/0!</v>
      </c>
      <c r="G60" s="1985" t="s">
        <v>1894</v>
      </c>
      <c r="H60" s="894" t="str">
        <f>项目基本情况!C37</f>
        <v>二级</v>
      </c>
      <c r="I60" s="770">
        <f>SUMIF(修正!A57:A68,H60,修正!G57:G68)</f>
        <v>0.2</v>
      </c>
      <c r="J60" s="771"/>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1901</v>
      </c>
      <c r="B61" s="644" t="s">
        <v>22</v>
      </c>
      <c r="C61" s="644" t="s">
        <v>23</v>
      </c>
      <c r="D61" s="644" t="s">
        <v>391</v>
      </c>
      <c r="E61" s="644">
        <f>IF(B41="楼面地价",SUM(E51:E60),'数据-汇总表'!D3)</f>
        <v>10426.780000000001</v>
      </c>
      <c r="F61" s="645" t="e">
        <f>IF(B41="楼面地价",SUM(F51:F60),ROUND(C43*E61/10000,0))</f>
        <v>#DIV/0!</v>
      </c>
      <c r="G61" s="936"/>
      <c r="H61" s="936"/>
      <c r="I61" s="936"/>
      <c r="J61" s="936"/>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4"/>
      <c r="B62" s="926"/>
      <c r="C62" s="928"/>
      <c r="D62" s="924"/>
      <c r="E62" s="924"/>
      <c r="F62" s="924"/>
      <c r="G62" s="924"/>
      <c r="H62" s="924"/>
      <c r="I62" s="924"/>
      <c r="J62" s="924"/>
      <c r="K62" s="885"/>
      <c r="L62" s="886"/>
      <c r="M62" s="924"/>
      <c r="N62" s="924"/>
      <c r="O62" s="924"/>
      <c r="P62" s="2722"/>
      <c r="Q62" s="2722"/>
      <c r="R62" s="2722"/>
      <c r="S62" s="2722"/>
      <c r="T62" s="2722"/>
      <c r="U62" s="2722"/>
      <c r="V62" s="2722"/>
      <c r="W62" s="2722"/>
      <c r="X62" s="2722"/>
      <c r="Y62" s="2722"/>
      <c r="Z62" s="2722"/>
      <c r="AA62" s="2722"/>
      <c r="AB62" s="2722"/>
      <c r="AC62" s="2722"/>
      <c r="AD62" s="2722"/>
      <c r="AE62" s="2722"/>
    </row>
    <row r="63" spans="1:31">
      <c r="A63" s="924"/>
      <c r="B63" s="926"/>
      <c r="C63" s="692" t="str">
        <f>YEAR(C7)&amp;"-"&amp;MONTH(C7)&amp;"-1"</f>
        <v>2024-1-1</v>
      </c>
      <c r="D63" s="692">
        <f>EDATE(C63,-3)</f>
        <v>45200</v>
      </c>
      <c r="E63" s="692">
        <f>EDATE(D63,-3)</f>
        <v>45108</v>
      </c>
      <c r="F63" s="692">
        <f t="shared" ref="F63:O63" si="18">EDATE(E63,-3)</f>
        <v>45017</v>
      </c>
      <c r="G63" s="692">
        <f t="shared" si="18"/>
        <v>44927</v>
      </c>
      <c r="H63" s="692">
        <f t="shared" si="18"/>
        <v>44835</v>
      </c>
      <c r="I63" s="692">
        <f t="shared" si="18"/>
        <v>44743</v>
      </c>
      <c r="J63" s="692">
        <f t="shared" si="18"/>
        <v>44652</v>
      </c>
      <c r="K63" s="692">
        <f t="shared" si="18"/>
        <v>44562</v>
      </c>
      <c r="L63" s="692">
        <f t="shared" si="18"/>
        <v>44470</v>
      </c>
      <c r="M63" s="692">
        <f t="shared" si="18"/>
        <v>44378</v>
      </c>
      <c r="N63" s="692">
        <f t="shared" si="18"/>
        <v>44287</v>
      </c>
      <c r="O63" s="692">
        <f t="shared" si="18"/>
        <v>44197</v>
      </c>
      <c r="P63" s="2722"/>
      <c r="Q63" s="2722"/>
      <c r="R63" s="2722"/>
      <c r="S63" s="2722"/>
      <c r="T63" s="2722"/>
      <c r="U63" s="2722"/>
      <c r="V63" s="2722"/>
      <c r="W63" s="2722"/>
      <c r="X63" s="2722"/>
      <c r="Y63" s="2722"/>
      <c r="Z63" s="2722"/>
      <c r="AA63" s="2722"/>
      <c r="AB63" s="2722"/>
      <c r="AC63" s="2722"/>
      <c r="AD63" s="2722"/>
      <c r="AE63" s="2722"/>
    </row>
    <row r="64" spans="1:31" ht="22.2" thickBot="1">
      <c r="A64" s="694" t="s">
        <v>1796</v>
      </c>
      <c r="B64" s="690"/>
      <c r="C64" s="695"/>
      <c r="D64" s="695"/>
      <c r="E64" s="695"/>
      <c r="F64" s="696"/>
      <c r="G64" s="696"/>
      <c r="H64" s="695"/>
      <c r="I64" s="695"/>
      <c r="J64" s="695"/>
      <c r="K64" s="697"/>
      <c r="L64" s="698"/>
      <c r="M64" s="695"/>
      <c r="N64" s="695"/>
      <c r="O64" s="937"/>
      <c r="P64" s="2766"/>
      <c r="Q64" s="2736"/>
      <c r="R64" s="2722"/>
      <c r="S64" s="2722"/>
      <c r="T64" s="2722"/>
      <c r="U64" s="2722"/>
      <c r="V64" s="2722"/>
      <c r="W64" s="2722"/>
      <c r="X64" s="2722"/>
      <c r="Y64" s="2722"/>
      <c r="Z64" s="2722"/>
      <c r="AA64" s="2722"/>
      <c r="AB64" s="2722"/>
      <c r="AC64" s="2722"/>
      <c r="AD64" s="2722"/>
      <c r="AE64" s="2722"/>
    </row>
    <row r="65" spans="1:31" s="457" customFormat="1" ht="14.4">
      <c r="A65" s="1986" t="s">
        <v>1902</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1922</v>
      </c>
      <c r="B66" s="288" t="str">
        <f>"北京市平均增长率"&amp;TEXT('基准地价修正-办公'!P28,"0.00%")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1714</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1679</v>
      </c>
      <c r="B68" s="459"/>
      <c r="C68" s="471" t="s">
        <v>1774</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1717</v>
      </c>
      <c r="B70" s="477" t="s">
        <v>1683</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1686</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1688</v>
      </c>
      <c r="B83" s="477" t="s">
        <v>1827</v>
      </c>
      <c r="C83" s="522" t="s">
        <v>1719</v>
      </c>
      <c r="D83" s="522" t="s">
        <v>1720</v>
      </c>
      <c r="E83" s="522" t="s">
        <v>1721</v>
      </c>
      <c r="F83" s="522" t="s">
        <v>1722</v>
      </c>
      <c r="G83" s="522" t="s">
        <v>1723</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1724</v>
      </c>
      <c r="C85" s="527" t="s">
        <v>1719</v>
      </c>
      <c r="D85" s="527" t="s">
        <v>1720</v>
      </c>
      <c r="E85" s="527" t="s">
        <v>1721</v>
      </c>
      <c r="F85" s="527" t="s">
        <v>1722</v>
      </c>
      <c r="G85" s="527" t="s">
        <v>1723</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1905</v>
      </c>
      <c r="C87" s="522" t="s">
        <v>1719</v>
      </c>
      <c r="D87" s="522" t="s">
        <v>1720</v>
      </c>
      <c r="E87" s="522" t="s">
        <v>1721</v>
      </c>
      <c r="F87" s="522" t="s">
        <v>1722</v>
      </c>
      <c r="G87" s="522" t="s">
        <v>1723</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1906</v>
      </c>
      <c r="C89" s="522" t="s">
        <v>1719</v>
      </c>
      <c r="D89" s="522" t="s">
        <v>1720</v>
      </c>
      <c r="E89" s="522" t="s">
        <v>1721</v>
      </c>
      <c r="F89" s="522" t="s">
        <v>1722</v>
      </c>
      <c r="G89" s="522" t="s">
        <v>1723</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1776</v>
      </c>
      <c r="C91" s="522" t="s">
        <v>1719</v>
      </c>
      <c r="D91" s="522" t="s">
        <v>1720</v>
      </c>
      <c r="E91" s="522" t="s">
        <v>1721</v>
      </c>
      <c r="F91" s="522" t="s">
        <v>1722</v>
      </c>
      <c r="G91" s="522" t="s">
        <v>1723</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1923</v>
      </c>
      <c r="C93" s="608" t="s">
        <v>1797</v>
      </c>
      <c r="D93" s="608" t="s">
        <v>1798</v>
      </c>
      <c r="E93" s="608" t="s">
        <v>1799</v>
      </c>
      <c r="F93" s="608" t="s">
        <v>1800</v>
      </c>
      <c r="G93" s="608" t="s">
        <v>1801</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1907</v>
      </c>
      <c r="D95" s="488" t="s">
        <v>1908</v>
      </c>
      <c r="E95" s="488" t="s">
        <v>1909</v>
      </c>
      <c r="F95" s="488" t="s">
        <v>1910</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1813</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1871</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1912</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1914</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1915</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0" priority="18" stopIfTrue="1" operator="containsText" text="超过">
      <formula>NOT(ISERROR(SEARCH("超过",F46)))</formula>
    </cfRule>
  </conditionalFormatting>
  <conditionalFormatting sqref="J48">
    <cfRule type="containsText" dxfId="29" priority="17" stopIfTrue="1" operator="containsText" text="超过">
      <formula>NOT(ISERROR(SEARCH("超过",J48)))</formula>
    </cfRule>
  </conditionalFormatting>
  <conditionalFormatting sqref="H48">
    <cfRule type="containsText" dxfId="28" priority="16" stopIfTrue="1" operator="containsText" text="超过">
      <formula>NOT(ISERROR(SEARCH("超过",H48)))</formula>
    </cfRule>
  </conditionalFormatting>
  <conditionalFormatting sqref="F48">
    <cfRule type="containsText" dxfId="27" priority="15" stopIfTrue="1" operator="containsText" text="超过">
      <formula>NOT(ISERROR(SEARCH("超过",F48)))</formula>
    </cfRule>
  </conditionalFormatting>
  <conditionalFormatting sqref="F47 H47 J47">
    <cfRule type="containsText" dxfId="26" priority="14" stopIfTrue="1" operator="containsText" text="超过">
      <formula>NOT(ISERROR(SEARCH("超过",F47)))</formula>
    </cfRule>
  </conditionalFormatting>
  <conditionalFormatting sqref="E46">
    <cfRule type="expression" dxfId="25" priority="13" stopIfTrue="1">
      <formula>$F$46="超过30%"</formula>
    </cfRule>
  </conditionalFormatting>
  <conditionalFormatting sqref="G48">
    <cfRule type="expression" dxfId="24" priority="12" stopIfTrue="1">
      <formula>$H$48="超过30%"</formula>
    </cfRule>
  </conditionalFormatting>
  <conditionalFormatting sqref="E48">
    <cfRule type="expression" dxfId="23" priority="10" stopIfTrue="1">
      <formula>$F$48="超过30%"</formula>
    </cfRule>
  </conditionalFormatting>
  <conditionalFormatting sqref="G46">
    <cfRule type="expression" dxfId="22" priority="9" stopIfTrue="1">
      <formula>$H$46="超过30%"</formula>
    </cfRule>
  </conditionalFormatting>
  <conditionalFormatting sqref="G47">
    <cfRule type="expression" dxfId="21" priority="8" stopIfTrue="1">
      <formula>$H$47="超过20%"</formula>
    </cfRule>
  </conditionalFormatting>
  <conditionalFormatting sqref="I46">
    <cfRule type="expression" dxfId="20" priority="7" stopIfTrue="1">
      <formula>$J$46="超过30%"</formula>
    </cfRule>
  </conditionalFormatting>
  <conditionalFormatting sqref="I47">
    <cfRule type="expression" dxfId="19" priority="6" stopIfTrue="1">
      <formula>$J$47="超过20%"</formula>
    </cfRule>
  </conditionalFormatting>
  <conditionalFormatting sqref="I48">
    <cfRule type="expression" dxfId="18" priority="5" stopIfTrue="1">
      <formula>$J$48="超过30%"</formula>
    </cfRule>
  </conditionalFormatting>
  <conditionalFormatting sqref="E47">
    <cfRule type="expression" dxfId="17" priority="53" stopIfTrue="1">
      <formula>#REF!+$F$47="超过20%"</formula>
    </cfRule>
  </conditionalFormatting>
  <conditionalFormatting sqref="F42">
    <cfRule type="expression" dxfId="16" priority="4">
      <formula>$D$42="简单平均"</formula>
    </cfRule>
  </conditionalFormatting>
  <conditionalFormatting sqref="H42">
    <cfRule type="expression" dxfId="15" priority="3">
      <formula>$D$42="简单平均"</formula>
    </cfRule>
  </conditionalFormatting>
  <conditionalFormatting sqref="J42">
    <cfRule type="expression" dxfId="14" priority="2">
      <formula>$D$42="简单平均"</formula>
    </cfRule>
  </conditionalFormatting>
  <conditionalFormatting sqref="F7:F40 H7:H40 J7:J40">
    <cfRule type="cellIs" dxfId="1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U456" sqref="U456"/>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0" t="s">
        <v>2080</v>
      </c>
      <c r="C1" s="3849" t="s">
        <v>2081</v>
      </c>
      <c r="D1" s="3850"/>
      <c r="E1" s="3850"/>
      <c r="F1" s="3850"/>
      <c r="G1" s="3850"/>
      <c r="H1" s="3850"/>
      <c r="I1" s="3850"/>
      <c r="J1" s="3850"/>
      <c r="K1" s="3850"/>
      <c r="L1" s="3850"/>
      <c r="M1" s="3850"/>
      <c r="N1" s="3850"/>
      <c r="O1" s="3850"/>
      <c r="P1" s="3850"/>
      <c r="Q1" s="3850"/>
      <c r="R1" s="3850"/>
      <c r="S1" s="3851"/>
      <c r="T1" s="980" t="s">
        <v>2082</v>
      </c>
    </row>
    <row r="2" spans="1:45" s="655" customFormat="1">
      <c r="A2" s="981"/>
      <c r="B2" s="651" t="s">
        <v>2083</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2"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3"/>
      <c r="B3" s="656"/>
      <c r="C3" s="657"/>
      <c r="D3" s="658"/>
      <c r="E3" s="658"/>
      <c r="F3" s="1302"/>
      <c r="G3" s="1302"/>
      <c r="H3" s="1302"/>
      <c r="I3" s="1302"/>
      <c r="J3" s="1302"/>
      <c r="K3" s="1302"/>
      <c r="L3" s="1303"/>
      <c r="M3" s="1304"/>
      <c r="N3" s="1304"/>
      <c r="O3" s="1302"/>
      <c r="P3" s="1302"/>
      <c r="Q3" s="1302"/>
      <c r="R3" s="1302"/>
      <c r="S3" s="1305"/>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4"/>
      <c r="B4" s="985"/>
      <c r="C4" s="986"/>
      <c r="D4" s="987"/>
      <c r="E4" s="987"/>
      <c r="F4" s="1306"/>
      <c r="G4" s="1306"/>
      <c r="H4" s="1306"/>
      <c r="I4" s="1306"/>
      <c r="J4" s="1306"/>
      <c r="K4" s="1306"/>
      <c r="L4" s="1306"/>
      <c r="M4" s="1307"/>
      <c r="N4" s="1307"/>
      <c r="O4" s="1306"/>
      <c r="P4" s="1306"/>
      <c r="Q4" s="1306"/>
      <c r="R4" s="1306"/>
      <c r="S4" s="1308"/>
      <c r="T4" s="990"/>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1"/>
      <c r="B5" s="1333" t="s">
        <v>2084</v>
      </c>
      <c r="C5" s="992"/>
      <c r="D5" s="993"/>
      <c r="E5" s="993"/>
      <c r="F5" s="1309"/>
      <c r="G5" s="1309"/>
      <c r="H5" s="1309"/>
      <c r="I5" s="1309"/>
      <c r="J5" s="1309"/>
      <c r="K5" s="1309"/>
      <c r="L5" s="1310"/>
      <c r="M5" s="1311"/>
      <c r="N5" s="1311"/>
      <c r="O5" s="1309"/>
      <c r="P5" s="1309"/>
      <c r="Q5" s="1309"/>
      <c r="R5" s="1309"/>
      <c r="S5" s="1312"/>
      <c r="T5" s="995"/>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1"/>
      <c r="B6" s="896"/>
      <c r="C6" s="902">
        <v>100</v>
      </c>
      <c r="D6" s="899">
        <f>C6-$T5</f>
        <v>100</v>
      </c>
      <c r="E6" s="899">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8"/>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1"/>
      <c r="B7" s="1334" t="s">
        <v>2085</v>
      </c>
      <c r="C7" s="901"/>
      <c r="D7" s="895"/>
      <c r="E7" s="895"/>
      <c r="F7" s="1314"/>
      <c r="G7" s="1314"/>
      <c r="H7" s="1314"/>
      <c r="I7" s="1314"/>
      <c r="J7" s="1314"/>
      <c r="K7" s="1314"/>
      <c r="L7" s="1314"/>
      <c r="M7" s="1315"/>
      <c r="N7" s="1316"/>
      <c r="O7" s="1317"/>
      <c r="P7" s="1318"/>
      <c r="Q7" s="1319"/>
      <c r="R7" s="1320"/>
      <c r="S7" s="1321"/>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1"/>
      <c r="B8" s="896"/>
      <c r="C8" s="902">
        <v>100</v>
      </c>
      <c r="D8" s="899">
        <f>C8-$T7</f>
        <v>100</v>
      </c>
      <c r="E8" s="899">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8"/>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1"/>
      <c r="B9" s="1334" t="s">
        <v>2086</v>
      </c>
      <c r="C9" s="901"/>
      <c r="D9" s="895"/>
      <c r="E9" s="895"/>
      <c r="F9" s="1314"/>
      <c r="G9" s="1314"/>
      <c r="H9" s="1314"/>
      <c r="I9" s="1314"/>
      <c r="J9" s="1314"/>
      <c r="K9" s="1314"/>
      <c r="L9" s="1322"/>
      <c r="M9" s="1315"/>
      <c r="N9" s="1316"/>
      <c r="O9" s="1317"/>
      <c r="P9" s="1318"/>
      <c r="Q9" s="1319"/>
      <c r="R9" s="1320"/>
      <c r="S9" s="1321"/>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1"/>
      <c r="B10" s="985"/>
      <c r="C10" s="996">
        <v>100</v>
      </c>
      <c r="D10" s="997">
        <f>C10-$T9</f>
        <v>100</v>
      </c>
      <c r="E10" s="997">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0"/>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1"/>
      <c r="B11" s="1333" t="s">
        <v>2087</v>
      </c>
      <c r="C11" s="992"/>
      <c r="D11" s="993"/>
      <c r="E11" s="993"/>
      <c r="F11" s="993"/>
      <c r="G11" s="993"/>
      <c r="H11" s="993"/>
      <c r="I11" s="993"/>
      <c r="J11" s="993"/>
      <c r="K11" s="993"/>
      <c r="L11" s="993"/>
      <c r="M11" s="994"/>
      <c r="N11" s="998"/>
      <c r="O11" s="999"/>
      <c r="P11" s="1000"/>
      <c r="Q11" s="1001"/>
      <c r="R11" s="1002"/>
      <c r="S11" s="1003"/>
      <c r="T11" s="995"/>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1"/>
      <c r="B12" s="896"/>
      <c r="C12" s="902">
        <v>100</v>
      </c>
      <c r="D12" s="899">
        <f>C12-$T11</f>
        <v>100</v>
      </c>
      <c r="E12" s="899">
        <f t="shared" ref="E12:S12" si="10">D12-$T11</f>
        <v>100</v>
      </c>
      <c r="F12" s="899">
        <f t="shared" si="10"/>
        <v>100</v>
      </c>
      <c r="G12" s="899">
        <f t="shared" si="10"/>
        <v>100</v>
      </c>
      <c r="H12" s="899">
        <f t="shared" si="10"/>
        <v>100</v>
      </c>
      <c r="I12" s="899">
        <f t="shared" si="10"/>
        <v>100</v>
      </c>
      <c r="J12" s="899">
        <f t="shared" si="10"/>
        <v>100</v>
      </c>
      <c r="K12" s="899">
        <f t="shared" si="10"/>
        <v>100</v>
      </c>
      <c r="L12" s="899">
        <f t="shared" si="10"/>
        <v>100</v>
      </c>
      <c r="M12" s="899">
        <f t="shared" si="10"/>
        <v>100</v>
      </c>
      <c r="N12" s="899">
        <f t="shared" si="10"/>
        <v>100</v>
      </c>
      <c r="O12" s="899">
        <f t="shared" si="10"/>
        <v>100</v>
      </c>
      <c r="P12" s="899">
        <f t="shared" si="10"/>
        <v>100</v>
      </c>
      <c r="Q12" s="899">
        <f t="shared" si="10"/>
        <v>100</v>
      </c>
      <c r="R12" s="899">
        <f>Q12-$T11</f>
        <v>100</v>
      </c>
      <c r="S12" s="899">
        <f t="shared" si="10"/>
        <v>100</v>
      </c>
      <c r="T12" s="898"/>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1"/>
      <c r="B13" s="1333" t="s">
        <v>2088</v>
      </c>
      <c r="C13" s="992"/>
      <c r="D13" s="993"/>
      <c r="E13" s="993"/>
      <c r="F13" s="993"/>
      <c r="G13" s="993"/>
      <c r="H13" s="993"/>
      <c r="I13" s="993"/>
      <c r="J13" s="993"/>
      <c r="K13" s="993"/>
      <c r="L13" s="993"/>
      <c r="M13" s="994"/>
      <c r="N13" s="998"/>
      <c r="O13" s="999"/>
      <c r="P13" s="1000"/>
      <c r="Q13" s="1001"/>
      <c r="R13" s="1002"/>
      <c r="S13" s="1003"/>
      <c r="T13" s="1004"/>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1"/>
      <c r="B14" s="896"/>
      <c r="C14" s="900"/>
      <c r="D14" s="897"/>
      <c r="E14" s="897"/>
      <c r="F14" s="897"/>
      <c r="G14" s="897"/>
      <c r="H14" s="897"/>
      <c r="I14" s="897"/>
      <c r="J14" s="897"/>
      <c r="K14" s="897"/>
      <c r="L14" s="897"/>
      <c r="M14" s="1005"/>
      <c r="N14" s="1005"/>
      <c r="O14" s="897"/>
      <c r="P14" s="897"/>
      <c r="Q14" s="897"/>
      <c r="R14" s="897"/>
      <c r="S14" s="1006"/>
      <c r="T14" s="898"/>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1"/>
      <c r="B15" s="1333" t="s">
        <v>2089</v>
      </c>
      <c r="C15" s="992"/>
      <c r="D15" s="993"/>
      <c r="E15" s="993"/>
      <c r="F15" s="993"/>
      <c r="G15" s="993"/>
      <c r="H15" s="993"/>
      <c r="I15" s="993"/>
      <c r="J15" s="993"/>
      <c r="K15" s="993"/>
      <c r="L15" s="993"/>
      <c r="M15" s="994"/>
      <c r="N15" s="998"/>
      <c r="O15" s="999"/>
      <c r="P15" s="1000"/>
      <c r="Q15" s="1001"/>
      <c r="R15" s="1002"/>
      <c r="S15" s="1003"/>
      <c r="T15" s="1004"/>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1"/>
      <c r="B16" s="985"/>
      <c r="C16" s="986"/>
      <c r="D16" s="987"/>
      <c r="E16" s="987"/>
      <c r="F16" s="987"/>
      <c r="G16" s="987"/>
      <c r="H16" s="987"/>
      <c r="I16" s="987"/>
      <c r="J16" s="987"/>
      <c r="K16" s="987"/>
      <c r="L16" s="987"/>
      <c r="M16" s="988"/>
      <c r="N16" s="988"/>
      <c r="O16" s="987"/>
      <c r="P16" s="987"/>
      <c r="Q16" s="987"/>
      <c r="R16" s="987"/>
      <c r="S16" s="989"/>
      <c r="T16" s="990"/>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5" t="s">
        <v>2090</v>
      </c>
      <c r="B17" s="2146" t="s">
        <v>2091</v>
      </c>
      <c r="C17" s="1007"/>
      <c r="D17" s="1008"/>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6"/>
      <c r="AS17" s="726"/>
    </row>
    <row r="18" spans="1:45" s="655" customFormat="1" ht="13.8"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6"/>
      <c r="AS18" s="726"/>
    </row>
    <row r="19" spans="1:45">
      <c r="A19" s="129"/>
      <c r="B19" s="159"/>
      <c r="C19" s="159"/>
      <c r="D19" s="2147" t="s">
        <v>2092</v>
      </c>
      <c r="E19" s="1337"/>
      <c r="F19" s="1337"/>
      <c r="G19" s="1337"/>
      <c r="H19" s="1056"/>
      <c r="I19" s="159"/>
      <c r="J19" s="159"/>
      <c r="K19" s="159"/>
      <c r="L19" s="159"/>
      <c r="M19" s="159"/>
      <c r="N19" s="159"/>
      <c r="O19" s="159"/>
      <c r="P19" s="159"/>
      <c r="Q19" s="159"/>
      <c r="R19" s="718"/>
      <c r="S19" s="129"/>
    </row>
    <row r="20" spans="1:45" ht="16.2" thickBot="1">
      <c r="A20" s="662" t="s">
        <v>2093</v>
      </c>
      <c r="B20" s="294" t="e">
        <f ca="1">IF(D20="——",S22,S22-F20)</f>
        <v>#REF!</v>
      </c>
      <c r="C20" s="159"/>
      <c r="D20" s="2148"/>
      <c r="E20" s="1338"/>
      <c r="F20" s="980" t="e">
        <f ca="1">SUMIF(INDIRECT("'"&amp;H20&amp;"'"&amp;"!A:A"),"承租人权益价值",INDIRECT("'"&amp;H20&amp;"'"&amp;"!c:c"))</f>
        <v>#REF!</v>
      </c>
      <c r="G20" s="980" t="s">
        <v>2094</v>
      </c>
      <c r="H20" s="2149"/>
      <c r="I20" s="159"/>
      <c r="J20" s="159"/>
      <c r="K20" s="159"/>
      <c r="L20" s="159"/>
      <c r="M20" s="159"/>
      <c r="N20" s="159"/>
      <c r="O20" s="159"/>
      <c r="P20" s="159"/>
      <c r="Q20" s="159"/>
      <c r="R20" s="718"/>
      <c r="S20" s="129"/>
    </row>
    <row r="21" spans="1:45" ht="15.6">
      <c r="A21" s="662" t="s">
        <v>2095</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2096</v>
      </c>
      <c r="B22" s="21">
        <f>SUM(B24:B10000)</f>
        <v>0</v>
      </c>
      <c r="C22" s="3846" t="s">
        <v>27</v>
      </c>
      <c r="D22" s="3847"/>
      <c r="E22" s="3847"/>
      <c r="F22" s="3847"/>
      <c r="G22" s="3847"/>
      <c r="H22" s="3847"/>
      <c r="I22" s="3847"/>
      <c r="J22" s="3847"/>
      <c r="K22" s="3847"/>
      <c r="L22" s="3847"/>
      <c r="M22" s="3847"/>
      <c r="N22" s="3847"/>
      <c r="O22" s="3847"/>
      <c r="P22" s="3847"/>
      <c r="Q22" s="3848"/>
      <c r="R22" s="663"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664" t="s">
        <v>2100</v>
      </c>
      <c r="S23" s="8" t="s">
        <v>2101</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2102</v>
      </c>
      <c r="B24" s="665"/>
      <c r="C24" s="2807">
        <v>1</v>
      </c>
      <c r="D24" s="2808"/>
      <c r="E24" s="2807">
        <v>1</v>
      </c>
      <c r="F24" s="2808"/>
      <c r="G24" s="2807">
        <v>1</v>
      </c>
      <c r="H24" s="2808"/>
      <c r="I24" s="2807">
        <v>1</v>
      </c>
      <c r="J24" s="2808"/>
      <c r="K24" s="2807">
        <v>1</v>
      </c>
      <c r="L24" s="2808"/>
      <c r="M24" s="2807">
        <v>1</v>
      </c>
      <c r="N24" s="2808"/>
      <c r="O24" s="2807">
        <v>1</v>
      </c>
      <c r="P24" s="2808"/>
      <c r="Q24" s="2807">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9" customWidth="1"/>
    <col min="2" max="2" width="37.21875" style="1489" customWidth="1"/>
    <col min="3" max="3" width="11.33203125" style="1489" customWidth="1"/>
    <col min="4" max="4" width="31.77734375" style="1489" customWidth="1"/>
    <col min="5" max="5" width="0.44140625" style="1489" customWidth="1"/>
    <col min="6" max="7" width="13" style="1489" customWidth="1"/>
    <col min="8" max="16384" width="9" style="1489"/>
  </cols>
  <sheetData>
    <row r="1" spans="1:5" ht="17.399999999999999">
      <c r="A1" s="1487" t="s">
        <v>907</v>
      </c>
      <c r="B1" s="1488"/>
      <c r="C1" s="1488"/>
      <c r="D1" s="1488"/>
      <c r="E1" s="1488"/>
    </row>
    <row r="2" spans="1:5" ht="78" customHeight="1">
      <c r="A2" s="35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67"/>
      <c r="C2" s="3567"/>
      <c r="D2" s="3567"/>
      <c r="E2" s="3567"/>
    </row>
    <row r="3" spans="1:5" ht="17.399999999999999">
      <c r="A3" s="3568" t="str">
        <f>IF(项目基本情况!B9="房地产市场价值","估价结果一览表（市场价值不需“结果表-1”）","估价结果一览表")</f>
        <v>估价结果一览表</v>
      </c>
      <c r="B3" s="3568"/>
      <c r="C3" s="3568"/>
      <c r="D3" s="3568"/>
      <c r="E3" s="3568"/>
    </row>
    <row r="4" spans="1:5" ht="18" thickBot="1">
      <c r="A4" s="1490"/>
      <c r="B4" s="3566" t="s">
        <v>916</v>
      </c>
      <c r="C4" s="3566"/>
      <c r="D4" s="3566"/>
      <c r="E4" s="1490"/>
    </row>
    <row r="5" spans="1:5" ht="16.2" thickTop="1">
      <c r="A5" s="1488"/>
      <c r="B5" s="3564" t="s">
        <v>908</v>
      </c>
      <c r="C5" s="1491" t="s">
        <v>909</v>
      </c>
      <c r="D5" s="847">
        <f ca="1">结果表!H101</f>
        <v>448976</v>
      </c>
      <c r="E5" s="1488"/>
    </row>
    <row r="6" spans="1:5" ht="31.2">
      <c r="A6" s="1488"/>
      <c r="B6" s="3564"/>
      <c r="C6" s="1491" t="s">
        <v>910</v>
      </c>
      <c r="D6" s="847" t="str">
        <f ca="1">NUMBERSTRING(INT(D5*10000),2)&amp;"元整"</f>
        <v>肆拾肆亿捌仟玖佰柒拾陆万元整</v>
      </c>
      <c r="E6" s="1488"/>
    </row>
    <row r="7" spans="1:5" ht="15.6">
      <c r="A7" s="1488"/>
      <c r="B7" s="3569"/>
      <c r="C7" s="1492" t="s">
        <v>911</v>
      </c>
      <c r="D7" s="848">
        <f ca="1">结果表!H102</f>
        <v>40035</v>
      </c>
      <c r="E7" s="1488"/>
    </row>
    <row r="8" spans="1:5" ht="15.6">
      <c r="A8" s="1488"/>
      <c r="B8" s="3570" t="str">
        <f>结果表!E103</f>
        <v>2.估价师知悉的法定优先受偿款</v>
      </c>
      <c r="C8" s="1493" t="s">
        <v>912</v>
      </c>
      <c r="D8" s="848">
        <f>结果表!H103</f>
        <v>0</v>
      </c>
      <c r="E8" s="1488"/>
    </row>
    <row r="9" spans="1:5" ht="15.6">
      <c r="A9" s="1488"/>
      <c r="B9" s="3572"/>
      <c r="C9" s="1491" t="s">
        <v>910</v>
      </c>
      <c r="D9" s="847" t="str">
        <f>NUMBERSTRING(INT(D8*10000),2)&amp;"元整"</f>
        <v>零元整</v>
      </c>
      <c r="E9" s="1488"/>
    </row>
    <row r="10" spans="1:5" ht="15.6">
      <c r="A10" s="1488"/>
      <c r="B10" s="1494" t="s">
        <v>915</v>
      </c>
      <c r="C10" s="1495" t="s">
        <v>913</v>
      </c>
      <c r="D10" s="849">
        <f>结果表!H104</f>
        <v>0</v>
      </c>
      <c r="E10" s="1488"/>
    </row>
    <row r="11" spans="1:5" ht="15.6">
      <c r="A11" s="1488"/>
      <c r="B11" s="1494" t="s">
        <v>917</v>
      </c>
      <c r="C11" s="1495" t="s">
        <v>918</v>
      </c>
      <c r="D11" s="849">
        <f>结果表!H105</f>
        <v>0</v>
      </c>
      <c r="E11" s="1488"/>
    </row>
    <row r="12" spans="1:5" ht="15.6">
      <c r="A12" s="1488"/>
      <c r="B12" s="1494" t="s">
        <v>919</v>
      </c>
      <c r="C12" s="1495" t="s">
        <v>918</v>
      </c>
      <c r="D12" s="849">
        <f>结果表!H106</f>
        <v>0</v>
      </c>
      <c r="E12" s="1488"/>
    </row>
    <row r="13" spans="1:5" ht="15.6">
      <c r="A13" s="1488"/>
      <c r="B13" s="3563" t="str">
        <f>结果表!E107</f>
        <v>3.房地产抵押价值</v>
      </c>
      <c r="C13" s="1496" t="s">
        <v>909</v>
      </c>
      <c r="D13" s="850">
        <f ca="1">结果表!H107</f>
        <v>448976</v>
      </c>
      <c r="E13" s="1488"/>
    </row>
    <row r="14" spans="1:5" ht="31.2">
      <c r="A14" s="1488"/>
      <c r="B14" s="3564"/>
      <c r="C14" s="1491" t="s">
        <v>910</v>
      </c>
      <c r="D14" s="847" t="str">
        <f ca="1">NUMBERSTRING(INT(D13*10000),2)&amp;"元整"</f>
        <v>肆拾肆亿捌仟玖佰柒拾陆万元整</v>
      </c>
      <c r="E14" s="1488"/>
    </row>
    <row r="15" spans="1:5" ht="15.6">
      <c r="A15" s="1488"/>
      <c r="B15" s="3569"/>
      <c r="C15" s="1492" t="s">
        <v>920</v>
      </c>
      <c r="D15" s="856">
        <f ca="1">结果表!H108</f>
        <v>40035</v>
      </c>
      <c r="E15" s="1488"/>
    </row>
    <row r="16" spans="1:5" ht="15.6">
      <c r="A16" s="1488"/>
      <c r="B16" s="3570" t="str">
        <f>结果表!E109</f>
        <v>——</v>
      </c>
      <c r="C16" s="1496" t="s">
        <v>921</v>
      </c>
      <c r="D16" s="1497" t="str">
        <f>结果表!H109</f>
        <v>——</v>
      </c>
      <c r="E16" s="1488"/>
    </row>
    <row r="17" spans="1:5" ht="15.6">
      <c r="A17" s="1488"/>
      <c r="B17" s="3571"/>
      <c r="C17" s="1491" t="s">
        <v>922</v>
      </c>
      <c r="D17" s="847" t="e">
        <f>NUMBERSTRING(INT(D16*10000),2)&amp;"元整"</f>
        <v>#VALUE!</v>
      </c>
      <c r="E17" s="1488"/>
    </row>
    <row r="18" spans="1:5" ht="15.6">
      <c r="A18" s="1488"/>
      <c r="B18" s="3572"/>
      <c r="C18" s="1492" t="s">
        <v>911</v>
      </c>
      <c r="D18" s="856" t="str">
        <f>结果表!H110</f>
        <v>——</v>
      </c>
      <c r="E18" s="1488"/>
    </row>
    <row r="19" spans="1:5" ht="15.6">
      <c r="A19" s="1488"/>
      <c r="B19" s="3563" t="str">
        <f>结果表!E111</f>
        <v>4.抵押净值</v>
      </c>
      <c r="C19" s="1496" t="s">
        <v>909</v>
      </c>
      <c r="D19" s="848">
        <f ca="1">结果表!H111</f>
        <v>398807</v>
      </c>
      <c r="E19" s="1488"/>
    </row>
    <row r="20" spans="1:5" ht="15.6">
      <c r="A20" s="1488"/>
      <c r="B20" s="3564"/>
      <c r="C20" s="1491" t="s">
        <v>922</v>
      </c>
      <c r="D20" s="847" t="str">
        <f ca="1">NUMBERSTRING(INT(D19*10000),2)&amp;"元整"</f>
        <v>叁拾玖亿捌仟捌佰零柒万元整</v>
      </c>
      <c r="E20" s="1488"/>
    </row>
    <row r="21" spans="1:5" ht="16.2" thickBot="1">
      <c r="A21" s="1488"/>
      <c r="B21" s="3565"/>
      <c r="C21" s="1498" t="s">
        <v>920</v>
      </c>
      <c r="D21" s="857">
        <f ca="1">结果表!H112</f>
        <v>35562</v>
      </c>
      <c r="E21" s="1488"/>
    </row>
    <row r="22" spans="1:5" ht="14.4" thickTop="1">
      <c r="A22" s="1488"/>
      <c r="B22" s="1499" t="s">
        <v>923</v>
      </c>
      <c r="C22" s="1488"/>
      <c r="D22" s="1488"/>
      <c r="E22" s="1488"/>
    </row>
    <row r="23" spans="1:5">
      <c r="A23" s="1488"/>
      <c r="B23" s="1488"/>
      <c r="C23" s="1488"/>
      <c r="D23" s="1488"/>
      <c r="E23" s="1488"/>
    </row>
    <row r="24" spans="1:5" ht="17.399999999999999">
      <c r="A24" s="1500"/>
      <c r="B24" s="1501" t="s">
        <v>914</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22" sqref="C22"/>
    </sheetView>
  </sheetViews>
  <sheetFormatPr defaultColWidth="9" defaultRowHeight="13.8"/>
  <cols>
    <col min="1" max="1" width="23.33203125" style="1474" customWidth="1"/>
    <col min="2" max="2" width="12.44140625" style="1474" customWidth="1"/>
    <col min="3" max="3" width="12.109375" style="1474" customWidth="1"/>
    <col min="4" max="4" width="14.109375" style="1474" customWidth="1"/>
    <col min="5" max="5" width="12.44140625" style="1474" customWidth="1"/>
    <col min="6" max="16384" width="9" style="1474"/>
  </cols>
  <sheetData>
    <row r="1" spans="1:16" ht="21.6">
      <c r="A1" s="1864" t="s">
        <v>2078</v>
      </c>
      <c r="B1" s="2144"/>
      <c r="C1" s="2144"/>
      <c r="D1" s="2144"/>
      <c r="E1" s="2144"/>
      <c r="F1" s="2790"/>
      <c r="G1" s="2790"/>
      <c r="H1" s="2790"/>
      <c r="I1" s="2790"/>
      <c r="J1" s="2790"/>
      <c r="K1" s="2790"/>
      <c r="L1" s="2790"/>
      <c r="M1" s="2790"/>
      <c r="N1" s="2790"/>
      <c r="O1" s="2790"/>
      <c r="P1" s="2790"/>
    </row>
    <row r="2" spans="1:16" ht="15.6">
      <c r="A2" s="2142" t="s">
        <v>2071</v>
      </c>
      <c r="B2" s="2599">
        <f ca="1">SUMIF(B6:B13,"&lt;&gt;#ref!",B6:B13)</f>
        <v>205103</v>
      </c>
      <c r="C2" s="2142" t="s">
        <v>2072</v>
      </c>
      <c r="D2" s="2142" t="s">
        <v>2073</v>
      </c>
      <c r="E2" s="2609">
        <f ca="1">SUMIF(E6:E13,"&lt;&gt;#ref!",E6:E13)</f>
        <v>103316.88999999998</v>
      </c>
      <c r="F2" s="2790"/>
      <c r="G2" s="2790"/>
      <c r="H2" s="2790"/>
      <c r="I2" s="2790"/>
      <c r="J2" s="2790"/>
      <c r="K2" s="2790"/>
      <c r="L2" s="2790"/>
      <c r="M2" s="2790"/>
      <c r="N2" s="2790"/>
      <c r="O2" s="2790"/>
      <c r="P2" s="2790"/>
    </row>
    <row r="3" spans="1:16" ht="15.6">
      <c r="A3" s="2142" t="s">
        <v>2074</v>
      </c>
      <c r="B3" s="2599">
        <f ca="1">ROUND(B2*10000/E2,0)</f>
        <v>19852</v>
      </c>
      <c r="C3" s="2142" t="s">
        <v>2079</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2075</v>
      </c>
      <c r="B5" s="2607" t="s">
        <v>2076</v>
      </c>
      <c r="C5" s="2143"/>
      <c r="D5" s="2790"/>
      <c r="E5" s="2608" t="s">
        <v>2077</v>
      </c>
      <c r="F5" s="2790"/>
      <c r="G5" s="2790"/>
      <c r="H5" s="2790"/>
      <c r="I5" s="2790"/>
      <c r="J5" s="2790"/>
      <c r="K5" s="2790"/>
      <c r="L5" s="2790"/>
      <c r="M5" s="2790"/>
      <c r="N5" s="2790"/>
      <c r="O5" s="2790"/>
      <c r="P5" s="2790"/>
    </row>
    <row r="6" spans="1:16" ht="15.6">
      <c r="A6" s="2606" t="s">
        <v>3479</v>
      </c>
      <c r="B6" s="2599">
        <f ca="1">SUMIF(INDIRECT("'"&amp;A6&amp;"'"&amp;"!A:A"),"总价",INDIRECT("'"&amp;A6&amp;"'"&amp;"!B:B"))</f>
        <v>157038</v>
      </c>
      <c r="C6" s="2142" t="s">
        <v>2072</v>
      </c>
      <c r="D6" s="2790"/>
      <c r="E6" s="2609">
        <f ca="1">SUMIF(INDIRECT("'"&amp;A6&amp;"'"&amp;"!C:C"),"建筑面积",INDIRECT("'"&amp;A6&amp;"'"&amp;"!D:D"))</f>
        <v>78020.839999999982</v>
      </c>
      <c r="F6" s="2790"/>
      <c r="G6" s="2790"/>
      <c r="H6" s="2790"/>
      <c r="I6" s="2790"/>
      <c r="J6" s="2790"/>
      <c r="K6" s="2790"/>
      <c r="L6" s="2790"/>
      <c r="M6" s="2790"/>
      <c r="N6" s="2790"/>
      <c r="O6" s="2790"/>
      <c r="P6" s="2790"/>
    </row>
    <row r="7" spans="1:16" ht="15.6">
      <c r="A7" s="2606" t="s">
        <v>3481</v>
      </c>
      <c r="B7" s="2599">
        <f ca="1">SUMIF(INDIRECT("'"&amp;A7&amp;"'"&amp;"!A:A"),"总价",INDIRECT("'"&amp;A7&amp;"'"&amp;"!B:B"))</f>
        <v>48065</v>
      </c>
      <c r="C7" s="2142" t="s">
        <v>2072</v>
      </c>
      <c r="D7" s="2790"/>
      <c r="E7" s="2609">
        <f t="shared" ref="E7:E13" ca="1" si="0">SUMIF(INDIRECT("'"&amp;A7&amp;"'"&amp;"!C:C"),"建筑面积",INDIRECT("'"&amp;A7&amp;"'"&amp;"!D:D"))</f>
        <v>25296.050000000003</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2" t="s">
        <v>2072</v>
      </c>
      <c r="D8" s="2790"/>
      <c r="E8" s="2609" t="e">
        <f t="shared" ca="1" si="0"/>
        <v>#REF!</v>
      </c>
      <c r="F8" s="2790"/>
      <c r="G8" s="2790"/>
      <c r="H8" s="2790"/>
      <c r="I8" s="2790"/>
      <c r="J8" s="2790"/>
      <c r="K8" s="2790"/>
      <c r="L8" s="2790"/>
      <c r="M8" s="2790"/>
      <c r="N8" s="2790"/>
      <c r="O8" s="2790"/>
      <c r="P8" s="2790"/>
    </row>
    <row r="9" spans="1:16" ht="15.6">
      <c r="A9" s="2606"/>
      <c r="B9" s="2599" t="e">
        <f t="shared" ca="1" si="1"/>
        <v>#REF!</v>
      </c>
      <c r="C9" s="2142" t="s">
        <v>2072</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2" t="s">
        <v>2072</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2" t="s">
        <v>2072</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2" t="s">
        <v>2072</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2" t="s">
        <v>2072</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33" sqref="D33"/>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196" t="s">
        <v>1924</v>
      </c>
      <c r="B1" s="197"/>
      <c r="C1" s="201" t="s">
        <v>1925</v>
      </c>
      <c r="D1" s="342">
        <f>SUM(D33:D34,D37:D42)</f>
        <v>78020.839999999982</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6">
      <c r="A2" s="201" t="s">
        <v>1932</v>
      </c>
      <c r="B2" s="204">
        <f>C30</f>
        <v>157038</v>
      </c>
      <c r="C2" s="1996" t="s">
        <v>1933</v>
      </c>
      <c r="D2" s="1997" t="s">
        <v>1934</v>
      </c>
      <c r="E2" s="3419" t="s">
        <v>21</v>
      </c>
      <c r="F2" s="1997" t="s">
        <v>1935</v>
      </c>
      <c r="G2" s="1998" t="str">
        <f>IF(E2="商业",项目基本情况!B37,IF(E2="办公",项目基本情况!C37,IF(E2="住宅",项目基本情况!D37,IF(E2="工业",项目基本情况!E37,项目基本情况!F37))))</f>
        <v>二级</v>
      </c>
      <c r="H2" s="1997" t="s">
        <v>1936</v>
      </c>
      <c r="I2" s="1998" t="str">
        <f>IF(E2="商业",项目基本情况!B38,IF(E2="办公",项目基本情况!C38,IF(E2="住宅",项目基本情况!D38,IF(E2="工业",项目基本情况!E38,项目基本情况!F38))))</f>
        <v>Ⅱ—03</v>
      </c>
      <c r="J2" s="1999"/>
      <c r="K2" s="1116"/>
      <c r="L2" s="2000" t="s">
        <v>1937</v>
      </c>
      <c r="M2" s="861">
        <f>SUMPRODUCT((区片价!B10:B29=I2)*(区片价!C3:G3=E2)*(区片价!C10:G29))</f>
        <v>27550</v>
      </c>
      <c r="N2" s="863">
        <f>SUMPRODUCT((因素修正幅度!B10:B29=I2)*(因素修正幅度!C3:G3=E2)*(因素修正幅度!C10:G29))</f>
        <v>0.09</v>
      </c>
      <c r="O2" s="1116"/>
      <c r="P2" s="1116"/>
      <c r="Q2" s="1116"/>
      <c r="R2" s="1209">
        <v>1</v>
      </c>
      <c r="S2" s="3358">
        <f>ROUND(SUMPRODUCT((B106:B110=R2)*(C105:N105=G2)*(C106:N110)),4)</f>
        <v>1.5206</v>
      </c>
      <c r="T2" s="3358">
        <f t="shared" ref="T2:T16" si="0">ROUND($C$5*$C$22*$C$23*$C$24*S2*$C$28,0)</f>
        <v>40641</v>
      </c>
      <c r="U2" s="1210"/>
      <c r="V2" s="3358">
        <f>ROUND(T2*U2/10000,0)</f>
        <v>0</v>
      </c>
      <c r="W2" s="1213"/>
      <c r="X2" s="1213"/>
      <c r="Y2" s="1213"/>
      <c r="Z2" s="1213"/>
      <c r="AA2" s="1213"/>
      <c r="AB2" s="1213"/>
      <c r="AC2" s="1214"/>
      <c r="AD2" s="1215"/>
      <c r="AE2" s="1215"/>
      <c r="AF2" s="1215"/>
      <c r="AG2" s="1215"/>
      <c r="AH2" s="1215"/>
      <c r="AI2" s="1215"/>
      <c r="AJ2" s="1216"/>
    </row>
    <row r="3" spans="1:36" ht="15.6">
      <c r="A3" s="203" t="s">
        <v>1938</v>
      </c>
      <c r="B3" s="204">
        <f>ROUND(B2*10000/D1,0)</f>
        <v>20128</v>
      </c>
      <c r="C3" s="1996" t="s">
        <v>1939</v>
      </c>
      <c r="D3" s="1997" t="s">
        <v>1940</v>
      </c>
      <c r="E3" s="3417" t="s">
        <v>3465</v>
      </c>
      <c r="F3" s="2001" t="s">
        <v>3466</v>
      </c>
      <c r="G3" s="749">
        <f>IF(F3="宗地容积率",'数据-汇总表'!I4,IF(F3="估价对象容积率",'数据-汇总表'!I6,'数据-汇总表'!I7))</f>
        <v>6.39</v>
      </c>
      <c r="H3" s="170" t="s">
        <v>1941</v>
      </c>
      <c r="I3" s="772"/>
      <c r="J3" s="1999" t="s">
        <v>1942</v>
      </c>
      <c r="K3" s="1116"/>
      <c r="L3" s="2000" t="s">
        <v>1943</v>
      </c>
      <c r="M3" s="861">
        <f>SUMPRODUCT((区片价!B30:B54=I2)*(区片价!C3:G3=E2)*(区片价!C30:G54))</f>
        <v>0</v>
      </c>
      <c r="N3" s="863">
        <f>SUMPRODUCT((因素修正幅度!B30:B54=I2)*(因素修正幅度!C3:G3=E2)*(因素修正幅度!C30:G54))</f>
        <v>0</v>
      </c>
      <c r="O3" s="1116"/>
      <c r="P3" s="1116"/>
      <c r="Q3" s="1116"/>
      <c r="R3" s="1209">
        <v>2</v>
      </c>
      <c r="S3" s="3358">
        <f>ROUND(SUMPRODUCT((B106:B110=R3)*(C105:N105=G2)*(C106:N110)),4)</f>
        <v>1.2072000000000001</v>
      </c>
      <c r="T3" s="3358">
        <f t="shared" si="0"/>
        <v>32265</v>
      </c>
      <c r="U3" s="1210"/>
      <c r="V3" s="3358">
        <f t="shared" ref="V3:V16" si="1">ROUND(T3*U3/10000,0)</f>
        <v>0</v>
      </c>
      <c r="W3" s="1213"/>
      <c r="X3" s="1213"/>
      <c r="Y3" s="1213"/>
      <c r="Z3" s="1213"/>
      <c r="AA3" s="1213"/>
      <c r="AB3" s="1213"/>
      <c r="AC3" s="1214"/>
      <c r="AD3" s="1215"/>
      <c r="AE3" s="1215"/>
      <c r="AF3" s="1215"/>
      <c r="AG3" s="1215"/>
      <c r="AH3" s="1215"/>
      <c r="AI3" s="1215"/>
      <c r="AJ3" s="1216"/>
    </row>
    <row r="4" spans="1:36" ht="15.6">
      <c r="A4" s="3859"/>
      <c r="B4" s="3860"/>
      <c r="C4" s="3860"/>
      <c r="D4" s="3861"/>
      <c r="E4" s="3861"/>
      <c r="F4" s="3861"/>
      <c r="G4" s="3861"/>
      <c r="H4" s="3861"/>
      <c r="I4" s="3861"/>
      <c r="J4" s="3862"/>
      <c r="K4" s="1116"/>
      <c r="L4" s="2000" t="s">
        <v>1944</v>
      </c>
      <c r="M4" s="861">
        <f>SUMPRODUCT((区片价!B55:B86=I2)*(区片价!C3:G3=E2)*(区片价!C55:G86))</f>
        <v>0</v>
      </c>
      <c r="N4" s="863">
        <f>SUMPRODUCT((因素修正幅度!B55:B86=I2)*(因素修正幅度!C3:G3=E2)*(因素修正幅度!C55:G86))</f>
        <v>0</v>
      </c>
      <c r="O4" s="1116"/>
      <c r="P4" s="1116"/>
      <c r="Q4" s="1116"/>
      <c r="R4" s="1209">
        <v>3</v>
      </c>
      <c r="S4" s="3358">
        <f>ROUND(SUMPRODUCT((B106:B110=R4)*(C105:N105=G2)*(C106:N110)),4)</f>
        <v>1.0430999999999999</v>
      </c>
      <c r="T4" s="3358">
        <f t="shared" si="0"/>
        <v>27879</v>
      </c>
      <c r="U4" s="1210"/>
      <c r="V4" s="3358">
        <f t="shared" si="1"/>
        <v>0</v>
      </c>
      <c r="W4" s="1213"/>
      <c r="X4" s="1213"/>
      <c r="Y4" s="1213"/>
      <c r="Z4" s="1213"/>
      <c r="AA4" s="1213"/>
      <c r="AB4" s="1213"/>
      <c r="AC4" s="1214"/>
      <c r="AD4" s="1215"/>
      <c r="AE4" s="1215"/>
      <c r="AF4" s="1215"/>
      <c r="AG4" s="1215"/>
      <c r="AH4" s="1215"/>
      <c r="AI4" s="1215"/>
      <c r="AJ4" s="1216"/>
    </row>
    <row r="5" spans="1:36" s="2011" customFormat="1" ht="15.6" thickBot="1">
      <c r="A5" s="2002" t="s">
        <v>361</v>
      </c>
      <c r="B5" s="2003" t="s">
        <v>1945</v>
      </c>
      <c r="C5" s="750">
        <f>ROUND(IF(E2="商业",C6*C7*C17+C20,(IF(E2="住宅",C6*C13*C17+C20,IF(E2="办公",C6*C12*C17+C20,C6+C20)))),0)</f>
        <v>28911</v>
      </c>
      <c r="D5" s="1336">
        <f>ROUND(C6*C17+C20,0)</f>
        <v>27533</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1209">
        <v>4</v>
      </c>
      <c r="S5" s="3358">
        <f>ROUND(SUMPRODUCT((B106:B110=R5)*(C105:N105=G2)*(C106:N110)),4)</f>
        <v>0.94389999999999996</v>
      </c>
      <c r="T5" s="3358">
        <f t="shared" si="0"/>
        <v>25227</v>
      </c>
      <c r="U5" s="1210"/>
      <c r="V5" s="3358">
        <f t="shared" si="1"/>
        <v>0</v>
      </c>
      <c r="W5" s="1213"/>
      <c r="X5" s="1213"/>
      <c r="Y5" s="1213"/>
      <c r="Z5" s="1213"/>
      <c r="AA5" s="1213"/>
      <c r="AB5" s="1213"/>
      <c r="AC5" s="2008"/>
      <c r="AD5" s="2009"/>
      <c r="AE5" s="2009"/>
      <c r="AF5" s="2009"/>
      <c r="AG5" s="2009"/>
      <c r="AH5" s="2009"/>
      <c r="AI5" s="2009"/>
      <c r="AJ5" s="2010"/>
    </row>
    <row r="6" spans="1:36" ht="15.6" thickBot="1">
      <c r="A6" s="2012" t="s">
        <v>1947</v>
      </c>
      <c r="B6" s="2013" t="s">
        <v>1948</v>
      </c>
      <c r="C6" s="751">
        <f>SUMIF(L1:L12,G2,M1:M12)</f>
        <v>27550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1209">
        <v>5</v>
      </c>
      <c r="S6" s="3358">
        <f>ROUND(SUMPRODUCT((B106:B110=R6)*(C105:N105=G2)*(C106:N110)),4)</f>
        <v>0.89959999999999996</v>
      </c>
      <c r="T6" s="3358">
        <f t="shared" si="0"/>
        <v>24043</v>
      </c>
      <c r="U6" s="1210"/>
      <c r="V6" s="3358">
        <f t="shared" si="1"/>
        <v>0</v>
      </c>
      <c r="W6" s="1213"/>
      <c r="X6" s="1213"/>
      <c r="Y6" s="1213"/>
      <c r="Z6" s="1213"/>
      <c r="AA6" s="1213"/>
      <c r="AB6" s="1213"/>
      <c r="AC6" s="2008"/>
      <c r="AD6" s="2009"/>
      <c r="AE6" s="2009"/>
      <c r="AF6" s="2009"/>
      <c r="AG6" s="2009"/>
      <c r="AH6" s="2009"/>
      <c r="AI6" s="2009"/>
      <c r="AJ6" s="2010"/>
    </row>
    <row r="7" spans="1:36" ht="24.6" thickBot="1">
      <c r="A7" s="3301" t="s">
        <v>3238</v>
      </c>
      <c r="B7" s="2018"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1209">
        <v>6</v>
      </c>
      <c r="S7" s="3416"/>
      <c r="T7" s="3358">
        <f t="shared" si="0"/>
        <v>0</v>
      </c>
      <c r="U7" s="1210"/>
      <c r="V7" s="3358">
        <f t="shared" si="1"/>
        <v>0</v>
      </c>
      <c r="W7" s="1355" t="s">
        <v>1953</v>
      </c>
      <c r="X7" s="1211" t="str">
        <f>G2</f>
        <v>二级</v>
      </c>
      <c r="Y7" s="1211" t="s">
        <v>1954</v>
      </c>
      <c r="Z7" s="1212">
        <f>G3</f>
        <v>6.39</v>
      </c>
      <c r="AA7" s="1213"/>
      <c r="AB7" s="1213"/>
      <c r="AC7" s="1214"/>
      <c r="AD7" s="1215"/>
      <c r="AE7" s="1215"/>
      <c r="AF7" s="1215"/>
      <c r="AG7" s="1215"/>
      <c r="AH7" s="1215"/>
      <c r="AI7" s="1215"/>
      <c r="AJ7" s="1216"/>
    </row>
    <row r="8" spans="1:36" ht="26.4">
      <c r="A8" s="3296"/>
      <c r="B8" s="170" t="s">
        <v>1955</v>
      </c>
      <c r="C8" s="2023" t="s">
        <v>3467</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1209">
        <v>7</v>
      </c>
      <c r="S8" s="1210"/>
      <c r="T8" s="3358">
        <f t="shared" si="0"/>
        <v>0</v>
      </c>
      <c r="U8" s="1210"/>
      <c r="V8" s="3358">
        <f t="shared" si="1"/>
        <v>0</v>
      </c>
      <c r="W8" s="3856" t="s">
        <v>1958</v>
      </c>
      <c r="X8" s="3857"/>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1209">
        <v>8</v>
      </c>
      <c r="S9" s="1210"/>
      <c r="T9" s="3358">
        <f t="shared" si="0"/>
        <v>0</v>
      </c>
      <c r="U9" s="1210"/>
      <c r="V9" s="3358">
        <f t="shared" si="1"/>
        <v>0</v>
      </c>
      <c r="W9" s="3858"/>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1209">
        <v>9</v>
      </c>
      <c r="S10" s="1210"/>
      <c r="T10" s="3358">
        <f t="shared" si="0"/>
        <v>0</v>
      </c>
      <c r="U10" s="1210"/>
      <c r="V10" s="3358">
        <f t="shared" si="1"/>
        <v>0</v>
      </c>
      <c r="W10" s="3858"/>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8" thickBot="1">
      <c r="A12" s="3301" t="s">
        <v>3239</v>
      </c>
      <c r="B12" s="3302" t="s">
        <v>3240</v>
      </c>
      <c r="C12" s="3303">
        <v>1.05</v>
      </c>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24.6"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24">
      <c r="A14" s="3295"/>
      <c r="B14" s="2037"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3245</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6"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ht="24">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30"/>
      <c r="B18" s="3007"/>
      <c r="C18" s="3325"/>
      <c r="D18" s="3320" t="s">
        <v>3249</v>
      </c>
      <c r="E18" s="3326"/>
      <c r="F18" s="3321" t="s">
        <v>3252</v>
      </c>
      <c r="G18" s="3325">
        <f>ROUND(1-(1/(POWER(1+G24,E18))),4)</f>
        <v>0</v>
      </c>
      <c r="H18" s="3321" t="s">
        <v>3254</v>
      </c>
      <c r="I18" s="3325">
        <f>ROUND(1-(1/(POWER(1+G24,J24))),4)</f>
        <v>0.93120000000000003</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4.4"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3.8">
      <c r="A20" s="3863" t="s">
        <v>3255</v>
      </c>
      <c r="B20" s="167" t="s">
        <v>1992</v>
      </c>
      <c r="C20" s="3322">
        <f>ROUND(IF(F21="与级别开发程度一致",0,(G21-E21)/C21),0)</f>
        <v>-17</v>
      </c>
      <c r="D20" s="3338" t="s">
        <v>1996</v>
      </c>
      <c r="E20" s="3339"/>
      <c r="F20" s="3869" t="s">
        <v>1993</v>
      </c>
      <c r="G20" s="3870"/>
      <c r="H20" s="3323" t="s">
        <v>3469</v>
      </c>
      <c r="I20" s="3323" t="s">
        <v>3470</v>
      </c>
      <c r="J20" s="3324" t="s">
        <v>3471</v>
      </c>
      <c r="K20" s="2044" t="s">
        <v>3472</v>
      </c>
      <c r="L20" s="2044" t="s">
        <v>3473</v>
      </c>
      <c r="M20" s="2044" t="s">
        <v>3474</v>
      </c>
      <c r="N20" s="2044" t="s">
        <v>3475</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7" thickBot="1">
      <c r="A21" s="3864"/>
      <c r="B21" s="2161" t="s">
        <v>1995</v>
      </c>
      <c r="C21" s="2162">
        <f>IF(E3="M4科研用地",SUMPRODUCT((修正!A2:A7=E3)*(修正!B1:M1=G2)*(修正!B2:M7)),SUMPRODUCT((修正!A2:A7=E2)*(修正!B1:M1=G2)*(修正!B2:M7)))</f>
        <v>3.5</v>
      </c>
      <c r="D21" s="187" t="str">
        <f>IF(OR(G2="八级",G2="九级",G2="十级",G2="十一级",G2="十二级"),"五通一平","七通一平")</f>
        <v>七通一平</v>
      </c>
      <c r="E21" s="2152">
        <f>SUMPRODUCT((修正!B1:M1=G2)*(修正!B17:M17))</f>
        <v>375</v>
      </c>
      <c r="F21" s="2153" t="s">
        <v>3468</v>
      </c>
      <c r="G21" s="2154">
        <f>SUM(H21:O21)</f>
        <v>315</v>
      </c>
      <c r="H21" s="2162">
        <f>SUMPRODUCT((七通一平=H20)*(修正!B1:M1=G2)*(修正!B8:M16))</f>
        <v>80</v>
      </c>
      <c r="I21" s="2162">
        <f>SUMPRODUCT((七通一平=I20)*(修正!B1:M1=G2)*(修正!B8:M16))</f>
        <v>70</v>
      </c>
      <c r="J21" s="2163">
        <f>SUMPRODUCT((七通一平=J20)*(修正!B1:M1=G2)*(修正!B8:M16))</f>
        <v>20</v>
      </c>
      <c r="K21" s="2162">
        <f>SUMPRODUCT((七通一平=K20)*(修正!B1:M1=G2)*(修正!B8:M16))</f>
        <v>30</v>
      </c>
      <c r="L21" s="2162">
        <f>SUMPRODUCT((七通一平=L20)*(修正!B1:M1=G2)*(修正!B8:M16))</f>
        <v>45</v>
      </c>
      <c r="M21" s="2162">
        <f>SUMPRODUCT((七通一平=M20)*(修正!B1:M1=G2)*(修正!B8:M16))</f>
        <v>50</v>
      </c>
      <c r="N21" s="2162">
        <f>SUMPRODUCT((七通一平=N20)*(修正!B1:M1=G2)*(修正!B8:M16))</f>
        <v>20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7"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2051" t="s">
        <v>2000</v>
      </c>
      <c r="E23" s="758">
        <v>44197</v>
      </c>
      <c r="F23" s="2051" t="s">
        <v>2001</v>
      </c>
      <c r="G23" s="759">
        <f>'数据-取费表'!B2</f>
        <v>45295</v>
      </c>
      <c r="H23" s="3340" t="s">
        <v>3257</v>
      </c>
      <c r="I23" s="3341" t="str">
        <f>IF(H23="季度增幅（自定义）",SUMIF(N25:N28,E2,O25:O28),"")</f>
        <v/>
      </c>
      <c r="J23" s="3443" t="s">
        <v>3256</v>
      </c>
      <c r="K23" s="1122"/>
      <c r="L23" s="2052" t="s">
        <v>2002</v>
      </c>
      <c r="M23" s="1325">
        <f>ROUND(SUMIF(地价!B2:G2,E2,地价!B16:G16),0)</f>
        <v>350</v>
      </c>
      <c r="N23" s="2053" t="s">
        <v>2003</v>
      </c>
      <c r="O23" s="760">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364</v>
      </c>
      <c r="B24" s="2056" t="s">
        <v>2004</v>
      </c>
      <c r="C24" s="761">
        <f>ROUND(POWER(1+G24,J24-I24)*(POWER(1+G24,I24)-1)/(POWER(1+G24,J24)-1),4)</f>
        <v>0.85619999999999996</v>
      </c>
      <c r="D24" s="2057" t="s">
        <v>2005</v>
      </c>
      <c r="E24" s="1332">
        <f>存贷款利率!E24/100</f>
        <v>4.3499999999999997E-2</v>
      </c>
      <c r="F24" s="2057" t="s">
        <v>1997</v>
      </c>
      <c r="G24" s="765">
        <f>SUMIF(M30:Q30,E2,M33:Q33)</f>
        <v>5.5E-2</v>
      </c>
      <c r="H24" s="2057" t="s">
        <v>2006</v>
      </c>
      <c r="I24" s="766">
        <f>SUMIF('数据-取费表'!C6:C15,E2,'数据-取费表'!F6:F15)/COUNTIF('数据-取费表'!C6:C15,E2)</f>
        <v>29.81</v>
      </c>
      <c r="J24" s="767">
        <f>IF(E2="住宅",70,IF(E2="商业",40,50))</f>
        <v>50</v>
      </c>
      <c r="K24" s="1122"/>
      <c r="L24" s="2058" t="s">
        <v>2007</v>
      </c>
      <c r="M24" s="1326">
        <f>ROUND(SUMPRODUCT((地价!A4:A16=YEAR(G23)&amp;"-"&amp;ROUNDUP(MONTH(G23)/3,0))*(地价!B2:G2=E2)*(地价!B4:G16)),0)</f>
        <v>0</v>
      </c>
      <c r="N24" s="2059" t="s">
        <v>2008</v>
      </c>
      <c r="O24" s="2060" t="s">
        <v>2009</v>
      </c>
      <c r="P24" s="2061"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4.4">
      <c r="A25" s="2062" t="s">
        <v>365</v>
      </c>
      <c r="B25" s="2063" t="s">
        <v>3336</v>
      </c>
      <c r="C25" s="768">
        <f>IF(B25="容积率修正",IF(G3&lt;10,D26,J26),C27)</f>
        <v>0.93340000000000001</v>
      </c>
      <c r="D25" s="2064"/>
      <c r="E25" s="2064"/>
      <c r="F25" s="2064"/>
      <c r="G25" s="2064"/>
      <c r="H25" s="2064"/>
      <c r="I25" s="2064"/>
      <c r="J25" s="2065"/>
      <c r="K25" s="1122"/>
      <c r="L25" s="2785"/>
      <c r="M25" s="2785"/>
      <c r="N25" s="2066" t="s">
        <v>2011</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2012</v>
      </c>
      <c r="B26" s="2067" t="s">
        <v>2013</v>
      </c>
      <c r="C26" s="3342" t="s">
        <v>3258</v>
      </c>
      <c r="D26" s="1349">
        <f>IF(E26=G26,F26,IF(G3&lt;10,ROUND(F26+(H26-F26)*(G3-E26)/(G26-E26),4),"——"))</f>
        <v>0.93340000000000001</v>
      </c>
      <c r="E26" s="749">
        <f>ROUNDDOWN(G3,1)</f>
        <v>6.3</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0.93500000000000005</v>
      </c>
      <c r="G26" s="749">
        <f>ROUNDUP(G3,1)</f>
        <v>6.3999999999999995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0.93320000000000003</v>
      </c>
      <c r="I26" s="3342" t="s">
        <v>3259</v>
      </c>
      <c r="J26" s="769" t="str">
        <f>IF(G3&gt;=10,D115,"——")</f>
        <v>——</v>
      </c>
      <c r="K26" s="1122"/>
      <c r="L26" s="2785"/>
      <c r="M26" s="2785"/>
      <c r="N26" s="2066" t="s">
        <v>2014</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2015</v>
      </c>
      <c r="B27" s="2068" t="s">
        <v>2016</v>
      </c>
      <c r="C27" s="838">
        <f>ROUND(IF(I3&lt;6,SUMPRODUCT((B106:B110=I3)*(C105:N105=G2)*(C106:N110)),SUMIF(C105:N105,G2,C112:N112)),4)</f>
        <v>0</v>
      </c>
      <c r="D27" s="2043"/>
      <c r="E27" s="2043"/>
      <c r="F27" s="2069"/>
      <c r="G27" s="2070"/>
      <c r="H27" s="2071"/>
      <c r="I27" s="2072"/>
      <c r="J27" s="2073"/>
      <c r="K27" s="1116"/>
      <c r="L27" s="1994"/>
      <c r="M27" s="1994"/>
      <c r="N27" s="2066" t="s">
        <v>2017</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366</v>
      </c>
      <c r="B28" s="2048" t="s">
        <v>2018</v>
      </c>
      <c r="C28" s="757">
        <f>SUMIF(A47:A101,E2,B47:B101)</f>
        <v>1.0501</v>
      </c>
      <c r="D28" s="2049"/>
      <c r="E28" s="2074"/>
      <c r="F28" s="2074"/>
      <c r="G28" s="2074"/>
      <c r="H28" s="2074"/>
      <c r="I28" s="2074"/>
      <c r="J28" s="2075"/>
      <c r="K28" s="1122"/>
      <c r="L28" s="2785"/>
      <c r="M28" s="2785"/>
      <c r="N28" s="2076" t="s">
        <v>2019</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367</v>
      </c>
      <c r="B29" s="2077" t="s">
        <v>2020</v>
      </c>
      <c r="C29" s="762"/>
      <c r="D29" s="2021"/>
      <c r="E29" s="2021"/>
      <c r="F29" s="2078"/>
      <c r="G29" s="2021"/>
      <c r="H29" s="2021"/>
      <c r="I29" s="2021"/>
      <c r="J29" s="2022"/>
      <c r="K29" s="1116"/>
      <c r="L29" s="1994"/>
      <c r="M29" s="1994"/>
      <c r="N29" s="2782" t="s">
        <v>2021</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2022</v>
      </c>
      <c r="C30" s="2318">
        <f>IF(B25="容积率修正",E33+SUM(E37:E42),SUM(V2:V16)+SUM(E37:E42))</f>
        <v>157038</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2023</v>
      </c>
      <c r="C31" s="763">
        <f>E34+SUM(I37:I42)</f>
        <v>3218</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2028</v>
      </c>
      <c r="C33" s="175">
        <f>ROUND(C5*C22*C23*C24*C25*C28,0)</f>
        <v>24947</v>
      </c>
      <c r="D33" s="2095">
        <f>'数据-汇总表'!F19+'数据-汇总表'!F22</f>
        <v>57789.659999999996</v>
      </c>
      <c r="E33" s="770">
        <f>ROUND(C33*D33/10000,0)</f>
        <v>144168</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2029</v>
      </c>
      <c r="C34" s="187">
        <f>ROUND(IF(E2="工业",C33*M42,IF(B25="楼层修正",SUM(V2:V16)*M41*10000/D34,C33*M41)),0)</f>
        <v>6237</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867"/>
      <c r="B37" s="2110" t="s">
        <v>2034</v>
      </c>
      <c r="C37" s="175">
        <f>ROUND(D5*C22*C23*C24*C28*F37,0)</f>
        <v>17817</v>
      </c>
      <c r="D37" s="2095"/>
      <c r="E37" s="171">
        <f>ROUND(C37*D37/10000,0)</f>
        <v>0</v>
      </c>
      <c r="F37" s="171">
        <f>SUMIF(修正!A57:A68,G2,修正!B57:B68)</f>
        <v>0.7</v>
      </c>
      <c r="G37" s="171">
        <f>ROUND(IF(E2="工业",C37*$M$42,C37*$M$41),0)</f>
        <v>4454</v>
      </c>
      <c r="H37" s="171">
        <f>D37</f>
        <v>0</v>
      </c>
      <c r="I37" s="171">
        <f>ROUND(G37*H37/10000,0)</f>
        <v>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8"/>
      <c r="B38" s="2038" t="s">
        <v>2035</v>
      </c>
      <c r="C38" s="175">
        <f>ROUND(D5*C22*C23*C24*C28*F38,0)</f>
        <v>10181</v>
      </c>
      <c r="D38" s="2095"/>
      <c r="E38" s="171">
        <f t="shared" ref="E38:E42" si="4">ROUND(C38*D38/10000,0)</f>
        <v>0</v>
      </c>
      <c r="F38" s="171">
        <f>SUMIF(修正!A57:A68,G2,修正!C57:C68)</f>
        <v>0.4</v>
      </c>
      <c r="G38" s="171">
        <f>ROUND(IF(E2="工业",C38*$M$42,C38*$M$41),0)</f>
        <v>2545</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8" thickBot="1">
      <c r="A39" s="3868"/>
      <c r="B39" s="2038" t="s">
        <v>3260</v>
      </c>
      <c r="C39" s="175">
        <f>ROUND(D5*C22*C23*C24*C28*F39,0)</f>
        <v>7636</v>
      </c>
      <c r="D39" s="2095"/>
      <c r="E39" s="171">
        <f t="shared" si="4"/>
        <v>0</v>
      </c>
      <c r="F39" s="171">
        <f>SUMIF(修正!A57:A68,G2,修正!D57:D68)</f>
        <v>0.3</v>
      </c>
      <c r="G39" s="171">
        <f>ROUND(IF(E2="工业",C39*$M$42,C39*$M$41),0)</f>
        <v>1909</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7636</v>
      </c>
      <c r="D40" s="2095">
        <f>'数据-汇总表'!G19</f>
        <v>7419.8799999999983</v>
      </c>
      <c r="E40" s="171">
        <f t="shared" si="4"/>
        <v>5666</v>
      </c>
      <c r="F40" s="175">
        <f>SUMIF(修正!A57:A68,G2,修正!E57:E68)</f>
        <v>0.3</v>
      </c>
      <c r="G40" s="171">
        <f>ROUND(IF(E2="工业",C40*$M$42,C40*$M$41),0)</f>
        <v>1909</v>
      </c>
      <c r="H40" s="171">
        <f t="shared" si="5"/>
        <v>7419.8799999999983</v>
      </c>
      <c r="I40" s="171">
        <f t="shared" si="6"/>
        <v>1416</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7636</v>
      </c>
      <c r="D41" s="2095">
        <f>'数据-汇总表'!G22</f>
        <v>2679.84</v>
      </c>
      <c r="E41" s="171">
        <f t="shared" si="4"/>
        <v>2046</v>
      </c>
      <c r="F41" s="175">
        <f>SUMIF(修正!A57:A68,G2,修正!F57:F68)</f>
        <v>0.3</v>
      </c>
      <c r="G41" s="171">
        <f>ROUND(IF(E2="工业",C41*$M$42,C41*$M$41),0)</f>
        <v>1909</v>
      </c>
      <c r="H41" s="171">
        <f t="shared" si="5"/>
        <v>2679.84</v>
      </c>
      <c r="I41" s="171">
        <f t="shared" si="6"/>
        <v>512</v>
      </c>
      <c r="J41" s="2111"/>
      <c r="L41" s="3357" t="s">
        <v>3268</v>
      </c>
      <c r="M41" s="2115">
        <v>0.25</v>
      </c>
      <c r="Z41" s="1117"/>
      <c r="AA41" s="1117"/>
      <c r="AB41" s="1117"/>
      <c r="AC41" s="1117"/>
      <c r="AD41" s="1117"/>
      <c r="AE41" s="1117"/>
      <c r="AF41" s="1117"/>
      <c r="AG41" s="1117"/>
      <c r="AH41" s="1117"/>
      <c r="AI41" s="1117"/>
      <c r="AJ41" s="1117"/>
    </row>
    <row r="42" spans="1:37" s="1116" customFormat="1" ht="13.8" thickBot="1">
      <c r="A42" s="2098"/>
      <c r="B42" s="2116" t="s">
        <v>2039</v>
      </c>
      <c r="C42" s="187">
        <f>ROUND(D5*C22*C23*C44*C28*F42,0)</f>
        <v>5091</v>
      </c>
      <c r="D42" s="2100">
        <f>'数据-汇总表'!G21</f>
        <v>10131.459999999992</v>
      </c>
      <c r="E42" s="187">
        <f t="shared" si="4"/>
        <v>5158</v>
      </c>
      <c r="F42" s="764">
        <f>SUMIF(修正!A57:A68,G2,修正!G57:G68)</f>
        <v>0.2</v>
      </c>
      <c r="G42" s="187">
        <f>ROUND(IF(E2="工业",C42*$M$42,C42*$M$41),0)</f>
        <v>1273</v>
      </c>
      <c r="H42" s="187">
        <f t="shared" si="5"/>
        <v>10131.459999999992</v>
      </c>
      <c r="I42" s="187">
        <f t="shared" si="6"/>
        <v>1290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2119</v>
      </c>
      <c r="C44" s="342">
        <f>ROUND(POWER(1+E44,H44-G44)*(POWER(1+E44,G44)-1)/(POWER(1+E44,H44)-1),4)</f>
        <v>0.85619999999999996</v>
      </c>
      <c r="D44" s="171" t="s">
        <v>1997</v>
      </c>
      <c r="E44" s="2150">
        <f>G24</f>
        <v>5.5E-2</v>
      </c>
      <c r="F44" s="171" t="s">
        <v>2006</v>
      </c>
      <c r="G44" s="183">
        <f>项目基本情况!F15</f>
        <v>29.81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2041</v>
      </c>
      <c r="B48" s="2124">
        <f>1+E50</f>
        <v>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9.6">
      <c r="A50" s="2127" t="s">
        <v>2050</v>
      </c>
      <c r="B50" s="2130" t="str">
        <f>估价对象房地状况!C4</f>
        <v>估价对象位于XX商圈，周边商业氛围成熟，人流量大，商业繁华度好</v>
      </c>
      <c r="C50" s="2041"/>
      <c r="D50" s="1062">
        <f t="shared" ref="D50:D58" si="7">SUMIF($J$49:$N$49,C50,J50:N50)</f>
        <v>0</v>
      </c>
      <c r="E50" s="741">
        <f>ROUND(SUM(D50:D58),4)</f>
        <v>0</v>
      </c>
      <c r="F50" s="1811" t="str">
        <f>IF(E2="商业",SUMIF(L1:L12,G2,N1:N12),"——")</f>
        <v>——</v>
      </c>
      <c r="G50" s="1060"/>
      <c r="H50" s="1063" t="str">
        <f t="shared" ref="H50:H58" si="8">IFERROR(ROUNDDOWN($F$50*I50/2,4),"——")</f>
        <v>——</v>
      </c>
      <c r="I50" s="3364">
        <v>0.3</v>
      </c>
      <c r="J50" s="1061">
        <f t="shared" ref="J50:J58" si="9">K50+$G50</f>
        <v>0</v>
      </c>
      <c r="K50" s="1061">
        <f t="shared" ref="K50:K58" si="10">$L50+$G50</f>
        <v>0</v>
      </c>
      <c r="L50" s="1061">
        <v>0</v>
      </c>
      <c r="M50" s="1061">
        <f t="shared" ref="M50:N58" si="11">L50-$G50</f>
        <v>0</v>
      </c>
      <c r="N50" s="1061">
        <f t="shared" si="11"/>
        <v>0</v>
      </c>
      <c r="AA50" s="1117"/>
      <c r="AB50" s="1117"/>
      <c r="AC50" s="1117"/>
      <c r="AD50" s="1117"/>
      <c r="AE50" s="1117"/>
      <c r="AF50" s="1117"/>
      <c r="AG50" s="1117"/>
      <c r="AH50" s="1117"/>
      <c r="AI50" s="1117"/>
      <c r="AJ50" s="1117"/>
      <c r="AK50" s="1117"/>
    </row>
    <row r="51" spans="1:37" s="1116" customFormat="1" ht="52.8">
      <c r="A51" s="2127" t="s">
        <v>2051</v>
      </c>
      <c r="B51" s="2131" t="str">
        <f>估价对象房地状况!C18</f>
        <v>估价对象周边道路状况、公共交通通达情况、停车便捷程度，综合评价交通便捷度较好</v>
      </c>
      <c r="C51" s="2041"/>
      <c r="D51" s="1062">
        <f t="shared" si="7"/>
        <v>0</v>
      </c>
      <c r="E51" s="742"/>
      <c r="F51" s="1811"/>
      <c r="G51" s="1060"/>
      <c r="H51" s="1063" t="str">
        <f t="shared" si="8"/>
        <v>——</v>
      </c>
      <c r="I51" s="3364">
        <v>0.22</v>
      </c>
      <c r="J51" s="1061">
        <f t="shared" si="9"/>
        <v>0</v>
      </c>
      <c r="K51" s="1061">
        <f t="shared" si="10"/>
        <v>0</v>
      </c>
      <c r="L51" s="1061">
        <v>0</v>
      </c>
      <c r="M51" s="1061">
        <f t="shared" si="11"/>
        <v>0</v>
      </c>
      <c r="N51" s="1061">
        <f t="shared" si="11"/>
        <v>0</v>
      </c>
      <c r="AA51" s="1117"/>
      <c r="AB51" s="1117"/>
      <c r="AC51" s="1117"/>
      <c r="AD51" s="1117"/>
      <c r="AE51" s="1117"/>
      <c r="AF51" s="1117"/>
      <c r="AG51" s="1117"/>
      <c r="AH51" s="1117"/>
      <c r="AI51" s="1117"/>
      <c r="AJ51" s="1117"/>
      <c r="AK51" s="1117"/>
    </row>
    <row r="52" spans="1:37" s="1116" customFormat="1" ht="48">
      <c r="A52" s="3366" t="s">
        <v>3270</v>
      </c>
      <c r="B52" s="2131">
        <f>估价对象房地状况!C19</f>
        <v>0</v>
      </c>
      <c r="C52" s="2041"/>
      <c r="D52" s="1062">
        <f t="shared" si="7"/>
        <v>0</v>
      </c>
      <c r="E52" s="742"/>
      <c r="F52" s="1811"/>
      <c r="G52" s="1060"/>
      <c r="H52" s="1063" t="str">
        <f t="shared" si="8"/>
        <v>——</v>
      </c>
      <c r="I52" s="3364">
        <v>0.12</v>
      </c>
      <c r="J52" s="1061">
        <f t="shared" si="9"/>
        <v>0</v>
      </c>
      <c r="K52" s="1061">
        <f t="shared" si="10"/>
        <v>0</v>
      </c>
      <c r="L52" s="1061">
        <v>0</v>
      </c>
      <c r="M52" s="1061">
        <f t="shared" si="11"/>
        <v>0</v>
      </c>
      <c r="N52" s="1061">
        <f t="shared" si="11"/>
        <v>0</v>
      </c>
      <c r="AA52" s="1117"/>
      <c r="AB52" s="1117"/>
      <c r="AC52" s="1117"/>
      <c r="AD52" s="1117"/>
      <c r="AE52" s="1117"/>
      <c r="AF52" s="1117"/>
      <c r="AG52" s="1117"/>
      <c r="AH52" s="1117"/>
      <c r="AI52" s="1117"/>
      <c r="AJ52" s="1117"/>
      <c r="AK52" s="1117"/>
    </row>
    <row r="53" spans="1:37" s="1116" customFormat="1" ht="37.200000000000003">
      <c r="A53" s="2127" t="s">
        <v>2052</v>
      </c>
      <c r="B53" s="2132" t="s">
        <v>2053</v>
      </c>
      <c r="C53" s="2041"/>
      <c r="D53" s="1062">
        <f t="shared" si="7"/>
        <v>0</v>
      </c>
      <c r="E53" s="742"/>
      <c r="F53" s="1811"/>
      <c r="G53" s="1060"/>
      <c r="H53" s="1063" t="str">
        <f t="shared" si="8"/>
        <v>——</v>
      </c>
      <c r="I53" s="3364">
        <v>0.05</v>
      </c>
      <c r="J53" s="1061">
        <f t="shared" si="9"/>
        <v>0</v>
      </c>
      <c r="K53" s="1061">
        <f t="shared" si="10"/>
        <v>0</v>
      </c>
      <c r="L53" s="1061">
        <v>0</v>
      </c>
      <c r="M53" s="1061">
        <f t="shared" si="11"/>
        <v>0</v>
      </c>
      <c r="N53" s="1061">
        <f t="shared" si="11"/>
        <v>0</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c r="D54" s="1062">
        <f t="shared" si="7"/>
        <v>0</v>
      </c>
      <c r="E54" s="742"/>
      <c r="F54" s="1811"/>
      <c r="G54" s="1060"/>
      <c r="H54" s="1063" t="str">
        <f t="shared" si="8"/>
        <v>——</v>
      </c>
      <c r="I54" s="3364">
        <v>0.08</v>
      </c>
      <c r="J54" s="1061">
        <f t="shared" si="9"/>
        <v>0</v>
      </c>
      <c r="K54" s="1061">
        <f t="shared" si="10"/>
        <v>0</v>
      </c>
      <c r="L54" s="1061">
        <v>0</v>
      </c>
      <c r="M54" s="1061">
        <f t="shared" si="11"/>
        <v>0</v>
      </c>
      <c r="N54" s="1061">
        <f t="shared" si="11"/>
        <v>0</v>
      </c>
      <c r="AA54" s="1117"/>
      <c r="AB54" s="1117"/>
      <c r="AC54" s="1117"/>
      <c r="AD54" s="1117"/>
      <c r="AE54" s="1117"/>
      <c r="AF54" s="1117"/>
      <c r="AG54" s="1117"/>
      <c r="AH54" s="1117"/>
      <c r="AI54" s="1117"/>
      <c r="AJ54" s="1117"/>
      <c r="AK54" s="1117"/>
    </row>
    <row r="55" spans="1:37" s="1116" customFormat="1" ht="36">
      <c r="A55" s="2127" t="s">
        <v>2055</v>
      </c>
      <c r="B55" s="2133" t="s">
        <v>2056</v>
      </c>
      <c r="C55" s="2041"/>
      <c r="D55" s="1062">
        <f t="shared" si="7"/>
        <v>0</v>
      </c>
      <c r="E55" s="742"/>
      <c r="F55" s="1811"/>
      <c r="G55" s="1060"/>
      <c r="H55" s="1063" t="str">
        <f t="shared" si="8"/>
        <v>——</v>
      </c>
      <c r="I55" s="3364">
        <v>0.05</v>
      </c>
      <c r="J55" s="1061">
        <f t="shared" si="9"/>
        <v>0</v>
      </c>
      <c r="K55" s="1061">
        <f t="shared" si="10"/>
        <v>0</v>
      </c>
      <c r="L55" s="1061">
        <v>0</v>
      </c>
      <c r="M55" s="1061">
        <f t="shared" si="11"/>
        <v>0</v>
      </c>
      <c r="N55" s="1061">
        <f t="shared" si="11"/>
        <v>0</v>
      </c>
      <c r="AA55" s="1117"/>
      <c r="AB55" s="1117"/>
      <c r="AC55" s="1117"/>
      <c r="AD55" s="1117"/>
      <c r="AE55" s="1117"/>
      <c r="AF55" s="1117"/>
      <c r="AG55" s="1117"/>
      <c r="AH55" s="1117"/>
      <c r="AI55" s="1117"/>
      <c r="AJ55" s="1117"/>
      <c r="AK55" s="1117"/>
    </row>
    <row r="56" spans="1:37" s="1116" customFormat="1" ht="26.4">
      <c r="A56" s="2134" t="s">
        <v>2057</v>
      </c>
      <c r="B56" s="1323" t="str">
        <f>估价对象房地状况!C21</f>
        <v>估价对象所在区域公共配套设施齐备情况</v>
      </c>
      <c r="C56" s="2041"/>
      <c r="D56" s="1062">
        <f t="shared" si="7"/>
        <v>0</v>
      </c>
      <c r="E56" s="742"/>
      <c r="F56" s="1811"/>
      <c r="G56" s="1060"/>
      <c r="H56" s="1063" t="str">
        <f t="shared" si="8"/>
        <v>——</v>
      </c>
      <c r="I56" s="3364">
        <v>0.05</v>
      </c>
      <c r="J56" s="1061">
        <f t="shared" si="9"/>
        <v>0</v>
      </c>
      <c r="K56" s="1061">
        <f t="shared" si="10"/>
        <v>0</v>
      </c>
      <c r="L56" s="1061">
        <v>0</v>
      </c>
      <c r="M56" s="1061">
        <f t="shared" si="11"/>
        <v>0</v>
      </c>
      <c r="N56" s="1061">
        <f t="shared" si="11"/>
        <v>0</v>
      </c>
      <c r="AA56" s="1117"/>
      <c r="AB56" s="1117"/>
      <c r="AC56" s="1117"/>
      <c r="AD56" s="1117"/>
      <c r="AE56" s="1117"/>
      <c r="AF56" s="1117"/>
      <c r="AG56" s="1117"/>
      <c r="AH56" s="1117"/>
      <c r="AI56" s="1117"/>
      <c r="AJ56" s="1117"/>
      <c r="AK56" s="1117"/>
    </row>
    <row r="57" spans="1:37" s="1116" customFormat="1" ht="26.4">
      <c r="A57" s="2134" t="s">
        <v>2058</v>
      </c>
      <c r="B57" s="2131" t="str">
        <f>估价对象房地状况!C22</f>
        <v>估价对象所在区域基础设施水平</v>
      </c>
      <c r="C57" s="2041"/>
      <c r="D57" s="1062">
        <f t="shared" si="7"/>
        <v>0</v>
      </c>
      <c r="E57" s="742"/>
      <c r="F57" s="1811"/>
      <c r="G57" s="1060"/>
      <c r="H57" s="1063" t="str">
        <f t="shared" si="8"/>
        <v>——</v>
      </c>
      <c r="I57" s="3364">
        <v>0.08</v>
      </c>
      <c r="J57" s="1061">
        <f t="shared" si="9"/>
        <v>0</v>
      </c>
      <c r="K57" s="1061">
        <f t="shared" si="10"/>
        <v>0</v>
      </c>
      <c r="L57" s="1061">
        <v>0</v>
      </c>
      <c r="M57" s="1061">
        <f t="shared" si="11"/>
        <v>0</v>
      </c>
      <c r="N57" s="1061">
        <f t="shared" si="11"/>
        <v>0</v>
      </c>
      <c r="AA57" s="1117"/>
      <c r="AB57" s="1117"/>
      <c r="AC57" s="1117"/>
      <c r="AD57" s="1117"/>
      <c r="AE57" s="1117"/>
      <c r="AF57" s="1117"/>
      <c r="AG57" s="1117"/>
      <c r="AH57" s="1117"/>
      <c r="AI57" s="1117"/>
      <c r="AJ57" s="1117"/>
      <c r="AK57" s="1117"/>
    </row>
    <row r="58" spans="1:37" s="1116" customFormat="1" ht="40.200000000000003" thickBot="1">
      <c r="A58" s="2135" t="s">
        <v>2059</v>
      </c>
      <c r="B58" s="2136" t="str">
        <f>估价对象房地状况!C20</f>
        <v>区域自然环境：；人文环境；综合评价环境状况一般</v>
      </c>
      <c r="C58" s="2041"/>
      <c r="D58" s="1062">
        <f t="shared" si="7"/>
        <v>0</v>
      </c>
      <c r="E58" s="743"/>
      <c r="F58" s="1811"/>
      <c r="G58" s="1060"/>
      <c r="H58" s="1063" t="str">
        <f t="shared" si="8"/>
        <v>——</v>
      </c>
      <c r="I58" s="3365">
        <v>0.05</v>
      </c>
      <c r="J58" s="1061">
        <f t="shared" si="9"/>
        <v>0</v>
      </c>
      <c r="K58" s="1061">
        <f t="shared" si="10"/>
        <v>0</v>
      </c>
      <c r="L58" s="1061">
        <v>0</v>
      </c>
      <c r="M58" s="1061">
        <f t="shared" si="11"/>
        <v>0</v>
      </c>
      <c r="N58" s="1061">
        <f t="shared" si="11"/>
        <v>0</v>
      </c>
      <c r="AA58" s="1117"/>
      <c r="AB58" s="1117"/>
      <c r="AC58" s="1117"/>
      <c r="AD58" s="1117"/>
      <c r="AE58" s="1117"/>
      <c r="AF58" s="1117"/>
      <c r="AG58" s="1117"/>
      <c r="AH58" s="1117"/>
      <c r="AI58" s="1117"/>
      <c r="AJ58" s="1117"/>
      <c r="AK58" s="1117"/>
    </row>
    <row r="59" spans="1:37" s="1116" customFormat="1" ht="14.4">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9.6">
      <c r="A61" s="2127" t="s">
        <v>2062</v>
      </c>
      <c r="B61" s="2130" t="str">
        <f>估价对象房地状况!C17</f>
        <v>估价对象位于XX商圈，周边办公楼项目较多，入驻率高，办公集聚程度较好</v>
      </c>
      <c r="C61" s="2041" t="s">
        <v>3476</v>
      </c>
      <c r="D61" s="1062">
        <f t="shared" ref="D61:D69" si="12">SUMIF($J$60:$N$60,C61,J61:N61)</f>
        <v>1.12E-2</v>
      </c>
      <c r="E61" s="741">
        <f>ROUND(SUM(D61:D69),4)</f>
        <v>5.0099999999999999E-2</v>
      </c>
      <c r="F61" s="1811">
        <f>IF(E2="办公",SUMIF(L1:L12,G2,N1:N12),"——")</f>
        <v>0.09</v>
      </c>
      <c r="G61" s="1060">
        <v>1.12E-2</v>
      </c>
      <c r="H61" s="1063">
        <f t="shared" ref="H61:H69" si="13">IFERROR(ROUNDDOWN($F$61*I61/2,4),"——")</f>
        <v>1.12E-2</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52.8">
      <c r="A62" s="2127" t="s">
        <v>2051</v>
      </c>
      <c r="B62" s="2131" t="str">
        <f>估价对象房地状况!C18</f>
        <v>估价对象周边道路状况、公共交通通达情况、停车便捷程度，综合评价交通便捷度较好</v>
      </c>
      <c r="C62" s="2041" t="s">
        <v>3476</v>
      </c>
      <c r="D62" s="1062">
        <f t="shared" si="12"/>
        <v>1.17E-2</v>
      </c>
      <c r="E62" s="742"/>
      <c r="F62" s="1811"/>
      <c r="G62" s="1060">
        <v>1.17E-2</v>
      </c>
      <c r="H62" s="1063">
        <f t="shared" si="13"/>
        <v>1.17E-2</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48">
      <c r="A63" s="3366" t="s">
        <v>3270</v>
      </c>
      <c r="B63" s="2131">
        <f>估价对象房地状况!C19</f>
        <v>0</v>
      </c>
      <c r="C63" s="2041" t="s">
        <v>3476</v>
      </c>
      <c r="D63" s="1062">
        <f t="shared" si="12"/>
        <v>4.8999999999999998E-3</v>
      </c>
      <c r="E63" s="742"/>
      <c r="F63" s="1811"/>
      <c r="G63" s="1060">
        <v>4.8999999999999998E-3</v>
      </c>
      <c r="H63" s="1063">
        <f t="shared" si="13"/>
        <v>4.8999999999999998E-3</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7.200000000000003">
      <c r="A64" s="2127" t="s">
        <v>2052</v>
      </c>
      <c r="B64" s="2132" t="s">
        <v>2053</v>
      </c>
      <c r="C64" s="2041" t="s">
        <v>3476</v>
      </c>
      <c r="D64" s="1062">
        <f t="shared" si="12"/>
        <v>2.2000000000000001E-3</v>
      </c>
      <c r="E64" s="742"/>
      <c r="F64" s="1811"/>
      <c r="G64" s="1060">
        <v>2.2000000000000001E-3</v>
      </c>
      <c r="H64" s="1063">
        <f t="shared" si="13"/>
        <v>2.2000000000000001E-3</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3477</v>
      </c>
      <c r="D65" s="1062">
        <f t="shared" si="12"/>
        <v>-2.2000000000000001E-3</v>
      </c>
      <c r="E65" s="742"/>
      <c r="F65" s="1811"/>
      <c r="G65" s="1060">
        <v>2.2000000000000001E-3</v>
      </c>
      <c r="H65" s="1063">
        <f t="shared" si="13"/>
        <v>2.2000000000000001E-3</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36">
      <c r="A66" s="2127" t="s">
        <v>2055</v>
      </c>
      <c r="B66" s="2133" t="s">
        <v>2056</v>
      </c>
      <c r="C66" s="2041" t="s">
        <v>3476</v>
      </c>
      <c r="D66" s="1062">
        <f t="shared" si="12"/>
        <v>2.7000000000000001E-3</v>
      </c>
      <c r="E66" s="742"/>
      <c r="F66" s="1811"/>
      <c r="G66" s="1060">
        <v>2.7000000000000001E-3</v>
      </c>
      <c r="H66" s="1063">
        <f t="shared" si="13"/>
        <v>2.7000000000000001E-3</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6.4">
      <c r="A67" s="2127" t="s">
        <v>2057</v>
      </c>
      <c r="B67" s="1323" t="str">
        <f>估价对象房地状况!C21</f>
        <v>估价对象所在区域公共配套设施齐备情况</v>
      </c>
      <c r="C67" s="2041" t="s">
        <v>3478</v>
      </c>
      <c r="D67" s="1062">
        <f t="shared" si="12"/>
        <v>5.4000000000000003E-3</v>
      </c>
      <c r="E67" s="742"/>
      <c r="F67" s="1811"/>
      <c r="G67" s="1060">
        <v>2.7000000000000001E-3</v>
      </c>
      <c r="H67" s="1063">
        <f t="shared" si="13"/>
        <v>2.7000000000000001E-3</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6.4">
      <c r="A68" s="2127" t="s">
        <v>2058</v>
      </c>
      <c r="B68" s="1323" t="str">
        <f>估价对象房地状况!C22</f>
        <v>估价对象所在区域基础设施水平</v>
      </c>
      <c r="C68" s="2041" t="s">
        <v>3478</v>
      </c>
      <c r="D68" s="1062">
        <f t="shared" si="12"/>
        <v>8.0000000000000002E-3</v>
      </c>
      <c r="E68" s="742"/>
      <c r="F68" s="1811"/>
      <c r="G68" s="1060">
        <v>4.0000000000000001E-3</v>
      </c>
      <c r="H68" s="1063">
        <f t="shared" si="13"/>
        <v>4.0000000000000001E-3</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40.200000000000003" thickBot="1">
      <c r="A69" s="2135" t="s">
        <v>2059</v>
      </c>
      <c r="B69" s="2137" t="str">
        <f>估价对象房地状况!C20</f>
        <v>区域自然环境：；人文环境；综合评价环境状况一般</v>
      </c>
      <c r="C69" s="2041" t="s">
        <v>3478</v>
      </c>
      <c r="D69" s="1062">
        <f t="shared" si="12"/>
        <v>6.1999999999999998E-3</v>
      </c>
      <c r="E69" s="743"/>
      <c r="F69" s="1811"/>
      <c r="G69" s="1060">
        <v>3.0999999999999999E-3</v>
      </c>
      <c r="H69" s="1063">
        <f t="shared" si="13"/>
        <v>3.0999999999999999E-3</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4.4">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2.8">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52.8">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48">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3.8">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6.4">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6.4">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36">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39.6">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36.6"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4.4">
      <c r="A81" s="2123" t="s">
        <v>2067</v>
      </c>
      <c r="B81" s="2124">
        <f>1+E83</f>
        <v>1</v>
      </c>
      <c r="C81" s="738"/>
      <c r="D81" s="738"/>
      <c r="E81" s="739"/>
      <c r="F81" s="2126"/>
      <c r="G81" s="3"/>
      <c r="H81" s="3"/>
      <c r="I81" s="3"/>
      <c r="J81" s="4"/>
      <c r="K81" s="4"/>
      <c r="L81" s="4"/>
      <c r="M81" s="4"/>
      <c r="N81" s="4"/>
      <c r="Z81" s="1995"/>
      <c r="AA81" s="2050"/>
      <c r="AG81" s="1118"/>
      <c r="AK81" s="2050"/>
    </row>
    <row r="82" spans="1:37" ht="25.2">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9.6">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52.8">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48">
      <c r="A85" s="3366" t="s">
        <v>3271</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3.8">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6.4">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6.4">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36">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40.200000000000003"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3.8">
      <c r="A91" s="3374" t="s">
        <v>2613</v>
      </c>
      <c r="B91" s="3375">
        <f>1+E93</f>
        <v>1</v>
      </c>
      <c r="C91" s="3368"/>
      <c r="D91" s="3369"/>
      <c r="E91" s="1811"/>
      <c r="F91" s="1811"/>
      <c r="G91" s="3370"/>
      <c r="H91" s="3371"/>
      <c r="I91" s="3372"/>
      <c r="J91" s="3373"/>
      <c r="K91" s="3373"/>
      <c r="L91" s="3373"/>
      <c r="M91" s="3373"/>
      <c r="N91" s="3373"/>
    </row>
    <row r="92" spans="1:37" ht="25.2">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36">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6.4">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6.4">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5" t="s">
        <v>3295</v>
      </c>
      <c r="B103" s="3865"/>
      <c r="C103" s="3865"/>
      <c r="D103" s="3865"/>
      <c r="E103" s="3865"/>
      <c r="F103" s="3865"/>
      <c r="G103" s="3865"/>
      <c r="H103" s="3865"/>
      <c r="I103" s="3865"/>
      <c r="J103" s="3865"/>
      <c r="K103" s="3387"/>
      <c r="L103" s="3387"/>
      <c r="M103" s="3387"/>
      <c r="N103" s="3387"/>
    </row>
    <row r="104" spans="1:14">
      <c r="A104" s="3866" t="s">
        <v>3296</v>
      </c>
      <c r="B104" s="3866" t="s">
        <v>3297</v>
      </c>
      <c r="C104" s="3388" t="s">
        <v>3298</v>
      </c>
      <c r="D104" s="3389"/>
      <c r="E104" s="3389"/>
      <c r="F104" s="3389"/>
      <c r="G104" s="3389"/>
      <c r="H104" s="3389"/>
      <c r="I104" s="3389"/>
      <c r="J104" s="3390"/>
      <c r="K104" s="3391"/>
      <c r="L104" s="3391"/>
      <c r="M104" s="3391"/>
      <c r="N104" s="3391"/>
    </row>
    <row r="105" spans="1:14">
      <c r="A105" s="3866"/>
      <c r="B105" s="3866"/>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852"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853"/>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853"/>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853"/>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853"/>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853"/>
      <c r="B111" s="3392" t="s">
        <v>3269</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854"/>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855" t="s">
        <v>3312</v>
      </c>
      <c r="B113" s="3855"/>
      <c r="C113" s="3855"/>
      <c r="D113" s="3855"/>
      <c r="E113" s="3855"/>
      <c r="F113" s="3855"/>
      <c r="G113" s="3855"/>
      <c r="H113" s="3855"/>
      <c r="I113" s="3855"/>
      <c r="J113" s="3855"/>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3313</v>
      </c>
      <c r="B116" s="3413">
        <f>G3</f>
        <v>6.39</v>
      </c>
      <c r="C116" s="3397" t="s">
        <v>3314</v>
      </c>
      <c r="D116" s="3398">
        <f>SUMPRODUCT((A118:A122=F116)*(B117:M117=H116)*B118:M122)</f>
        <v>0.9214</v>
      </c>
      <c r="E116" s="1997" t="s">
        <v>3315</v>
      </c>
      <c r="F116" s="3399" t="str">
        <f>E2</f>
        <v>办公</v>
      </c>
      <c r="G116" s="1997" t="s">
        <v>3316</v>
      </c>
      <c r="H116" s="3399" t="str">
        <f>G2</f>
        <v>二级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3330</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3331</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8" thickBot="1">
      <c r="A121" s="3409" t="s">
        <v>3332</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2595</v>
      </c>
      <c r="B1" s="3069" t="s">
        <v>2596</v>
      </c>
      <c r="C1" s="3069" t="s">
        <v>2597</v>
      </c>
      <c r="D1" s="3069" t="s">
        <v>2598</v>
      </c>
      <c r="E1" s="3069" t="s">
        <v>2599</v>
      </c>
      <c r="F1" s="3069" t="s">
        <v>2600</v>
      </c>
      <c r="G1" s="3069" t="s">
        <v>2601</v>
      </c>
      <c r="H1" s="3069" t="s">
        <v>2602</v>
      </c>
      <c r="I1" s="3069" t="s">
        <v>2603</v>
      </c>
      <c r="J1" s="3069" t="s">
        <v>2604</v>
      </c>
      <c r="K1" s="3069" t="s">
        <v>2605</v>
      </c>
      <c r="L1" s="3069" t="s">
        <v>2606</v>
      </c>
      <c r="M1" s="3070" t="s">
        <v>2607</v>
      </c>
    </row>
    <row r="2" spans="1:13" ht="19.5" customHeight="1">
      <c r="A2" s="3072" t="s">
        <v>2608</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2609</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2610</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2611</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2612</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2613</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2614</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2615</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2616</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2617</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2618</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2619</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2620</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2621</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2622</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2623</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2624</v>
      </c>
      <c r="B18" s="3094"/>
      <c r="C18" s="3095"/>
      <c r="D18" s="3095"/>
      <c r="E18" s="3094"/>
      <c r="F18" s="3095"/>
      <c r="G18" s="3095"/>
    </row>
    <row r="19" spans="1:13" ht="19.5" customHeight="1" thickBot="1">
      <c r="A19" s="3092" t="s">
        <v>2625</v>
      </c>
      <c r="B19" s="3097" t="s">
        <v>2626</v>
      </c>
      <c r="C19" s="3097" t="s">
        <v>2627</v>
      </c>
      <c r="D19" s="3098"/>
      <c r="E19" s="3092" t="s">
        <v>2628</v>
      </c>
      <c r="F19" s="3099"/>
      <c r="G19" s="3099"/>
    </row>
    <row r="20" spans="1:13" ht="19.5" customHeight="1">
      <c r="A20" s="3880" t="s">
        <v>2608</v>
      </c>
      <c r="B20" s="3875" t="s">
        <v>2629</v>
      </c>
      <c r="C20" s="3100" t="s">
        <v>2440</v>
      </c>
      <c r="D20" s="3101"/>
      <c r="E20" s="3102">
        <v>1</v>
      </c>
      <c r="F20" s="3103" t="s">
        <v>2441</v>
      </c>
      <c r="G20" s="3103"/>
    </row>
    <row r="21" spans="1:13" ht="19.5" customHeight="1">
      <c r="A21" s="3881"/>
      <c r="B21" s="3874"/>
      <c r="C21" s="3104" t="s">
        <v>2442</v>
      </c>
      <c r="D21" s="3105"/>
      <c r="E21" s="3106">
        <v>1</v>
      </c>
      <c r="F21" s="3103" t="s">
        <v>2443</v>
      </c>
      <c r="G21" s="3103"/>
    </row>
    <row r="22" spans="1:13" ht="19.5" customHeight="1">
      <c r="A22" s="3881"/>
      <c r="B22" s="3874"/>
      <c r="C22" s="3104" t="s">
        <v>2444</v>
      </c>
      <c r="D22" s="3105"/>
      <c r="E22" s="3106">
        <v>0.9</v>
      </c>
      <c r="F22" s="3103" t="s">
        <v>2445</v>
      </c>
      <c r="G22" s="3103"/>
    </row>
    <row r="23" spans="1:13" ht="19.5" customHeight="1">
      <c r="A23" s="3881"/>
      <c r="B23" s="3874"/>
      <c r="C23" s="3104" t="s">
        <v>2446</v>
      </c>
      <c r="D23" s="3105"/>
      <c r="E23" s="3106">
        <v>0.9</v>
      </c>
      <c r="F23" s="3103" t="s">
        <v>2447</v>
      </c>
      <c r="G23" s="3103"/>
    </row>
    <row r="24" spans="1:13" ht="19.5" customHeight="1">
      <c r="A24" s="3881"/>
      <c r="B24" s="3874"/>
      <c r="C24" s="3104" t="s">
        <v>2448</v>
      </c>
      <c r="D24" s="3105"/>
      <c r="E24" s="3106">
        <v>0.8</v>
      </c>
      <c r="F24" s="3103" t="s">
        <v>2449</v>
      </c>
      <c r="G24" s="3103"/>
    </row>
    <row r="25" spans="1:13" ht="19.5" customHeight="1" thickBot="1">
      <c r="A25" s="3882"/>
      <c r="B25" s="3876"/>
      <c r="C25" s="3107" t="s">
        <v>2450</v>
      </c>
      <c r="D25" s="3108"/>
      <c r="E25" s="3109">
        <v>0.8</v>
      </c>
      <c r="F25" s="3103" t="s">
        <v>2451</v>
      </c>
      <c r="G25" s="3103"/>
    </row>
    <row r="26" spans="1:13" ht="19.5" customHeight="1" thickBot="1">
      <c r="A26" s="3110" t="s">
        <v>2630</v>
      </c>
      <c r="B26" s="3111" t="s">
        <v>2629</v>
      </c>
      <c r="C26" s="3112" t="s">
        <v>2631</v>
      </c>
      <c r="D26" s="3113"/>
      <c r="E26" s="3114">
        <v>1</v>
      </c>
      <c r="F26" s="3103" t="s">
        <v>2452</v>
      </c>
      <c r="G26" s="3103"/>
    </row>
    <row r="27" spans="1:13" ht="19.5" customHeight="1">
      <c r="A27" s="3877" t="s">
        <v>2632</v>
      </c>
      <c r="B27" s="3875" t="s">
        <v>2613</v>
      </c>
      <c r="C27" s="3100" t="s">
        <v>2453</v>
      </c>
      <c r="D27" s="3101"/>
      <c r="E27" s="3102">
        <v>1</v>
      </c>
      <c r="F27" s="3103" t="s">
        <v>2454</v>
      </c>
      <c r="G27" s="3103"/>
    </row>
    <row r="28" spans="1:13" ht="19.5" customHeight="1">
      <c r="A28" s="3878"/>
      <c r="B28" s="3874"/>
      <c r="C28" s="3104" t="s">
        <v>2455</v>
      </c>
      <c r="D28" s="3105"/>
      <c r="E28" s="3106">
        <v>1</v>
      </c>
      <c r="F28" s="3103" t="s">
        <v>2456</v>
      </c>
      <c r="G28" s="3103"/>
    </row>
    <row r="29" spans="1:13" ht="19.5" customHeight="1">
      <c r="A29" s="3878"/>
      <c r="B29" s="3874"/>
      <c r="C29" s="3104" t="s">
        <v>2457</v>
      </c>
      <c r="D29" s="3105"/>
      <c r="E29" s="3106">
        <v>0.8</v>
      </c>
      <c r="F29" s="3103" t="s">
        <v>2458</v>
      </c>
      <c r="G29" s="3103"/>
    </row>
    <row r="30" spans="1:13" ht="19.5" customHeight="1">
      <c r="A30" s="3878"/>
      <c r="B30" s="3874"/>
      <c r="C30" s="3104" t="s">
        <v>2459</v>
      </c>
      <c r="D30" s="3105"/>
      <c r="E30" s="3106">
        <v>0.8</v>
      </c>
      <c r="F30" s="3103" t="s">
        <v>2460</v>
      </c>
      <c r="G30" s="3103"/>
    </row>
    <row r="31" spans="1:13" ht="19.5" customHeight="1">
      <c r="A31" s="3878"/>
      <c r="B31" s="3874"/>
      <c r="C31" s="3104" t="s">
        <v>2461</v>
      </c>
      <c r="D31" s="3105"/>
      <c r="E31" s="3106">
        <v>0.8</v>
      </c>
      <c r="F31" s="3103" t="s">
        <v>2462</v>
      </c>
      <c r="G31" s="3103"/>
    </row>
    <row r="32" spans="1:13" ht="19.5" customHeight="1">
      <c r="A32" s="3878"/>
      <c r="B32" s="3874"/>
      <c r="C32" s="3104" t="s">
        <v>2463</v>
      </c>
      <c r="D32" s="3105"/>
      <c r="E32" s="3106">
        <v>0.7</v>
      </c>
      <c r="F32" s="3103" t="s">
        <v>2464</v>
      </c>
      <c r="G32" s="3103"/>
    </row>
    <row r="33" spans="1:7" ht="19.5" customHeight="1">
      <c r="A33" s="3878"/>
      <c r="B33" s="3874"/>
      <c r="C33" s="3104" t="s">
        <v>2465</v>
      </c>
      <c r="D33" s="3105"/>
      <c r="E33" s="3106">
        <v>0.8</v>
      </c>
      <c r="F33" s="3103" t="s">
        <v>2466</v>
      </c>
      <c r="G33" s="3103"/>
    </row>
    <row r="34" spans="1:7" ht="19.5" customHeight="1">
      <c r="A34" s="3878"/>
      <c r="B34" s="3874"/>
      <c r="C34" s="3104" t="s">
        <v>2467</v>
      </c>
      <c r="D34" s="3105"/>
      <c r="E34" s="3106">
        <v>0.6</v>
      </c>
      <c r="F34" s="3103" t="s">
        <v>2468</v>
      </c>
      <c r="G34" s="3103"/>
    </row>
    <row r="35" spans="1:7" ht="19.5" customHeight="1">
      <c r="A35" s="3878"/>
      <c r="B35" s="3874"/>
      <c r="C35" s="3104" t="s">
        <v>2469</v>
      </c>
      <c r="D35" s="3105"/>
      <c r="E35" s="3106">
        <v>0.2</v>
      </c>
      <c r="F35" s="3103" t="s">
        <v>2470</v>
      </c>
      <c r="G35" s="3103"/>
    </row>
    <row r="36" spans="1:7" ht="19.5" customHeight="1">
      <c r="A36" s="3878"/>
      <c r="B36" s="3874"/>
      <c r="C36" s="3104" t="s">
        <v>2471</v>
      </c>
      <c r="D36" s="3105"/>
      <c r="E36" s="3106">
        <v>0.2</v>
      </c>
      <c r="F36" s="3103" t="s">
        <v>2472</v>
      </c>
      <c r="G36" s="3103"/>
    </row>
    <row r="37" spans="1:7" ht="19.5" customHeight="1">
      <c r="A37" s="3878"/>
      <c r="B37" s="3872" t="s">
        <v>2633</v>
      </c>
      <c r="C37" s="3104" t="s">
        <v>2473</v>
      </c>
      <c r="D37" s="3105"/>
      <c r="E37" s="3106">
        <v>0.6</v>
      </c>
      <c r="F37" s="3103" t="s">
        <v>2474</v>
      </c>
      <c r="G37" s="3103"/>
    </row>
    <row r="38" spans="1:7" ht="19.5" customHeight="1">
      <c r="A38" s="3878"/>
      <c r="B38" s="3874"/>
      <c r="C38" s="3104" t="s">
        <v>2475</v>
      </c>
      <c r="D38" s="3105"/>
      <c r="E38" s="3106">
        <v>0.6</v>
      </c>
      <c r="F38" s="3103" t="s">
        <v>2476</v>
      </c>
      <c r="G38" s="3103"/>
    </row>
    <row r="39" spans="1:7" ht="19.5" customHeight="1" thickBot="1">
      <c r="A39" s="3879"/>
      <c r="B39" s="3876"/>
      <c r="C39" s="3107" t="s">
        <v>2477</v>
      </c>
      <c r="D39" s="3108"/>
      <c r="E39" s="3109">
        <v>0.6</v>
      </c>
      <c r="F39" s="3103" t="s">
        <v>2478</v>
      </c>
      <c r="G39" s="3103"/>
    </row>
    <row r="40" spans="1:7" ht="19.5" customHeight="1" thickBot="1">
      <c r="A40" s="3110" t="s">
        <v>2610</v>
      </c>
      <c r="B40" s="3111" t="s">
        <v>2610</v>
      </c>
      <c r="C40" s="3112" t="s">
        <v>2634</v>
      </c>
      <c r="D40" s="3113"/>
      <c r="E40" s="3114">
        <v>1</v>
      </c>
      <c r="F40" s="3103" t="s">
        <v>2479</v>
      </c>
      <c r="G40" s="3103"/>
    </row>
    <row r="41" spans="1:7" ht="19.5" customHeight="1">
      <c r="A41" s="3880" t="s">
        <v>2611</v>
      </c>
      <c r="B41" s="3875" t="s">
        <v>2635</v>
      </c>
      <c r="C41" s="3100" t="s">
        <v>2480</v>
      </c>
      <c r="D41" s="3101"/>
      <c r="E41" s="3102">
        <v>1</v>
      </c>
      <c r="F41" s="3103" t="s">
        <v>2481</v>
      </c>
      <c r="G41" s="3103"/>
    </row>
    <row r="42" spans="1:7" ht="19.5" customHeight="1">
      <c r="A42" s="3881"/>
      <c r="B42" s="3874"/>
      <c r="C42" s="3104" t="s">
        <v>2482</v>
      </c>
      <c r="D42" s="3105"/>
      <c r="E42" s="3106">
        <v>1</v>
      </c>
      <c r="F42" s="3103" t="s">
        <v>2483</v>
      </c>
      <c r="G42" s="3103"/>
    </row>
    <row r="43" spans="1:7" ht="19.5" customHeight="1">
      <c r="A43" s="3881"/>
      <c r="B43" s="3873"/>
      <c r="C43" s="3104" t="s">
        <v>2484</v>
      </c>
      <c r="D43" s="3105"/>
      <c r="E43" s="3106">
        <v>1.5</v>
      </c>
      <c r="F43" s="3103" t="s">
        <v>2485</v>
      </c>
      <c r="G43" s="3103"/>
    </row>
    <row r="44" spans="1:7" ht="19.5" customHeight="1">
      <c r="A44" s="3881"/>
      <c r="B44" s="3115" t="s">
        <v>2636</v>
      </c>
      <c r="C44" s="3104" t="s">
        <v>2637</v>
      </c>
      <c r="D44" s="3105"/>
      <c r="E44" s="3106">
        <v>2</v>
      </c>
      <c r="F44" s="3103" t="s">
        <v>2486</v>
      </c>
      <c r="G44" s="3103"/>
    </row>
    <row r="45" spans="1:7" ht="19.5" customHeight="1">
      <c r="A45" s="3881"/>
      <c r="B45" s="3872" t="s">
        <v>2638</v>
      </c>
      <c r="C45" s="3104" t="s">
        <v>2487</v>
      </c>
      <c r="D45" s="3105"/>
      <c r="E45" s="3106">
        <v>1</v>
      </c>
      <c r="F45" s="3103" t="s">
        <v>2488</v>
      </c>
      <c r="G45" s="3103"/>
    </row>
    <row r="46" spans="1:7" ht="19.5" customHeight="1">
      <c r="A46" s="3881"/>
      <c r="B46" s="3874"/>
      <c r="C46" s="3104" t="s">
        <v>2489</v>
      </c>
      <c r="D46" s="3105"/>
      <c r="E46" s="3106">
        <v>1</v>
      </c>
      <c r="F46" s="3103" t="s">
        <v>2490</v>
      </c>
      <c r="G46" s="3103"/>
    </row>
    <row r="47" spans="1:7" ht="19.5" customHeight="1">
      <c r="A47" s="3881"/>
      <c r="B47" s="3874"/>
      <c r="C47" s="3104" t="s">
        <v>2491</v>
      </c>
      <c r="D47" s="3105"/>
      <c r="E47" s="3106">
        <v>1</v>
      </c>
      <c r="F47" s="3103" t="s">
        <v>2492</v>
      </c>
      <c r="G47" s="3103"/>
    </row>
    <row r="48" spans="1:7" ht="19.5" customHeight="1">
      <c r="A48" s="3881"/>
      <c r="B48" s="3874"/>
      <c r="C48" s="3104" t="s">
        <v>2493</v>
      </c>
      <c r="D48" s="3105"/>
      <c r="E48" s="3106">
        <v>1</v>
      </c>
      <c r="F48" s="3103" t="s">
        <v>2494</v>
      </c>
      <c r="G48" s="3103"/>
    </row>
    <row r="49" spans="1:7" ht="19.5" customHeight="1">
      <c r="A49" s="3881"/>
      <c r="B49" s="3874"/>
      <c r="C49" s="3104" t="s">
        <v>2495</v>
      </c>
      <c r="D49" s="3105"/>
      <c r="E49" s="3106">
        <v>1</v>
      </c>
      <c r="F49" s="3103" t="s">
        <v>2496</v>
      </c>
      <c r="G49" s="3103"/>
    </row>
    <row r="50" spans="1:7" ht="19.5" customHeight="1">
      <c r="A50" s="3881"/>
      <c r="B50" s="3874"/>
      <c r="C50" s="3104" t="s">
        <v>2497</v>
      </c>
      <c r="D50" s="3105"/>
      <c r="E50" s="3106">
        <v>1</v>
      </c>
      <c r="F50" s="3103" t="s">
        <v>2498</v>
      </c>
      <c r="G50" s="3103"/>
    </row>
    <row r="51" spans="1:7" ht="19.5" customHeight="1" thickBot="1">
      <c r="A51" s="3882"/>
      <c r="B51" s="3876"/>
      <c r="C51" s="3107" t="s">
        <v>2499</v>
      </c>
      <c r="D51" s="3108"/>
      <c r="E51" s="3109">
        <v>1</v>
      </c>
      <c r="F51" s="3103" t="s">
        <v>2500</v>
      </c>
      <c r="G51" s="3103"/>
    </row>
    <row r="52" spans="1:7" ht="19.5" customHeight="1">
      <c r="A52" s="3116"/>
      <c r="B52" s="3116"/>
      <c r="C52" s="3116"/>
      <c r="D52" s="3116"/>
      <c r="E52" s="3116"/>
      <c r="F52" s="3116"/>
      <c r="G52" s="3116"/>
    </row>
    <row r="54" spans="1:7" ht="19.5" customHeight="1">
      <c r="A54" s="3117"/>
      <c r="B54" s="3089" t="s">
        <v>2639</v>
      </c>
      <c r="C54" s="3089" t="s">
        <v>2639</v>
      </c>
      <c r="D54" s="3089" t="s">
        <v>2639</v>
      </c>
      <c r="E54" s="3092" t="s">
        <v>2639</v>
      </c>
      <c r="F54" s="3092" t="s">
        <v>2640</v>
      </c>
      <c r="G54" s="3092" t="s">
        <v>2641</v>
      </c>
    </row>
    <row r="55" spans="1:7" ht="19.5" customHeight="1">
      <c r="A55" s="3118"/>
      <c r="B55" s="3092" t="s">
        <v>2608</v>
      </c>
      <c r="C55" s="3092" t="s">
        <v>2608</v>
      </c>
      <c r="D55" s="3092" t="s">
        <v>2608</v>
      </c>
      <c r="E55" s="3089" t="s">
        <v>2609</v>
      </c>
      <c r="F55" s="3089" t="s">
        <v>2611</v>
      </c>
      <c r="G55" s="3089" t="s">
        <v>2642</v>
      </c>
    </row>
    <row r="56" spans="1:7" ht="19.5" customHeight="1">
      <c r="A56" s="3119"/>
      <c r="B56" s="3089">
        <v>1</v>
      </c>
      <c r="C56" s="3089">
        <v>2</v>
      </c>
      <c r="D56" s="3089">
        <v>3</v>
      </c>
      <c r="E56" s="3120" t="s">
        <v>2643</v>
      </c>
      <c r="F56" s="3120" t="s">
        <v>2643</v>
      </c>
      <c r="G56" s="3120" t="s">
        <v>2643</v>
      </c>
    </row>
    <row r="57" spans="1:7" ht="19.5" customHeight="1">
      <c r="A57" s="3121" t="s">
        <v>2596</v>
      </c>
      <c r="B57" s="3089">
        <v>0.7</v>
      </c>
      <c r="C57" s="3089">
        <v>0.4</v>
      </c>
      <c r="D57" s="3089">
        <v>0.3</v>
      </c>
      <c r="E57" s="3120">
        <v>0.3</v>
      </c>
      <c r="F57" s="3089">
        <v>0.3</v>
      </c>
      <c r="G57" s="3089">
        <v>0.2</v>
      </c>
    </row>
    <row r="58" spans="1:7" ht="19.5" customHeight="1">
      <c r="A58" s="3121" t="s">
        <v>2597</v>
      </c>
      <c r="B58" s="3089">
        <v>0.7</v>
      </c>
      <c r="C58" s="3089">
        <v>0.4</v>
      </c>
      <c r="D58" s="3089">
        <v>0.3</v>
      </c>
      <c r="E58" s="3089">
        <v>0.3</v>
      </c>
      <c r="F58" s="3089">
        <v>0.3</v>
      </c>
      <c r="G58" s="3089">
        <v>0.2</v>
      </c>
    </row>
    <row r="59" spans="1:7" ht="19.5" customHeight="1">
      <c r="A59" s="3121" t="s">
        <v>2598</v>
      </c>
      <c r="B59" s="3089">
        <v>0.6</v>
      </c>
      <c r="C59" s="3089">
        <v>0.3</v>
      </c>
      <c r="D59" s="3089">
        <v>0.25</v>
      </c>
      <c r="E59" s="3089">
        <v>0.25</v>
      </c>
      <c r="F59" s="3089">
        <v>0.25</v>
      </c>
      <c r="G59" s="3089">
        <v>0.15</v>
      </c>
    </row>
    <row r="60" spans="1:7" ht="19.5" customHeight="1">
      <c r="A60" s="3121" t="s">
        <v>2599</v>
      </c>
      <c r="B60" s="3089">
        <v>0.6</v>
      </c>
      <c r="C60" s="3089">
        <v>0.3</v>
      </c>
      <c r="D60" s="3089">
        <v>0.25</v>
      </c>
      <c r="E60" s="3089">
        <v>0.25</v>
      </c>
      <c r="F60" s="3089">
        <v>0.25</v>
      </c>
      <c r="G60" s="3089">
        <v>0.15</v>
      </c>
    </row>
    <row r="61" spans="1:7" ht="19.5" customHeight="1">
      <c r="A61" s="3121" t="s">
        <v>2600</v>
      </c>
      <c r="B61" s="3089">
        <v>0.6</v>
      </c>
      <c r="C61" s="3089">
        <v>0.3</v>
      </c>
      <c r="D61" s="3089">
        <v>0.25</v>
      </c>
      <c r="E61" s="3089">
        <v>0.25</v>
      </c>
      <c r="F61" s="3089">
        <v>0.25</v>
      </c>
      <c r="G61" s="3089">
        <v>0.15</v>
      </c>
    </row>
    <row r="62" spans="1:7" ht="19.5" customHeight="1">
      <c r="A62" s="3121" t="s">
        <v>2601</v>
      </c>
      <c r="B62" s="3089">
        <v>0.6</v>
      </c>
      <c r="C62" s="3089">
        <v>0.3</v>
      </c>
      <c r="D62" s="3089">
        <v>0.25</v>
      </c>
      <c r="E62" s="3089">
        <v>0.25</v>
      </c>
      <c r="F62" s="3089">
        <v>0.25</v>
      </c>
      <c r="G62" s="3089">
        <v>0.15</v>
      </c>
    </row>
    <row r="63" spans="1:7" ht="19.5" customHeight="1">
      <c r="A63" s="3121" t="s">
        <v>2602</v>
      </c>
      <c r="B63" s="3089">
        <v>0.6</v>
      </c>
      <c r="C63" s="3089">
        <v>0.3</v>
      </c>
      <c r="D63" s="3089">
        <v>0.25</v>
      </c>
      <c r="E63" s="3089">
        <v>0.25</v>
      </c>
      <c r="F63" s="3089">
        <v>0.25</v>
      </c>
      <c r="G63" s="3089">
        <v>0.15</v>
      </c>
    </row>
    <row r="64" spans="1:7" ht="19.5" customHeight="1">
      <c r="A64" s="3121" t="s">
        <v>2603</v>
      </c>
      <c r="B64" s="3089">
        <v>0.5</v>
      </c>
      <c r="C64" s="3089">
        <v>0.2</v>
      </c>
      <c r="D64" s="3089">
        <v>0.2</v>
      </c>
      <c r="E64" s="3089">
        <v>0.2</v>
      </c>
      <c r="F64" s="3089">
        <v>0.2</v>
      </c>
      <c r="G64" s="3089">
        <v>0.1</v>
      </c>
    </row>
    <row r="65" spans="1:7" ht="19.5" customHeight="1">
      <c r="A65" s="3121" t="s">
        <v>2604</v>
      </c>
      <c r="B65" s="3089">
        <v>0.5</v>
      </c>
      <c r="C65" s="3089">
        <v>0.2</v>
      </c>
      <c r="D65" s="3089">
        <v>0.2</v>
      </c>
      <c r="E65" s="3089">
        <v>0.2</v>
      </c>
      <c r="F65" s="3089">
        <v>0.2</v>
      </c>
      <c r="G65" s="3089">
        <v>0.1</v>
      </c>
    </row>
    <row r="66" spans="1:7" ht="19.5" customHeight="1">
      <c r="A66" s="3121" t="s">
        <v>2605</v>
      </c>
      <c r="B66" s="3089">
        <v>0.5</v>
      </c>
      <c r="C66" s="3089">
        <v>0.2</v>
      </c>
      <c r="D66" s="3089">
        <v>0.2</v>
      </c>
      <c r="E66" s="3089">
        <v>0.2</v>
      </c>
      <c r="F66" s="3089">
        <v>0.2</v>
      </c>
      <c r="G66" s="3089">
        <v>0.1</v>
      </c>
    </row>
    <row r="67" spans="1:7" ht="19.5" customHeight="1">
      <c r="A67" s="3121" t="s">
        <v>2606</v>
      </c>
      <c r="B67" s="3089">
        <v>0.5</v>
      </c>
      <c r="C67" s="3089">
        <v>0.2</v>
      </c>
      <c r="D67" s="3089">
        <v>0.2</v>
      </c>
      <c r="E67" s="3089">
        <v>0.2</v>
      </c>
      <c r="F67" s="3089">
        <v>0.2</v>
      </c>
      <c r="G67" s="3089">
        <v>0.1</v>
      </c>
    </row>
    <row r="68" spans="1:7" ht="19.5" customHeight="1">
      <c r="A68" s="3121" t="s">
        <v>2607</v>
      </c>
      <c r="B68" s="3089">
        <v>0.5</v>
      </c>
      <c r="C68" s="3089">
        <v>0.2</v>
      </c>
      <c r="D68" s="3089">
        <v>0.2</v>
      </c>
      <c r="E68" s="3089">
        <v>0.2</v>
      </c>
      <c r="F68" s="3089">
        <v>0.2</v>
      </c>
      <c r="G68" s="3089">
        <v>0.1</v>
      </c>
    </row>
    <row r="70" spans="1:7" ht="19.5" customHeight="1">
      <c r="A70" s="3122"/>
      <c r="B70" s="3123"/>
      <c r="C70" s="3123"/>
      <c r="D70" s="3123" t="s">
        <v>2644</v>
      </c>
      <c r="E70" s="3123"/>
      <c r="F70" s="3123"/>
    </row>
    <row r="71" spans="1:7" ht="19.5" customHeight="1">
      <c r="A71" s="3115" t="s">
        <v>2645</v>
      </c>
      <c r="B71" s="3115" t="s">
        <v>2646</v>
      </c>
      <c r="C71" s="3115" t="s">
        <v>2647</v>
      </c>
      <c r="D71" s="3115" t="s">
        <v>2648</v>
      </c>
      <c r="E71" s="3115" t="s">
        <v>2649</v>
      </c>
      <c r="F71" s="3115" t="s">
        <v>2650</v>
      </c>
    </row>
    <row r="72" spans="1:7" ht="14.4">
      <c r="A72" s="3115"/>
      <c r="B72" s="3115"/>
      <c r="C72" s="3115" t="s">
        <v>2651</v>
      </c>
      <c r="D72" s="3115"/>
      <c r="E72" s="3115" t="s">
        <v>2622</v>
      </c>
      <c r="F72" s="3115" t="s">
        <v>2622</v>
      </c>
    </row>
    <row r="73" spans="1:7" ht="14.4">
      <c r="A73" s="3115">
        <v>1</v>
      </c>
      <c r="B73" s="3872" t="s">
        <v>2652</v>
      </c>
      <c r="C73" s="3089" t="s">
        <v>2653</v>
      </c>
      <c r="D73" s="3089" t="s">
        <v>2654</v>
      </c>
      <c r="E73" s="3115">
        <v>0.2</v>
      </c>
      <c r="F73" s="3115">
        <v>25</v>
      </c>
    </row>
    <row r="74" spans="1:7" ht="24">
      <c r="A74" s="3115">
        <v>2</v>
      </c>
      <c r="B74" s="3874"/>
      <c r="C74" s="3089" t="s">
        <v>2655</v>
      </c>
      <c r="D74" s="3089" t="s">
        <v>2656</v>
      </c>
      <c r="E74" s="3115">
        <v>0.2</v>
      </c>
      <c r="F74" s="3115">
        <v>25</v>
      </c>
    </row>
    <row r="75" spans="1:7" ht="24">
      <c r="A75" s="3115">
        <v>3</v>
      </c>
      <c r="B75" s="3874"/>
      <c r="C75" s="3089" t="s">
        <v>2657</v>
      </c>
      <c r="D75" s="3089" t="s">
        <v>2658</v>
      </c>
      <c r="E75" s="3115">
        <v>0.2</v>
      </c>
      <c r="F75" s="3115">
        <v>25</v>
      </c>
    </row>
    <row r="76" spans="1:7" ht="14.4">
      <c r="A76" s="3115">
        <v>4</v>
      </c>
      <c r="B76" s="3874"/>
      <c r="C76" s="3089" t="s">
        <v>2659</v>
      </c>
      <c r="D76" s="3089" t="s">
        <v>2660</v>
      </c>
      <c r="E76" s="3115">
        <v>0.15</v>
      </c>
      <c r="F76" s="3115">
        <v>20</v>
      </c>
    </row>
    <row r="77" spans="1:7" ht="24">
      <c r="A77" s="3115">
        <v>5</v>
      </c>
      <c r="B77" s="3874"/>
      <c r="C77" s="3089" t="s">
        <v>2661</v>
      </c>
      <c r="D77" s="3089" t="s">
        <v>2662</v>
      </c>
      <c r="E77" s="3115">
        <v>0.15</v>
      </c>
      <c r="F77" s="3115">
        <v>20</v>
      </c>
    </row>
    <row r="78" spans="1:7" ht="24">
      <c r="A78" s="3115">
        <v>6</v>
      </c>
      <c r="B78" s="3874"/>
      <c r="C78" s="3089" t="s">
        <v>2663</v>
      </c>
      <c r="D78" s="3089" t="s">
        <v>2664</v>
      </c>
      <c r="E78" s="3115">
        <v>0.15</v>
      </c>
      <c r="F78" s="3115">
        <v>20</v>
      </c>
    </row>
    <row r="79" spans="1:7" ht="24">
      <c r="A79" s="3115">
        <v>7</v>
      </c>
      <c r="B79" s="3874"/>
      <c r="C79" s="3089" t="s">
        <v>2665</v>
      </c>
      <c r="D79" s="3089" t="s">
        <v>2666</v>
      </c>
      <c r="E79" s="3115">
        <v>0.15</v>
      </c>
      <c r="F79" s="3115">
        <v>20</v>
      </c>
    </row>
    <row r="80" spans="1:7" ht="24">
      <c r="A80" s="3115">
        <v>8</v>
      </c>
      <c r="B80" s="3874"/>
      <c r="C80" s="3089" t="s">
        <v>2667</v>
      </c>
      <c r="D80" s="3089" t="s">
        <v>2668</v>
      </c>
      <c r="E80" s="3115">
        <v>0.1</v>
      </c>
      <c r="F80" s="3115">
        <v>15</v>
      </c>
    </row>
    <row r="81" spans="1:6" ht="24">
      <c r="A81" s="3115">
        <v>9</v>
      </c>
      <c r="B81" s="3874"/>
      <c r="C81" s="3089" t="s">
        <v>2669</v>
      </c>
      <c r="D81" s="3089" t="s">
        <v>2670</v>
      </c>
      <c r="E81" s="3115">
        <v>0.1</v>
      </c>
      <c r="F81" s="3115">
        <v>15</v>
      </c>
    </row>
    <row r="82" spans="1:6" ht="24">
      <c r="A82" s="3115">
        <v>10</v>
      </c>
      <c r="B82" s="3874"/>
      <c r="C82" s="3089" t="s">
        <v>2671</v>
      </c>
      <c r="D82" s="3089" t="s">
        <v>2672</v>
      </c>
      <c r="E82" s="3115">
        <v>0.1</v>
      </c>
      <c r="F82" s="3115">
        <v>15</v>
      </c>
    </row>
    <row r="83" spans="1:6" ht="24">
      <c r="A83" s="3115">
        <v>11</v>
      </c>
      <c r="B83" s="3874"/>
      <c r="C83" s="3089" t="s">
        <v>2673</v>
      </c>
      <c r="D83" s="3089" t="s">
        <v>2674</v>
      </c>
      <c r="E83" s="3115">
        <v>0.1</v>
      </c>
      <c r="F83" s="3115">
        <v>15</v>
      </c>
    </row>
    <row r="84" spans="1:6" ht="24">
      <c r="A84" s="3115">
        <v>12</v>
      </c>
      <c r="B84" s="3874"/>
      <c r="C84" s="3089" t="s">
        <v>2675</v>
      </c>
      <c r="D84" s="3089" t="s">
        <v>2676</v>
      </c>
      <c r="E84" s="3115">
        <v>0.1</v>
      </c>
      <c r="F84" s="3115">
        <v>15</v>
      </c>
    </row>
    <row r="85" spans="1:6" ht="24">
      <c r="A85" s="3115">
        <v>13</v>
      </c>
      <c r="B85" s="3874"/>
      <c r="C85" s="3089" t="s">
        <v>2677</v>
      </c>
      <c r="D85" s="3089" t="s">
        <v>2678</v>
      </c>
      <c r="E85" s="3115">
        <v>0.1</v>
      </c>
      <c r="F85" s="3115">
        <v>15</v>
      </c>
    </row>
    <row r="86" spans="1:6" ht="24">
      <c r="A86" s="3115">
        <v>14</v>
      </c>
      <c r="B86" s="3874"/>
      <c r="C86" s="3089" t="s">
        <v>2679</v>
      </c>
      <c r="D86" s="3089" t="s">
        <v>2680</v>
      </c>
      <c r="E86" s="3115">
        <v>0.1</v>
      </c>
      <c r="F86" s="3115">
        <v>15</v>
      </c>
    </row>
    <row r="87" spans="1:6" ht="24">
      <c r="A87" s="3115">
        <v>15</v>
      </c>
      <c r="B87" s="3874"/>
      <c r="C87" s="3089" t="s">
        <v>2681</v>
      </c>
      <c r="D87" s="3089" t="s">
        <v>2682</v>
      </c>
      <c r="E87" s="3115">
        <v>0.1</v>
      </c>
      <c r="F87" s="3115">
        <v>15</v>
      </c>
    </row>
    <row r="88" spans="1:6" ht="24">
      <c r="A88" s="3115">
        <v>16</v>
      </c>
      <c r="B88" s="3874"/>
      <c r="C88" s="3089" t="s">
        <v>2683</v>
      </c>
      <c r="D88" s="3089" t="s">
        <v>2684</v>
      </c>
      <c r="E88" s="3115">
        <v>0.1</v>
      </c>
      <c r="F88" s="3115">
        <v>15</v>
      </c>
    </row>
    <row r="89" spans="1:6" ht="24">
      <c r="A89" s="3115">
        <v>17</v>
      </c>
      <c r="B89" s="3873"/>
      <c r="C89" s="3089" t="s">
        <v>2685</v>
      </c>
      <c r="D89" s="3089" t="s">
        <v>2686</v>
      </c>
      <c r="E89" s="3115">
        <v>0.1</v>
      </c>
      <c r="F89" s="3115">
        <v>15</v>
      </c>
    </row>
    <row r="90" spans="1:6" ht="14.4">
      <c r="A90" s="3115">
        <v>18</v>
      </c>
      <c r="B90" s="3872" t="s">
        <v>2687</v>
      </c>
      <c r="C90" s="3089" t="s">
        <v>2688</v>
      </c>
      <c r="D90" s="3089" t="s">
        <v>2689</v>
      </c>
      <c r="E90" s="3115">
        <v>0.2</v>
      </c>
      <c r="F90" s="3115">
        <v>25</v>
      </c>
    </row>
    <row r="91" spans="1:6" ht="24">
      <c r="A91" s="3115">
        <v>19</v>
      </c>
      <c r="B91" s="3874"/>
      <c r="C91" s="3089" t="s">
        <v>2690</v>
      </c>
      <c r="D91" s="3089" t="s">
        <v>2691</v>
      </c>
      <c r="E91" s="3115">
        <v>0.2</v>
      </c>
      <c r="F91" s="3115">
        <v>25</v>
      </c>
    </row>
    <row r="92" spans="1:6" ht="14.4">
      <c r="A92" s="3115">
        <v>20</v>
      </c>
      <c r="B92" s="3874"/>
      <c r="C92" s="3089" t="s">
        <v>2692</v>
      </c>
      <c r="D92" s="3089" t="s">
        <v>2693</v>
      </c>
      <c r="E92" s="3115">
        <v>0.15</v>
      </c>
      <c r="F92" s="3115">
        <v>20</v>
      </c>
    </row>
    <row r="93" spans="1:6" ht="24">
      <c r="A93" s="3115">
        <v>21</v>
      </c>
      <c r="B93" s="3874"/>
      <c r="C93" s="3089" t="s">
        <v>2694</v>
      </c>
      <c r="D93" s="3089" t="s">
        <v>2695</v>
      </c>
      <c r="E93" s="3115">
        <v>0.15</v>
      </c>
      <c r="F93" s="3115">
        <v>20</v>
      </c>
    </row>
    <row r="94" spans="1:6" ht="24">
      <c r="A94" s="3115">
        <v>22</v>
      </c>
      <c r="B94" s="3874"/>
      <c r="C94" s="3089" t="s">
        <v>2696</v>
      </c>
      <c r="D94" s="3089" t="s">
        <v>2697</v>
      </c>
      <c r="E94" s="3115">
        <v>0.15</v>
      </c>
      <c r="F94" s="3115">
        <v>20</v>
      </c>
    </row>
    <row r="95" spans="1:6" ht="36">
      <c r="A95" s="3115">
        <v>23</v>
      </c>
      <c r="B95" s="3874"/>
      <c r="C95" s="3089" t="s">
        <v>2698</v>
      </c>
      <c r="D95" s="3089" t="s">
        <v>2699</v>
      </c>
      <c r="E95" s="3115">
        <v>0.15</v>
      </c>
      <c r="F95" s="3115">
        <v>20</v>
      </c>
    </row>
    <row r="96" spans="1:6" ht="24">
      <c r="A96" s="3115">
        <v>24</v>
      </c>
      <c r="B96" s="3874"/>
      <c r="C96" s="3089" t="s">
        <v>2700</v>
      </c>
      <c r="D96" s="3089" t="s">
        <v>2701</v>
      </c>
      <c r="E96" s="3115">
        <v>0.1</v>
      </c>
      <c r="F96" s="3115">
        <v>15</v>
      </c>
    </row>
    <row r="97" spans="1:6" ht="24">
      <c r="A97" s="3115">
        <v>25</v>
      </c>
      <c r="B97" s="3874"/>
      <c r="C97" s="3089" t="s">
        <v>2702</v>
      </c>
      <c r="D97" s="3089" t="s">
        <v>2703</v>
      </c>
      <c r="E97" s="3115">
        <v>0.1</v>
      </c>
      <c r="F97" s="3115">
        <v>15</v>
      </c>
    </row>
    <row r="98" spans="1:6" ht="24">
      <c r="A98" s="3115">
        <v>26</v>
      </c>
      <c r="B98" s="3874"/>
      <c r="C98" s="3089" t="s">
        <v>2704</v>
      </c>
      <c r="D98" s="3089" t="s">
        <v>2705</v>
      </c>
      <c r="E98" s="3115">
        <v>0.1</v>
      </c>
      <c r="F98" s="3115">
        <v>15</v>
      </c>
    </row>
    <row r="99" spans="1:6" ht="24">
      <c r="A99" s="3115">
        <v>27</v>
      </c>
      <c r="B99" s="3874"/>
      <c r="C99" s="3089" t="s">
        <v>2706</v>
      </c>
      <c r="D99" s="3089" t="s">
        <v>2707</v>
      </c>
      <c r="E99" s="3115">
        <v>0.1</v>
      </c>
      <c r="F99" s="3115">
        <v>15</v>
      </c>
    </row>
    <row r="100" spans="1:6" ht="24">
      <c r="A100" s="3115">
        <v>28</v>
      </c>
      <c r="B100" s="3874"/>
      <c r="C100" s="3089" t="s">
        <v>2708</v>
      </c>
      <c r="D100" s="3089" t="s">
        <v>2709</v>
      </c>
      <c r="E100" s="3115">
        <v>0.1</v>
      </c>
      <c r="F100" s="3115">
        <v>15</v>
      </c>
    </row>
    <row r="101" spans="1:6" ht="24">
      <c r="A101" s="3115">
        <v>29</v>
      </c>
      <c r="B101" s="3874"/>
      <c r="C101" s="3089" t="s">
        <v>2710</v>
      </c>
      <c r="D101" s="3089" t="s">
        <v>2711</v>
      </c>
      <c r="E101" s="3115">
        <v>0.1</v>
      </c>
      <c r="F101" s="3115">
        <v>15</v>
      </c>
    </row>
    <row r="102" spans="1:6" ht="24">
      <c r="A102" s="3115">
        <v>30</v>
      </c>
      <c r="B102" s="3874"/>
      <c r="C102" s="3089" t="s">
        <v>2712</v>
      </c>
      <c r="D102" s="3089" t="s">
        <v>2713</v>
      </c>
      <c r="E102" s="3115">
        <v>0.1</v>
      </c>
      <c r="F102" s="3115">
        <v>15</v>
      </c>
    </row>
    <row r="103" spans="1:6" ht="24">
      <c r="A103" s="3115">
        <v>31</v>
      </c>
      <c r="B103" s="3874"/>
      <c r="C103" s="3089" t="s">
        <v>2714</v>
      </c>
      <c r="D103" s="3089" t="s">
        <v>2715</v>
      </c>
      <c r="E103" s="3115">
        <v>0.1</v>
      </c>
      <c r="F103" s="3115">
        <v>15</v>
      </c>
    </row>
    <row r="104" spans="1:6" ht="24">
      <c r="A104" s="3115">
        <v>32</v>
      </c>
      <c r="B104" s="3874"/>
      <c r="C104" s="3089" t="s">
        <v>2716</v>
      </c>
      <c r="D104" s="3089" t="s">
        <v>2717</v>
      </c>
      <c r="E104" s="3115">
        <v>0.1</v>
      </c>
      <c r="F104" s="3115">
        <v>15</v>
      </c>
    </row>
    <row r="105" spans="1:6" ht="24">
      <c r="A105" s="3115">
        <v>33</v>
      </c>
      <c r="B105" s="3874"/>
      <c r="C105" s="3089" t="s">
        <v>2718</v>
      </c>
      <c r="D105" s="3089" t="s">
        <v>2719</v>
      </c>
      <c r="E105" s="3115">
        <v>0.1</v>
      </c>
      <c r="F105" s="3115">
        <v>15</v>
      </c>
    </row>
    <row r="106" spans="1:6" ht="24">
      <c r="A106" s="3115">
        <v>34</v>
      </c>
      <c r="B106" s="3873"/>
      <c r="C106" s="3089" t="s">
        <v>2720</v>
      </c>
      <c r="D106" s="3089" t="s">
        <v>2721</v>
      </c>
      <c r="E106" s="3115">
        <v>0.1</v>
      </c>
      <c r="F106" s="3115">
        <v>15</v>
      </c>
    </row>
    <row r="107" spans="1:6" ht="36">
      <c r="A107" s="3115">
        <v>35</v>
      </c>
      <c r="B107" s="3872" t="s">
        <v>2722</v>
      </c>
      <c r="C107" s="3115" t="s">
        <v>2723</v>
      </c>
      <c r="D107" s="3089" t="s">
        <v>2724</v>
      </c>
      <c r="E107" s="3115">
        <v>0.15</v>
      </c>
      <c r="F107" s="3115">
        <v>20</v>
      </c>
    </row>
    <row r="108" spans="1:6" ht="24">
      <c r="A108" s="3115">
        <v>36</v>
      </c>
      <c r="B108" s="3874"/>
      <c r="C108" s="3115" t="s">
        <v>2725</v>
      </c>
      <c r="D108" s="3089" t="s">
        <v>2726</v>
      </c>
      <c r="E108" s="3115">
        <v>0.15</v>
      </c>
      <c r="F108" s="3115">
        <v>20</v>
      </c>
    </row>
    <row r="109" spans="1:6" ht="24">
      <c r="A109" s="3115">
        <v>37</v>
      </c>
      <c r="B109" s="3874"/>
      <c r="C109" s="3115" t="s">
        <v>2727</v>
      </c>
      <c r="D109" s="3089" t="s">
        <v>2728</v>
      </c>
      <c r="E109" s="3115">
        <v>0.15</v>
      </c>
      <c r="F109" s="3115">
        <v>20</v>
      </c>
    </row>
    <row r="110" spans="1:6" ht="24">
      <c r="A110" s="3115">
        <v>38</v>
      </c>
      <c r="B110" s="3874"/>
      <c r="C110" s="3115" t="s">
        <v>2729</v>
      </c>
      <c r="D110" s="3089" t="s">
        <v>2730</v>
      </c>
      <c r="E110" s="3115">
        <v>0.1</v>
      </c>
      <c r="F110" s="3115">
        <v>15</v>
      </c>
    </row>
    <row r="111" spans="1:6" ht="24">
      <c r="A111" s="3115">
        <v>39</v>
      </c>
      <c r="B111" s="3874"/>
      <c r="C111" s="3115" t="s">
        <v>2731</v>
      </c>
      <c r="D111" s="3089" t="s">
        <v>2732</v>
      </c>
      <c r="E111" s="3115">
        <v>0.1</v>
      </c>
      <c r="F111" s="3115">
        <v>15</v>
      </c>
    </row>
    <row r="112" spans="1:6" ht="24">
      <c r="A112" s="3115">
        <v>40</v>
      </c>
      <c r="B112" s="3873"/>
      <c r="C112" s="3115" t="s">
        <v>2733</v>
      </c>
      <c r="D112" s="3089" t="s">
        <v>2734</v>
      </c>
      <c r="E112" s="3115">
        <v>0.1</v>
      </c>
      <c r="F112" s="3115">
        <v>15</v>
      </c>
    </row>
    <row r="113" spans="1:6" ht="24">
      <c r="A113" s="3115">
        <v>41</v>
      </c>
      <c r="B113" s="3871" t="s">
        <v>2735</v>
      </c>
      <c r="C113" s="3115" t="s">
        <v>2736</v>
      </c>
      <c r="D113" s="3089" t="s">
        <v>2737</v>
      </c>
      <c r="E113" s="3115">
        <v>0.1</v>
      </c>
      <c r="F113" s="3115">
        <v>15</v>
      </c>
    </row>
    <row r="114" spans="1:6" ht="24">
      <c r="A114" s="3115">
        <v>42</v>
      </c>
      <c r="B114" s="3871"/>
      <c r="C114" s="3115" t="s">
        <v>2738</v>
      </c>
      <c r="D114" s="3089" t="s">
        <v>2739</v>
      </c>
      <c r="E114" s="3115">
        <v>0.1</v>
      </c>
      <c r="F114" s="3115">
        <v>15</v>
      </c>
    </row>
    <row r="115" spans="1:6" ht="24">
      <c r="A115" s="3115">
        <v>43</v>
      </c>
      <c r="B115" s="3871"/>
      <c r="C115" s="3115" t="s">
        <v>2740</v>
      </c>
      <c r="D115" s="3089" t="s">
        <v>2741</v>
      </c>
      <c r="E115" s="3115">
        <v>0.1</v>
      </c>
      <c r="F115" s="3115">
        <v>15</v>
      </c>
    </row>
    <row r="116" spans="1:6" ht="24">
      <c r="A116" s="3115">
        <v>44</v>
      </c>
      <c r="B116" s="3872" t="s">
        <v>2742</v>
      </c>
      <c r="C116" s="3115" t="s">
        <v>2743</v>
      </c>
      <c r="D116" s="3089" t="s">
        <v>2744</v>
      </c>
      <c r="E116" s="3115">
        <v>0.1</v>
      </c>
      <c r="F116" s="3115">
        <v>15</v>
      </c>
    </row>
    <row r="117" spans="1:6" ht="24">
      <c r="A117" s="3115">
        <v>45</v>
      </c>
      <c r="B117" s="3873"/>
      <c r="C117" s="3089" t="s">
        <v>2745</v>
      </c>
      <c r="D117" s="3089" t="s">
        <v>2746</v>
      </c>
      <c r="E117" s="3115">
        <v>0.1</v>
      </c>
      <c r="F117" s="3115">
        <v>15</v>
      </c>
    </row>
    <row r="118" spans="1:6" ht="24">
      <c r="A118" s="3115">
        <v>46</v>
      </c>
      <c r="B118" s="3872" t="s">
        <v>2747</v>
      </c>
      <c r="C118" s="3115" t="s">
        <v>2748</v>
      </c>
      <c r="D118" s="3089" t="s">
        <v>2749</v>
      </c>
      <c r="E118" s="3115">
        <v>0.1</v>
      </c>
      <c r="F118" s="3115">
        <v>15</v>
      </c>
    </row>
    <row r="119" spans="1:6" ht="24">
      <c r="A119" s="3115">
        <v>47</v>
      </c>
      <c r="B119" s="3873"/>
      <c r="C119" s="3115" t="s">
        <v>2750</v>
      </c>
      <c r="D119" s="3089" t="s">
        <v>2751</v>
      </c>
      <c r="E119" s="3115">
        <v>0.1</v>
      </c>
      <c r="F119" s="3115">
        <v>15</v>
      </c>
    </row>
    <row r="120" spans="1:6" ht="24">
      <c r="A120" s="3115">
        <v>48</v>
      </c>
      <c r="B120" s="3872" t="s">
        <v>2752</v>
      </c>
      <c r="C120" s="3115" t="s">
        <v>2753</v>
      </c>
      <c r="D120" s="3089" t="s">
        <v>2754</v>
      </c>
      <c r="E120" s="3115">
        <v>0.1</v>
      </c>
      <c r="F120" s="3115">
        <v>15</v>
      </c>
    </row>
    <row r="121" spans="1:6" ht="24">
      <c r="A121" s="3115">
        <v>49</v>
      </c>
      <c r="B121" s="3873"/>
      <c r="C121" s="3115" t="s">
        <v>2755</v>
      </c>
      <c r="D121" s="3089" t="s">
        <v>2756</v>
      </c>
      <c r="E121" s="3115">
        <v>0.1</v>
      </c>
      <c r="F121" s="3115">
        <v>15</v>
      </c>
    </row>
    <row r="122" spans="1:6" ht="24">
      <c r="A122" s="3115">
        <v>50</v>
      </c>
      <c r="B122" s="3871" t="s">
        <v>2757</v>
      </c>
      <c r="C122" s="3115" t="s">
        <v>2758</v>
      </c>
      <c r="D122" s="3089" t="s">
        <v>2759</v>
      </c>
      <c r="E122" s="3115">
        <v>0.1</v>
      </c>
      <c r="F122" s="3115">
        <v>15</v>
      </c>
    </row>
    <row r="123" spans="1:6" ht="24">
      <c r="A123" s="3115">
        <v>51</v>
      </c>
      <c r="B123" s="3871"/>
      <c r="C123" s="3115" t="s">
        <v>2760</v>
      </c>
      <c r="D123" s="3089" t="s">
        <v>2761</v>
      </c>
      <c r="E123" s="3115">
        <v>0.1</v>
      </c>
      <c r="F123" s="3115">
        <v>15</v>
      </c>
    </row>
    <row r="124" spans="1:6" ht="24">
      <c r="A124" s="3115">
        <v>52</v>
      </c>
      <c r="B124" s="3871" t="s">
        <v>2762</v>
      </c>
      <c r="C124" s="3115" t="s">
        <v>2763</v>
      </c>
      <c r="D124" s="3089" t="s">
        <v>2764</v>
      </c>
      <c r="E124" s="3115">
        <v>0.1</v>
      </c>
      <c r="F124" s="3115">
        <v>15</v>
      </c>
    </row>
    <row r="125" spans="1:6" ht="24">
      <c r="A125" s="3115">
        <v>53</v>
      </c>
      <c r="B125" s="3871"/>
      <c r="C125" s="3115" t="s">
        <v>2765</v>
      </c>
      <c r="D125" s="3089" t="s">
        <v>2766</v>
      </c>
      <c r="E125" s="3115">
        <v>0.1</v>
      </c>
      <c r="F125" s="3115">
        <v>15</v>
      </c>
    </row>
    <row r="126" spans="1:6" ht="24">
      <c r="A126" s="3115">
        <v>54</v>
      </c>
      <c r="B126" s="3115" t="s">
        <v>2767</v>
      </c>
      <c r="C126" s="3115" t="s">
        <v>2768</v>
      </c>
      <c r="D126" s="3089" t="s">
        <v>2769</v>
      </c>
      <c r="E126" s="3115">
        <v>0.1</v>
      </c>
      <c r="F126" s="3115">
        <v>15</v>
      </c>
    </row>
    <row r="127" spans="1:6" ht="24">
      <c r="A127" s="3115">
        <v>55</v>
      </c>
      <c r="B127" s="3871" t="s">
        <v>2770</v>
      </c>
      <c r="C127" s="3115" t="s">
        <v>2771</v>
      </c>
      <c r="D127" s="3089" t="s">
        <v>2772</v>
      </c>
      <c r="E127" s="3115">
        <v>0.1</v>
      </c>
      <c r="F127" s="3115">
        <v>15</v>
      </c>
    </row>
    <row r="128" spans="1:6" ht="24">
      <c r="A128" s="3115">
        <v>56</v>
      </c>
      <c r="B128" s="3871"/>
      <c r="C128" s="3115" t="s">
        <v>2773</v>
      </c>
      <c r="D128" s="3089" t="s">
        <v>2774</v>
      </c>
      <c r="E128" s="3115">
        <v>0.1</v>
      </c>
      <c r="F128" s="3115">
        <v>15</v>
      </c>
    </row>
    <row r="129" spans="1:6" ht="24">
      <c r="A129" s="3115">
        <v>57</v>
      </c>
      <c r="B129" s="3871"/>
      <c r="C129" s="3115" t="s">
        <v>2775</v>
      </c>
      <c r="D129" s="3089" t="s">
        <v>2776</v>
      </c>
      <c r="E129" s="3115">
        <v>0.1</v>
      </c>
      <c r="F129" s="3115">
        <v>15</v>
      </c>
    </row>
    <row r="130" spans="1:6" ht="24">
      <c r="A130" s="3115">
        <v>58</v>
      </c>
      <c r="B130" s="3871" t="s">
        <v>2777</v>
      </c>
      <c r="C130" s="3115" t="s">
        <v>2778</v>
      </c>
      <c r="D130" s="3089" t="s">
        <v>2779</v>
      </c>
      <c r="E130" s="3115">
        <v>0.1</v>
      </c>
      <c r="F130" s="3115">
        <v>15</v>
      </c>
    </row>
    <row r="131" spans="1:6" ht="24">
      <c r="A131" s="3115">
        <v>59</v>
      </c>
      <c r="B131" s="3871"/>
      <c r="C131" s="3115" t="s">
        <v>2780</v>
      </c>
      <c r="D131" s="3089" t="s">
        <v>2781</v>
      </c>
      <c r="E131" s="3115">
        <v>0.1</v>
      </c>
      <c r="F131" s="3115">
        <v>15</v>
      </c>
    </row>
    <row r="132" spans="1:6" ht="24">
      <c r="A132" s="3115">
        <v>60</v>
      </c>
      <c r="B132" s="3872" t="s">
        <v>2782</v>
      </c>
      <c r="C132" s="3115" t="s">
        <v>2783</v>
      </c>
      <c r="D132" s="3089" t="s">
        <v>2784</v>
      </c>
      <c r="E132" s="3115">
        <v>0.1</v>
      </c>
      <c r="F132" s="3115">
        <v>15</v>
      </c>
    </row>
    <row r="133" spans="1:6" ht="24">
      <c r="A133" s="3115">
        <v>61</v>
      </c>
      <c r="B133" s="3873"/>
      <c r="C133" s="3115" t="s">
        <v>2785</v>
      </c>
      <c r="D133" s="3089" t="s">
        <v>2786</v>
      </c>
      <c r="E133" s="3115">
        <v>0.1</v>
      </c>
      <c r="F133" s="3115">
        <v>15</v>
      </c>
    </row>
    <row r="134" spans="1:6" ht="24">
      <c r="A134" s="3115">
        <v>62</v>
      </c>
      <c r="B134" s="3115" t="s">
        <v>2787</v>
      </c>
      <c r="C134" s="3115" t="s">
        <v>2788</v>
      </c>
      <c r="D134" s="3089" t="s">
        <v>2789</v>
      </c>
      <c r="E134" s="3115">
        <v>0.1</v>
      </c>
      <c r="F134" s="3115">
        <v>15</v>
      </c>
    </row>
    <row r="135" spans="1:6" ht="24">
      <c r="A135" s="3115">
        <v>63</v>
      </c>
      <c r="B135" s="3871" t="s">
        <v>2790</v>
      </c>
      <c r="C135" s="3115" t="s">
        <v>2791</v>
      </c>
      <c r="D135" s="3089" t="s">
        <v>2792</v>
      </c>
      <c r="E135" s="3115">
        <v>0.1</v>
      </c>
      <c r="F135" s="3115">
        <v>15</v>
      </c>
    </row>
    <row r="136" spans="1:6" ht="24">
      <c r="A136" s="3115">
        <v>64</v>
      </c>
      <c r="B136" s="3871"/>
      <c r="C136" s="3115" t="s">
        <v>2793</v>
      </c>
      <c r="D136" s="3089" t="s">
        <v>2794</v>
      </c>
      <c r="E136" s="3115">
        <v>0.1</v>
      </c>
      <c r="F136" s="3115">
        <v>15</v>
      </c>
    </row>
    <row r="137" spans="1:6" ht="24">
      <c r="A137" s="3115">
        <v>65</v>
      </c>
      <c r="B137" s="3115" t="s">
        <v>2795</v>
      </c>
      <c r="C137" s="3115" t="s">
        <v>2796</v>
      </c>
      <c r="D137" s="3089" t="s">
        <v>2797</v>
      </c>
      <c r="E137" s="3115">
        <v>0.1</v>
      </c>
      <c r="F137" s="3115">
        <v>15</v>
      </c>
    </row>
    <row r="138" spans="1:6" ht="14.4">
      <c r="A138" s="3115"/>
      <c r="B138" s="3115"/>
      <c r="C138" s="3115"/>
      <c r="D138" s="3115"/>
      <c r="E138" s="3115" t="s">
        <v>2798</v>
      </c>
      <c r="F138" s="3115"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47"/>
  </cols>
  <sheetData>
    <row r="1" spans="1:20" ht="16.2" thickBot="1">
      <c r="A1" s="3124" t="s">
        <v>2799</v>
      </c>
      <c r="B1" s="3124"/>
      <c r="C1" s="3124"/>
      <c r="D1" s="3124"/>
      <c r="E1" s="3124"/>
      <c r="F1" s="3124"/>
      <c r="G1" s="3124"/>
      <c r="H1" s="3124"/>
      <c r="I1" s="3124"/>
      <c r="J1" s="3124"/>
      <c r="K1" s="3124"/>
      <c r="L1" s="3124"/>
      <c r="M1" s="3124"/>
      <c r="N1" s="746"/>
    </row>
    <row r="2" spans="1:20">
      <c r="A2" s="3125" t="s">
        <v>2800</v>
      </c>
      <c r="B2" s="3126" t="s">
        <v>2596</v>
      </c>
      <c r="C2" s="3126" t="s">
        <v>2597</v>
      </c>
      <c r="D2" s="3126" t="s">
        <v>2598</v>
      </c>
      <c r="E2" s="3126" t="s">
        <v>2599</v>
      </c>
      <c r="F2" s="3126" t="s">
        <v>2600</v>
      </c>
      <c r="G2" s="3126" t="s">
        <v>2601</v>
      </c>
      <c r="H2" s="3127" t="s">
        <v>2602</v>
      </c>
      <c r="I2" s="3127" t="s">
        <v>2603</v>
      </c>
      <c r="J2" s="3128" t="s">
        <v>2604</v>
      </c>
      <c r="K2" s="3128" t="s">
        <v>2605</v>
      </c>
      <c r="L2" s="3128" t="s">
        <v>2606</v>
      </c>
      <c r="M2" s="3129" t="s">
        <v>2607</v>
      </c>
      <c r="Q2" s="3139" t="s">
        <v>2805</v>
      </c>
      <c r="R2" s="3139" t="s">
        <v>2806</v>
      </c>
      <c r="S2" s="3139" t="s">
        <v>2807</v>
      </c>
      <c r="T2" s="3139" t="s">
        <v>2808</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8"/>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8"/>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8"/>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2801</v>
      </c>
      <c r="B93" s="3124"/>
      <c r="C93" s="3124"/>
      <c r="D93" s="3124"/>
      <c r="E93" s="3124"/>
      <c r="F93" s="3124"/>
      <c r="G93" s="3124"/>
      <c r="H93" s="3124"/>
      <c r="I93" s="3124"/>
      <c r="J93" s="3124"/>
      <c r="K93" s="3124"/>
      <c r="L93" s="3124"/>
      <c r="M93" s="3124"/>
    </row>
    <row r="94" spans="1:20">
      <c r="A94" s="3125" t="s">
        <v>2800</v>
      </c>
      <c r="B94" s="3126" t="s">
        <v>2596</v>
      </c>
      <c r="C94" s="3126" t="s">
        <v>2597</v>
      </c>
      <c r="D94" s="3126" t="s">
        <v>2598</v>
      </c>
      <c r="E94" s="3126" t="s">
        <v>2599</v>
      </c>
      <c r="F94" s="3126" t="s">
        <v>2600</v>
      </c>
      <c r="G94" s="3126" t="s">
        <v>2601</v>
      </c>
      <c r="H94" s="3127" t="s">
        <v>2602</v>
      </c>
      <c r="I94" s="3127" t="s">
        <v>2603</v>
      </c>
      <c r="J94" s="3128" t="s">
        <v>2604</v>
      </c>
      <c r="K94" s="3128" t="s">
        <v>2605</v>
      </c>
      <c r="L94" s="3128" t="s">
        <v>2606</v>
      </c>
      <c r="M94" s="3129" t="s">
        <v>2607</v>
      </c>
      <c r="N94" s="747">
        <f>SUMPRODUCT((A95:A184=ROUNDDOWN('基准地价修正-办公'!G3,1))*(B94:M94='基准地价修正-办公'!G2)*(B95:M184))</f>
        <v>0.93500000000000005</v>
      </c>
      <c r="Q94" s="3139" t="s">
        <v>2805</v>
      </c>
      <c r="R94" s="3139" t="s">
        <v>2806</v>
      </c>
      <c r="S94" s="3139" t="s">
        <v>2807</v>
      </c>
      <c r="T94" s="3139" t="s">
        <v>2808</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6"/>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6"/>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2802</v>
      </c>
      <c r="B185" s="3124"/>
      <c r="C185" s="3124"/>
      <c r="D185" s="3124"/>
      <c r="E185" s="3124"/>
      <c r="F185" s="3124"/>
      <c r="G185" s="3124"/>
      <c r="H185" s="3124"/>
      <c r="I185" s="3124"/>
      <c r="J185" s="3124"/>
      <c r="K185" s="3124"/>
      <c r="L185" s="3124"/>
      <c r="M185" s="3124"/>
    </row>
    <row r="186" spans="1:20">
      <c r="A186" s="3125" t="s">
        <v>2800</v>
      </c>
      <c r="B186" s="3126" t="s">
        <v>2596</v>
      </c>
      <c r="C186" s="3126" t="s">
        <v>2597</v>
      </c>
      <c r="D186" s="3126" t="s">
        <v>2598</v>
      </c>
      <c r="E186" s="3126" t="s">
        <v>2599</v>
      </c>
      <c r="F186" s="3126" t="s">
        <v>2600</v>
      </c>
      <c r="G186" s="3126" t="s">
        <v>2601</v>
      </c>
      <c r="H186" s="3127" t="s">
        <v>2602</v>
      </c>
      <c r="I186" s="3127" t="s">
        <v>2603</v>
      </c>
      <c r="J186" s="3128" t="s">
        <v>2604</v>
      </c>
      <c r="K186" s="3128" t="s">
        <v>2605</v>
      </c>
      <c r="L186" s="3128" t="s">
        <v>2606</v>
      </c>
      <c r="M186" s="3129" t="s">
        <v>2607</v>
      </c>
      <c r="Q186" s="3139" t="s">
        <v>2805</v>
      </c>
      <c r="R186" s="3139" t="s">
        <v>2806</v>
      </c>
      <c r="S186" s="3139" t="s">
        <v>2807</v>
      </c>
      <c r="T186" s="3139" t="s">
        <v>2808</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2803</v>
      </c>
      <c r="B277" s="3124"/>
      <c r="C277" s="3124"/>
      <c r="D277" s="3124"/>
      <c r="E277" s="3124"/>
      <c r="F277" s="3124"/>
      <c r="G277" s="3124"/>
      <c r="H277" s="3124"/>
      <c r="I277" s="3124"/>
      <c r="J277" s="3124"/>
      <c r="K277" s="3124"/>
      <c r="L277" s="3124"/>
      <c r="M277" s="3124"/>
    </row>
    <row r="278" spans="1:21">
      <c r="A278" s="3125" t="s">
        <v>2800</v>
      </c>
      <c r="B278" s="3126" t="s">
        <v>2596</v>
      </c>
      <c r="C278" s="3126" t="s">
        <v>2597</v>
      </c>
      <c r="D278" s="3126" t="s">
        <v>2598</v>
      </c>
      <c r="E278" s="3126" t="s">
        <v>2599</v>
      </c>
      <c r="F278" s="3126" t="s">
        <v>2600</v>
      </c>
      <c r="G278" s="3126" t="s">
        <v>2601</v>
      </c>
      <c r="H278" s="3127" t="s">
        <v>2602</v>
      </c>
      <c r="I278" s="3127" t="s">
        <v>2603</v>
      </c>
      <c r="J278" s="3128" t="s">
        <v>2604</v>
      </c>
      <c r="K278" s="3128" t="s">
        <v>2605</v>
      </c>
      <c r="L278" s="3128" t="s">
        <v>2606</v>
      </c>
      <c r="M278" s="3129" t="s">
        <v>2607</v>
      </c>
      <c r="Q278" s="3139" t="s">
        <v>2805</v>
      </c>
      <c r="R278" s="3139" t="s">
        <v>2806</v>
      </c>
      <c r="S278" s="3139" t="s">
        <v>2809</v>
      </c>
      <c r="T278" s="3139" t="s">
        <v>2810</v>
      </c>
      <c r="U278" s="3139" t="s">
        <v>2808</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2804</v>
      </c>
      <c r="B369" s="3137"/>
      <c r="C369" s="3137"/>
      <c r="D369" s="3137"/>
      <c r="E369" s="3137"/>
      <c r="F369" s="3137"/>
      <c r="G369" s="3137"/>
      <c r="H369" s="3137"/>
      <c r="I369" s="3137"/>
      <c r="J369" s="3137"/>
      <c r="K369" s="3137"/>
      <c r="L369" s="3137"/>
      <c r="M369" s="3137"/>
    </row>
    <row r="370" spans="1:20">
      <c r="A370" s="3125" t="s">
        <v>2800</v>
      </c>
      <c r="B370" s="3126" t="s">
        <v>2596</v>
      </c>
      <c r="C370" s="3126" t="s">
        <v>2597</v>
      </c>
      <c r="D370" s="3126" t="s">
        <v>2598</v>
      </c>
      <c r="E370" s="3126" t="s">
        <v>2599</v>
      </c>
      <c r="F370" s="3126" t="s">
        <v>2600</v>
      </c>
      <c r="G370" s="3126" t="s">
        <v>2601</v>
      </c>
      <c r="H370" s="3127" t="s">
        <v>2602</v>
      </c>
      <c r="I370" s="3127" t="s">
        <v>2603</v>
      </c>
      <c r="J370" s="3128" t="s">
        <v>2604</v>
      </c>
      <c r="K370" s="3128" t="s">
        <v>2605</v>
      </c>
      <c r="L370" s="3128" t="s">
        <v>2606</v>
      </c>
      <c r="M370" s="3129" t="s">
        <v>2607</v>
      </c>
      <c r="N370" s="747">
        <f>SUMPRODUCT((A371:A460=ROUNDDOWN('基准地价修正-办公'!G3,1))*(B370:M370='基准地价修正-办公'!G2)*(B371:M460))</f>
        <v>0.88560000000000005</v>
      </c>
      <c r="Q370" s="3139" t="s">
        <v>2805</v>
      </c>
      <c r="R370" s="3139" t="s">
        <v>2806</v>
      </c>
      <c r="S370" s="3139" t="s">
        <v>2807</v>
      </c>
      <c r="T370" s="3139" t="s">
        <v>2808</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143483</v>
      </c>
      <c r="C2" s="2" t="s">
        <v>106</v>
      </c>
      <c r="D2" s="199"/>
      <c r="E2" s="199"/>
      <c r="F2" s="199"/>
      <c r="G2" s="199"/>
    </row>
    <row r="3" spans="1:7" s="200" customFormat="1" ht="18" customHeight="1" thickBot="1">
      <c r="A3" s="203" t="s">
        <v>58</v>
      </c>
      <c r="B3" s="204">
        <f ca="1">ROUND(B2*10000/'数据-汇总表'!E3,0)</f>
        <v>12794</v>
      </c>
      <c r="C3" s="2" t="s">
        <v>107</v>
      </c>
      <c r="D3" s="199"/>
      <c r="E3" s="199"/>
      <c r="F3" s="199"/>
      <c r="G3" s="199"/>
    </row>
    <row r="4" spans="1:7" s="208" customFormat="1" ht="16.2">
      <c r="A4" s="205" t="s">
        <v>59</v>
      </c>
      <c r="B4" s="206"/>
      <c r="C4" s="206"/>
      <c r="D4" s="206"/>
      <c r="E4" s="206"/>
      <c r="F4" s="206"/>
      <c r="G4" s="207"/>
    </row>
    <row r="5" spans="1:7" s="214" customFormat="1" ht="13.5" customHeight="1">
      <c r="A5" s="255" t="s">
        <v>415</v>
      </c>
      <c r="B5" s="210" t="s">
        <v>60</v>
      </c>
      <c r="C5" s="211">
        <f>C6+C7+C8</f>
        <v>21000</v>
      </c>
      <c r="D5" s="211" t="s">
        <v>61</v>
      </c>
      <c r="E5" s="212" t="s">
        <v>62</v>
      </c>
      <c r="F5" s="212" t="s">
        <v>63</v>
      </c>
      <c r="G5" s="213"/>
    </row>
    <row r="6" spans="1:7" s="214" customFormat="1" ht="13.5" customHeight="1">
      <c r="A6" s="775" t="s">
        <v>345</v>
      </c>
      <c r="B6" s="215" t="s">
        <v>64</v>
      </c>
      <c r="C6" s="216">
        <v>20000</v>
      </c>
      <c r="D6" s="217"/>
      <c r="E6" s="218"/>
      <c r="F6" s="218"/>
      <c r="G6" s="219"/>
    </row>
    <row r="7" spans="1:7" s="214" customFormat="1" ht="13.5" customHeight="1">
      <c r="A7" s="775" t="s">
        <v>346</v>
      </c>
      <c r="B7" s="215" t="s">
        <v>30</v>
      </c>
      <c r="C7" s="220">
        <f>ROUND(C6*F7,0)</f>
        <v>1000</v>
      </c>
      <c r="D7" s="220"/>
      <c r="E7" s="218"/>
      <c r="F7" s="221">
        <f>'数据-取费表'!B48+'数据-取费表'!B49</f>
        <v>0.05</v>
      </c>
      <c r="G7" s="219"/>
    </row>
    <row r="8" spans="1:7" s="223" customFormat="1">
      <c r="A8" s="775" t="s">
        <v>347</v>
      </c>
      <c r="B8" s="215" t="s">
        <v>65</v>
      </c>
      <c r="C8" s="220" t="str">
        <f>IF(G8="已包含在土地购买价格中","0",'数据-取费表'!B29)</f>
        <v>0</v>
      </c>
      <c r="D8" s="222"/>
      <c r="E8" s="220"/>
      <c r="F8" s="221"/>
      <c r="G8" s="1" t="s">
        <v>450</v>
      </c>
    </row>
    <row r="9" spans="1:7" s="214" customFormat="1" ht="13.5" customHeight="1">
      <c r="A9" s="776" t="s">
        <v>354</v>
      </c>
      <c r="B9" s="224" t="s">
        <v>66</v>
      </c>
      <c r="C9" s="225">
        <f>ROUND(D9*E9/10000,0)</f>
        <v>0</v>
      </c>
      <c r="D9" s="842">
        <f>'数据-汇总表'!E5</f>
        <v>0</v>
      </c>
      <c r="E9" s="225">
        <f>'数据-取费表'!B27</f>
        <v>0</v>
      </c>
      <c r="F9" s="221"/>
      <c r="G9" s="226"/>
    </row>
    <row r="10" spans="1:7" s="214" customFormat="1" ht="13.5" customHeight="1">
      <c r="A10" s="776" t="s">
        <v>355</v>
      </c>
      <c r="B10" s="224" t="s">
        <v>67</v>
      </c>
      <c r="C10" s="225">
        <f>ROUND(D10*E10/10000,0)</f>
        <v>2243</v>
      </c>
      <c r="D10" s="842">
        <f>'数据-汇总表'!E6</f>
        <v>112144.47999999998</v>
      </c>
      <c r="E10" s="225">
        <f>'数据-取费表'!B28</f>
        <v>200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416</v>
      </c>
      <c r="B19" s="210" t="s">
        <v>84</v>
      </c>
      <c r="C19" s="211">
        <f>IF(G19="已包含在土地取得成本中","0",ROUND(D19*E19/10000,0))</f>
        <v>2243</v>
      </c>
      <c r="D19" s="846">
        <f>'数据-汇总表'!E3</f>
        <v>112144.47999999998</v>
      </c>
      <c r="E19" s="211">
        <f>'数据-取费表'!B31</f>
        <v>200</v>
      </c>
      <c r="F19" s="231"/>
      <c r="G19" s="1" t="s">
        <v>435</v>
      </c>
    </row>
    <row r="20" spans="1:7" s="214" customFormat="1" ht="13.5" customHeight="1">
      <c r="A20" s="774" t="s">
        <v>418</v>
      </c>
      <c r="B20" s="210" t="s">
        <v>77</v>
      </c>
      <c r="C20" s="232">
        <f>ROUND((C5+C19)*F20,0)</f>
        <v>697</v>
      </c>
      <c r="D20" s="232"/>
      <c r="E20" s="232"/>
      <c r="F20" s="233">
        <f>'数据-取费表'!B37</f>
        <v>0.03</v>
      </c>
      <c r="G20" s="1064" t="s">
        <v>429</v>
      </c>
    </row>
    <row r="21" spans="1:7" s="214" customFormat="1" ht="13.5" customHeight="1">
      <c r="A21" s="774" t="s">
        <v>420</v>
      </c>
      <c r="B21" s="210" t="s">
        <v>78</v>
      </c>
      <c r="C21" s="235">
        <f>F21</f>
        <v>0.03</v>
      </c>
      <c r="D21" s="236" t="s">
        <v>99</v>
      </c>
      <c r="E21" s="232"/>
      <c r="F21" s="233">
        <f>'数据-取费表'!B38</f>
        <v>0.03</v>
      </c>
      <c r="G21" s="234" t="s">
        <v>79</v>
      </c>
    </row>
    <row r="22" spans="1:7" s="214" customFormat="1" ht="13.5" customHeight="1">
      <c r="A22" s="774" t="s">
        <v>340</v>
      </c>
      <c r="B22" s="210" t="s">
        <v>80</v>
      </c>
      <c r="C22" s="1101">
        <f ca="1">ROUND(SUM(C23:C25),0)</f>
        <v>2525</v>
      </c>
      <c r="D22" s="235">
        <f ca="1">C26</f>
        <v>1.6000000000000001E-3</v>
      </c>
      <c r="E22" s="236" t="s">
        <v>99</v>
      </c>
      <c r="F22" s="237">
        <f ca="1">'数据-取费表'!B40</f>
        <v>3.4500000000000003E-2</v>
      </c>
      <c r="G22" s="1064" t="str">
        <f>IF('数据-取费表'!B22&lt;=1,"单利计息","复利计息")</f>
        <v>复利计息</v>
      </c>
    </row>
    <row r="23" spans="1:7" s="214" customFormat="1" ht="13.5" customHeight="1">
      <c r="A23" s="777" t="s">
        <v>348</v>
      </c>
      <c r="B23" s="215" t="s">
        <v>422</v>
      </c>
      <c r="C23" s="1102">
        <f ca="1">ROUND(IF('数据-取费表'!B22&lt;=1,C5*F22*'数据-取费表'!B23,C5*(POWER((1+F22),'数据-取费表'!B23)-1)),0)</f>
        <v>2249</v>
      </c>
      <c r="D23" s="238"/>
      <c r="E23" s="238"/>
      <c r="F23" s="239"/>
      <c r="G23" s="240" t="s">
        <v>81</v>
      </c>
    </row>
    <row r="24" spans="1:7" s="214" customFormat="1" ht="13.5" customHeight="1">
      <c r="A24" s="777" t="s">
        <v>346</v>
      </c>
      <c r="B24" s="215" t="s">
        <v>417</v>
      </c>
      <c r="C24" s="1102">
        <f ca="1">ROUND(IF('数据-取费表'!B22&lt;=1,C19*F22*('数据-取费表'!B19/2+'数据-取费表'!B21),C19*(POWER((1+F22),('数据-取费表'!B19/2+'数据-取费表'!B21))-1)),0)</f>
        <v>240</v>
      </c>
      <c r="D24" s="238"/>
      <c r="E24" s="238"/>
      <c r="F24" s="239"/>
      <c r="G24" s="240" t="s">
        <v>82</v>
      </c>
    </row>
    <row r="25" spans="1:7" s="214" customFormat="1" ht="24">
      <c r="A25" s="777" t="s">
        <v>347</v>
      </c>
      <c r="B25" s="215" t="s">
        <v>419</v>
      </c>
      <c r="C25" s="1102">
        <f ca="1">ROUND(IF('数据-取费表'!B22&lt;=1,C20*F22*'数据-取费表'!B23/2,C20*(POWER((1+F22),'数据-取费表'!B23/2)-1)),0)</f>
        <v>36</v>
      </c>
      <c r="D25" s="238"/>
      <c r="E25" s="241"/>
      <c r="F25" s="239"/>
      <c r="G25" s="242" t="s">
        <v>83</v>
      </c>
    </row>
    <row r="26" spans="1:7" s="214" customFormat="1">
      <c r="A26" s="777" t="s">
        <v>349</v>
      </c>
      <c r="B26" s="215" t="s">
        <v>421</v>
      </c>
      <c r="C26" s="238">
        <f ca="1">ROUND(IF('数据-取费表'!B22&lt;=1,F21*F22*'数据-取费表'!B23/2,F21*(POWER((1+F22),'数据-取费表'!B23/2)-1)),4)</f>
        <v>1.6000000000000001E-3</v>
      </c>
      <c r="D26" s="238"/>
      <c r="E26" s="241"/>
      <c r="F26" s="239"/>
      <c r="G26" s="243"/>
    </row>
    <row r="27" spans="1:7" s="214" customFormat="1" ht="26.4">
      <c r="A27" s="774" t="s">
        <v>341</v>
      </c>
      <c r="B27" s="244" t="s">
        <v>85</v>
      </c>
      <c r="C27" s="245">
        <f>C28</f>
        <v>5506</v>
      </c>
      <c r="D27" s="235">
        <f>C29</f>
        <v>6.8999999999999999E-3</v>
      </c>
      <c r="E27" s="236" t="s">
        <v>99</v>
      </c>
      <c r="F27" s="246">
        <f>'数据-取费表'!Q16</f>
        <v>0.23</v>
      </c>
      <c r="G27" s="247" t="s">
        <v>430</v>
      </c>
    </row>
    <row r="28" spans="1:7" s="214" customFormat="1" ht="13.5" customHeight="1">
      <c r="A28" s="777" t="s">
        <v>348</v>
      </c>
      <c r="B28" s="248" t="s">
        <v>423</v>
      </c>
      <c r="C28" s="249">
        <f>ROUND((C5+C19+C20)*F27*'数据-取费表'!B21/'数据-取费表'!B20,0)</f>
        <v>5506</v>
      </c>
      <c r="D28" s="235"/>
      <c r="E28" s="236"/>
      <c r="F28" s="246"/>
      <c r="G28" s="247"/>
    </row>
    <row r="29" spans="1:7" s="214" customFormat="1" ht="13.5" customHeight="1">
      <c r="A29" s="777" t="s">
        <v>346</v>
      </c>
      <c r="B29" s="248" t="s">
        <v>424</v>
      </c>
      <c r="C29" s="238">
        <f>ROUND(C21*F27*'数据-取费表'!B21/'数据-取费表'!B20,4)</f>
        <v>6.8999999999999999E-3</v>
      </c>
      <c r="D29" s="235"/>
      <c r="E29" s="236"/>
      <c r="F29" s="246"/>
      <c r="G29" s="247"/>
    </row>
    <row r="30" spans="1:7" s="214" customFormat="1" ht="13.5" customHeight="1">
      <c r="A30" s="774" t="s">
        <v>342</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35204</v>
      </c>
      <c r="D31" s="230"/>
      <c r="E31" s="211"/>
      <c r="F31" s="250"/>
      <c r="G31" s="234" t="s">
        <v>431</v>
      </c>
    </row>
    <row r="32" spans="1:7" s="208" customFormat="1" ht="16.2">
      <c r="A32" s="252" t="s">
        <v>87</v>
      </c>
      <c r="B32" s="253"/>
      <c r="C32" s="253"/>
      <c r="D32" s="253"/>
      <c r="E32" s="253"/>
      <c r="F32" s="253"/>
      <c r="G32" s="254"/>
    </row>
    <row r="33" spans="1:7" s="214" customFormat="1" ht="13.5" customHeight="1">
      <c r="A33" s="255" t="s">
        <v>336</v>
      </c>
      <c r="B33" s="210" t="s">
        <v>88</v>
      </c>
      <c r="C33" s="256">
        <f>SUM(C34:C38)</f>
        <v>75979</v>
      </c>
      <c r="D33" s="232"/>
      <c r="E33" s="212"/>
      <c r="F33" s="241"/>
      <c r="G33" s="234"/>
    </row>
    <row r="34" spans="1:7" s="258" customFormat="1" ht="13.5" customHeight="1">
      <c r="A34" s="777" t="s">
        <v>348</v>
      </c>
      <c r="B34" s="215" t="s">
        <v>32</v>
      </c>
      <c r="C34" s="220">
        <f>IF(F34=100%,'数据-取费表'!M16-SUMIF('数据-取费表'!C:C,"公共配套",'数据-取费表'!M:M),'数据-取费表'!O16-SUMIF('数据-取费表'!C:C,"公共配套",'数据-取费表'!O:O))</f>
        <v>69235</v>
      </c>
      <c r="D34" s="217"/>
      <c r="E34" s="220"/>
      <c r="F34" s="257">
        <f>IF('数据-取费表'!B24=0,1,'数据-取费表'!N16)</f>
        <v>1</v>
      </c>
      <c r="G34" s="219" t="s">
        <v>89</v>
      </c>
    </row>
    <row r="35" spans="1:7" ht="13.5" customHeight="1">
      <c r="A35" s="777" t="s">
        <v>350</v>
      </c>
      <c r="B35" s="215" t="s">
        <v>33</v>
      </c>
      <c r="C35" s="220">
        <f>ROUND(C34*F35,0)</f>
        <v>3462</v>
      </c>
      <c r="D35" s="220"/>
      <c r="E35" s="220"/>
      <c r="F35" s="259">
        <f>'数据-取费表'!B33</f>
        <v>0.05</v>
      </c>
      <c r="G35" s="219" t="s">
        <v>90</v>
      </c>
    </row>
    <row r="36" spans="1:7" ht="24">
      <c r="A36" s="777" t="s">
        <v>351</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352</v>
      </c>
      <c r="B37" s="215" t="s">
        <v>91</v>
      </c>
      <c r="C37" s="249">
        <f>ROUND(E37*D37*F34/10000,0)</f>
        <v>2243</v>
      </c>
      <c r="D37" s="217">
        <f>'数据-汇总表'!E3</f>
        <v>112144.47999999998</v>
      </c>
      <c r="E37" s="249">
        <f>'数据-取费表'!B35</f>
        <v>200</v>
      </c>
      <c r="F37" s="259"/>
      <c r="G37" s="261" t="s">
        <v>92</v>
      </c>
    </row>
    <row r="38" spans="1:7" ht="13.5" customHeight="1">
      <c r="A38" s="777" t="s">
        <v>353</v>
      </c>
      <c r="B38" s="215" t="s">
        <v>36</v>
      </c>
      <c r="C38" s="220">
        <f>ROUND(C34*F38,0)</f>
        <v>1039</v>
      </c>
      <c r="D38" s="220"/>
      <c r="E38" s="220"/>
      <c r="F38" s="259">
        <f>'数据-取费表'!B36</f>
        <v>1.4999999999999999E-2</v>
      </c>
      <c r="G38" s="219" t="s">
        <v>90</v>
      </c>
    </row>
    <row r="39" spans="1:7" s="214" customFormat="1" ht="13.5" customHeight="1">
      <c r="A39" s="774" t="s">
        <v>337</v>
      </c>
      <c r="B39" s="210" t="s">
        <v>77</v>
      </c>
      <c r="C39" s="232">
        <f>ROUND(C33*F20,0)</f>
        <v>2279</v>
      </c>
      <c r="D39" s="232"/>
      <c r="E39" s="232"/>
      <c r="F39" s="233"/>
      <c r="G39" s="1064" t="s">
        <v>432</v>
      </c>
    </row>
    <row r="40" spans="1:7" s="214" customFormat="1" ht="13.5" customHeight="1">
      <c r="A40" s="774" t="s">
        <v>338</v>
      </c>
      <c r="B40" s="210" t="s">
        <v>78</v>
      </c>
      <c r="C40" s="262">
        <f>F21</f>
        <v>0.03</v>
      </c>
      <c r="D40" s="236" t="s">
        <v>102</v>
      </c>
      <c r="E40" s="232"/>
      <c r="F40" s="233"/>
      <c r="G40" s="234" t="s">
        <v>93</v>
      </c>
    </row>
    <row r="41" spans="1:7" s="214" customFormat="1" ht="13.5" customHeight="1">
      <c r="A41" s="774" t="s">
        <v>339</v>
      </c>
      <c r="B41" s="210" t="s">
        <v>80</v>
      </c>
      <c r="C41" s="232">
        <f ca="1">ROUND(SUM(C42:C43),0)</f>
        <v>4085</v>
      </c>
      <c r="D41" s="235">
        <f ca="1">C44</f>
        <v>1.6000000000000001E-3</v>
      </c>
      <c r="E41" s="236" t="s">
        <v>102</v>
      </c>
      <c r="F41" s="237"/>
      <c r="G41" s="1064" t="str">
        <f>IF('数据-取费表'!B22&lt;=1,"单利计息","复利计息")</f>
        <v>复利计息</v>
      </c>
    </row>
    <row r="42" spans="1:7" ht="13.5" customHeight="1">
      <c r="A42" s="777" t="s">
        <v>348</v>
      </c>
      <c r="B42" s="215" t="s">
        <v>422</v>
      </c>
      <c r="C42" s="238">
        <f ca="1">ROUND(IF('数据-取费表'!B22&lt;=1,C33*F22*'数据-取费表'!B21/2,C33*(POWER((1+F22),'数据-取费表'!B21/2)-1)),0)</f>
        <v>3966</v>
      </c>
      <c r="D42" s="238"/>
      <c r="E42" s="238"/>
      <c r="F42" s="239"/>
      <c r="G42" s="3747" t="s">
        <v>94</v>
      </c>
    </row>
    <row r="43" spans="1:7" ht="13.5" customHeight="1">
      <c r="A43" s="777" t="s">
        <v>346</v>
      </c>
      <c r="B43" s="215" t="s">
        <v>425</v>
      </c>
      <c r="C43" s="238">
        <f ca="1">ROUND(IF('数据-取费表'!B22&lt;=1,C39*F22*'数据-取费表'!B21/2,C39*(POWER((1+F22),'数据-取费表'!B21/2)-1)),0)</f>
        <v>119</v>
      </c>
      <c r="D43" s="238"/>
      <c r="E43" s="238"/>
      <c r="F43" s="239"/>
      <c r="G43" s="3748"/>
    </row>
    <row r="44" spans="1:7" ht="13.5" customHeight="1">
      <c r="A44" s="777" t="s">
        <v>347</v>
      </c>
      <c r="B44" s="215" t="s">
        <v>427</v>
      </c>
      <c r="C44" s="238">
        <f ca="1">ROUND(IF('数据-取费表'!B22&lt;=1,C40*F22*'数据-取费表'!B21/2,C40*(POWER((1+F22),'数据-取费表'!B21/2)-1)),4)</f>
        <v>1.6000000000000001E-3</v>
      </c>
      <c r="D44" s="238"/>
      <c r="E44" s="238"/>
      <c r="F44" s="239"/>
      <c r="G44" s="3749"/>
    </row>
    <row r="45" spans="1:7" s="214" customFormat="1" ht="13.5" customHeight="1">
      <c r="A45" s="774" t="s">
        <v>340</v>
      </c>
      <c r="B45" s="244" t="s">
        <v>85</v>
      </c>
      <c r="C45" s="245">
        <f>C46</f>
        <v>17999</v>
      </c>
      <c r="D45" s="235">
        <f>C47</f>
        <v>6.8999999999999999E-3</v>
      </c>
      <c r="E45" s="236" t="s">
        <v>102</v>
      </c>
      <c r="F45" s="246"/>
      <c r="G45" s="247" t="s">
        <v>433</v>
      </c>
    </row>
    <row r="46" spans="1:7" s="214" customFormat="1" ht="13.5" customHeight="1">
      <c r="A46" s="777" t="s">
        <v>348</v>
      </c>
      <c r="B46" s="248" t="s">
        <v>426</v>
      </c>
      <c r="C46" s="249">
        <f>ROUND((C33+C39)*F27,0)</f>
        <v>17999</v>
      </c>
      <c r="D46" s="263"/>
      <c r="E46" s="236"/>
      <c r="F46" s="246"/>
      <c r="G46" s="247"/>
    </row>
    <row r="47" spans="1:7" s="214" customFormat="1" ht="13.5" customHeight="1">
      <c r="A47" s="777" t="s">
        <v>346</v>
      </c>
      <c r="B47" s="248" t="s">
        <v>428</v>
      </c>
      <c r="C47" s="238">
        <f>ROUND(C40*F27,4)</f>
        <v>6.8999999999999999E-3</v>
      </c>
      <c r="D47" s="263"/>
      <c r="E47" s="236"/>
      <c r="F47" s="246"/>
      <c r="G47" s="247"/>
    </row>
    <row r="48" spans="1:7" s="214" customFormat="1" ht="13.5" customHeight="1">
      <c r="A48" s="774" t="s">
        <v>341</v>
      </c>
      <c r="B48" s="210" t="s">
        <v>95</v>
      </c>
      <c r="C48" s="262">
        <f>F30</f>
        <v>5.6000000000000001E-2</v>
      </c>
      <c r="D48" s="236" t="s">
        <v>103</v>
      </c>
      <c r="E48" s="232"/>
      <c r="F48" s="237"/>
      <c r="G48" s="234" t="s">
        <v>96</v>
      </c>
    </row>
    <row r="49" spans="1:7" ht="16.5" customHeight="1">
      <c r="A49" s="774" t="s">
        <v>342</v>
      </c>
      <c r="B49" s="210" t="s">
        <v>104</v>
      </c>
      <c r="C49" s="232">
        <f ca="1">ROUND((C33+C39+C41+C45)/(1-C40-D41-D45-C48/(1+'数据-取费表'!B42)),0)</f>
        <v>110489</v>
      </c>
      <c r="D49" s="232"/>
      <c r="E49" s="232"/>
      <c r="F49" s="264"/>
      <c r="G49" s="234" t="s">
        <v>434</v>
      </c>
    </row>
    <row r="50" spans="1:7" s="258" customFormat="1" ht="24">
      <c r="A50" s="774" t="s">
        <v>343</v>
      </c>
      <c r="B50" s="210" t="s">
        <v>97</v>
      </c>
      <c r="C50" s="232"/>
      <c r="D50" s="232"/>
      <c r="E50" s="232"/>
      <c r="F50" s="264">
        <f>IF('数据-取费表'!B24=0,'数据-取费表'!N16,1)</f>
        <v>0.98</v>
      </c>
      <c r="G50" s="247" t="s">
        <v>98</v>
      </c>
    </row>
    <row r="51" spans="1:7" ht="16.5" customHeight="1">
      <c r="A51" s="774" t="s">
        <v>344</v>
      </c>
      <c r="B51" s="210" t="s">
        <v>105</v>
      </c>
      <c r="C51" s="232">
        <f ca="1">ROUND(C49*F50,0)</f>
        <v>108279</v>
      </c>
      <c r="D51" s="232"/>
      <c r="E51" s="232"/>
      <c r="F51" s="264"/>
      <c r="G51" s="234" t="s">
        <v>37</v>
      </c>
    </row>
    <row r="52" spans="1:7" s="208" customFormat="1" ht="16.8" thickBot="1">
      <c r="A52" s="265" t="s">
        <v>38</v>
      </c>
      <c r="B52" s="266"/>
      <c r="C52" s="267">
        <f ca="1">C31+C51</f>
        <v>143483</v>
      </c>
      <c r="D52" s="266"/>
      <c r="E52" s="266"/>
      <c r="F52" s="266"/>
      <c r="G52" s="268"/>
    </row>
    <row r="55" spans="1:7" ht="15">
      <c r="B55" s="270" t="s">
        <v>39</v>
      </c>
      <c r="C55" s="271"/>
    </row>
    <row r="56" spans="1:7">
      <c r="B56" s="273" t="s">
        <v>40</v>
      </c>
      <c r="C56" s="274">
        <f ca="1">ROUND(C51/C52,3)</f>
        <v>0.755</v>
      </c>
    </row>
    <row r="57" spans="1:7">
      <c r="B57" s="273" t="s">
        <v>41</v>
      </c>
      <c r="C57" s="275">
        <f ca="1">1-C56</f>
        <v>0.245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18" sqref="H1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885" t="s">
        <v>2840</v>
      </c>
      <c r="B1" s="3885"/>
      <c r="C1" s="3885"/>
      <c r="D1" s="3885"/>
      <c r="E1" s="3885"/>
      <c r="F1" s="3885"/>
      <c r="G1" s="3886"/>
      <c r="I1" s="3220" t="s">
        <v>2841</v>
      </c>
      <c r="J1" s="3221" t="s">
        <v>2842</v>
      </c>
      <c r="K1" s="3221" t="s">
        <v>2843</v>
      </c>
      <c r="L1" s="3221" t="s">
        <v>2844</v>
      </c>
      <c r="M1" s="3221" t="s">
        <v>2845</v>
      </c>
      <c r="N1" s="3221" t="s">
        <v>2846</v>
      </c>
      <c r="O1" s="3221" t="s">
        <v>2847</v>
      </c>
      <c r="P1" s="3221" t="s">
        <v>2848</v>
      </c>
      <c r="Q1" s="3221" t="s">
        <v>2849</v>
      </c>
      <c r="R1" s="3221" t="s">
        <v>2850</v>
      </c>
      <c r="S1" s="3221" t="s">
        <v>2851</v>
      </c>
      <c r="T1" s="3222" t="s">
        <v>2852</v>
      </c>
    </row>
    <row r="2" spans="1:20" ht="11.4" thickBot="1">
      <c r="A2" s="3224" t="s">
        <v>2853</v>
      </c>
      <c r="B2" s="3224"/>
      <c r="C2" s="3224"/>
      <c r="D2" s="3224"/>
      <c r="E2" s="3224"/>
      <c r="F2" s="3224"/>
      <c r="G2" s="3225" t="s">
        <v>2854</v>
      </c>
      <c r="I2" s="3226" t="s">
        <v>2855</v>
      </c>
      <c r="J2" s="3226" t="s">
        <v>2856</v>
      </c>
      <c r="K2" s="3226" t="s">
        <v>2857</v>
      </c>
      <c r="L2" s="3226" t="s">
        <v>2858</v>
      </c>
      <c r="M2" s="3226" t="s">
        <v>2859</v>
      </c>
      <c r="N2" s="3226" t="s">
        <v>2860</v>
      </c>
      <c r="O2" s="3226" t="s">
        <v>2861</v>
      </c>
      <c r="P2" s="3226" t="s">
        <v>2862</v>
      </c>
      <c r="Q2" s="3226" t="s">
        <v>2863</v>
      </c>
      <c r="R2" s="3226" t="s">
        <v>2864</v>
      </c>
      <c r="S2" s="3226" t="s">
        <v>2865</v>
      </c>
      <c r="T2" s="3226" t="s">
        <v>2866</v>
      </c>
    </row>
    <row r="3" spans="1:20" s="3232" customFormat="1">
      <c r="A3" s="3883" t="s">
        <v>2867</v>
      </c>
      <c r="B3" s="3227"/>
      <c r="C3" s="3228" t="s">
        <v>2812</v>
      </c>
      <c r="D3" s="3228" t="s">
        <v>2868</v>
      </c>
      <c r="E3" s="3228" t="s">
        <v>2814</v>
      </c>
      <c r="F3" s="3228" t="s">
        <v>2869</v>
      </c>
      <c r="G3" s="3228" t="s">
        <v>2632</v>
      </c>
      <c r="H3" s="3229"/>
      <c r="I3" s="3230" t="s">
        <v>2870</v>
      </c>
      <c r="J3" s="3231" t="s">
        <v>128</v>
      </c>
      <c r="K3" s="3231" t="s">
        <v>129</v>
      </c>
      <c r="L3" s="3230" t="s">
        <v>130</v>
      </c>
      <c r="M3" s="3230" t="s">
        <v>131</v>
      </c>
      <c r="N3" s="3230" t="s">
        <v>132</v>
      </c>
      <c r="O3" s="3230" t="s">
        <v>133</v>
      </c>
      <c r="P3" s="3230" t="s">
        <v>134</v>
      </c>
      <c r="Q3" s="3230" t="s">
        <v>135</v>
      </c>
      <c r="R3" s="3230" t="s">
        <v>136</v>
      </c>
      <c r="S3" s="3230" t="s">
        <v>2871</v>
      </c>
      <c r="T3" s="3230" t="s">
        <v>2872</v>
      </c>
    </row>
    <row r="4" spans="1:20" s="3232" customFormat="1" ht="11.4" thickBot="1">
      <c r="A4" s="3884"/>
      <c r="B4" s="3233" t="s">
        <v>2873</v>
      </c>
      <c r="C4" s="3233" t="s">
        <v>2874</v>
      </c>
      <c r="D4" s="3233" t="s">
        <v>2874</v>
      </c>
      <c r="E4" s="3233" t="s">
        <v>2874</v>
      </c>
      <c r="F4" s="3234" t="s">
        <v>2874</v>
      </c>
      <c r="G4" s="3234" t="s">
        <v>2874</v>
      </c>
      <c r="H4" s="3229"/>
      <c r="I4" s="3231" t="s">
        <v>137</v>
      </c>
      <c r="J4" s="3231" t="s">
        <v>111</v>
      </c>
      <c r="K4" s="3231" t="s">
        <v>138</v>
      </c>
      <c r="L4" s="3230" t="s">
        <v>139</v>
      </c>
      <c r="M4" s="3230" t="s">
        <v>140</v>
      </c>
      <c r="N4" s="3230" t="s">
        <v>141</v>
      </c>
      <c r="O4" s="3230" t="s">
        <v>142</v>
      </c>
      <c r="P4" s="3230" t="s">
        <v>143</v>
      </c>
      <c r="Q4" s="3230" t="s">
        <v>2875</v>
      </c>
      <c r="R4" s="3230" t="s">
        <v>2876</v>
      </c>
      <c r="S4" s="3230" t="s">
        <v>2877</v>
      </c>
      <c r="T4" s="3230" t="s">
        <v>2878</v>
      </c>
    </row>
    <row r="5" spans="1:20">
      <c r="A5" s="3235" t="s">
        <v>2841</v>
      </c>
      <c r="B5" s="3226" t="s">
        <v>2855</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2879</v>
      </c>
      <c r="R5" s="3230" t="s">
        <v>2880</v>
      </c>
      <c r="S5" s="3230" t="s">
        <v>153</v>
      </c>
      <c r="T5" s="3230" t="s">
        <v>2881</v>
      </c>
    </row>
    <row r="6" spans="1:20" ht="11.4" thickBot="1">
      <c r="A6" s="3230" t="s">
        <v>144</v>
      </c>
      <c r="B6" s="3230" t="s">
        <v>2870</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2882</v>
      </c>
      <c r="Q6" s="3230" t="s">
        <v>2883</v>
      </c>
      <c r="R6" s="3230" t="s">
        <v>161</v>
      </c>
      <c r="S6" s="3230" t="s">
        <v>2884</v>
      </c>
      <c r="T6" s="3230" t="s">
        <v>2885</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2886</v>
      </c>
      <c r="Q7" s="3230" t="s">
        <v>2887</v>
      </c>
      <c r="R7" s="3230" t="s">
        <v>2888</v>
      </c>
      <c r="S7" s="3230" t="s">
        <v>2889</v>
      </c>
      <c r="T7" s="3230" t="s">
        <v>2890</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2891</v>
      </c>
      <c r="Q8" s="3230" t="s">
        <v>174</v>
      </c>
      <c r="R8" s="3230" t="s">
        <v>2892</v>
      </c>
      <c r="S8" s="3230" t="s">
        <v>2893</v>
      </c>
      <c r="T8" s="3237" t="s">
        <v>2894</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2895</v>
      </c>
      <c r="Q9" s="3230" t="s">
        <v>182</v>
      </c>
      <c r="R9" s="3230" t="s">
        <v>183</v>
      </c>
      <c r="S9" s="3230" t="s">
        <v>200</v>
      </c>
    </row>
    <row r="10" spans="1:20">
      <c r="A10" s="3235" t="s">
        <v>184</v>
      </c>
      <c r="B10" s="3226" t="s">
        <v>2856</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2896</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2897</v>
      </c>
      <c r="P11" s="3230" t="s">
        <v>191</v>
      </c>
      <c r="Q11" s="3230" t="s">
        <v>199</v>
      </c>
      <c r="R11" s="3230" t="s">
        <v>2898</v>
      </c>
      <c r="S11" s="3230" t="s">
        <v>2899</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2900</v>
      </c>
      <c r="P12" s="3230" t="s">
        <v>2901</v>
      </c>
      <c r="Q12" s="3230" t="s">
        <v>2902</v>
      </c>
      <c r="R12" s="3230" t="s">
        <v>2903</v>
      </c>
      <c r="S12" s="3230" t="s">
        <v>2904</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2905</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2906</v>
      </c>
      <c r="K14" s="3231" t="s">
        <v>215</v>
      </c>
      <c r="L14" s="3230" t="s">
        <v>216</v>
      </c>
      <c r="M14" s="3230" t="s">
        <v>217</v>
      </c>
      <c r="N14" s="3230" t="s">
        <v>218</v>
      </c>
      <c r="O14" s="3230" t="s">
        <v>240</v>
      </c>
      <c r="P14" s="3230" t="s">
        <v>213</v>
      </c>
      <c r="Q14" s="3230" t="s">
        <v>2907</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2908</v>
      </c>
      <c r="P15" s="3230" t="s">
        <v>2909</v>
      </c>
      <c r="Q15" s="3230" t="s">
        <v>242</v>
      </c>
      <c r="R15" s="3230" t="s">
        <v>2910</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2911</v>
      </c>
      <c r="P16" s="3230" t="s">
        <v>227</v>
      </c>
      <c r="Q16" s="3230" t="s">
        <v>250</v>
      </c>
      <c r="R16" s="3230" t="s">
        <v>207</v>
      </c>
      <c r="S16" s="3230" t="s">
        <v>2912</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2913</v>
      </c>
      <c r="P17" s="3230" t="s">
        <v>2914</v>
      </c>
      <c r="Q17" s="3230" t="s">
        <v>256</v>
      </c>
      <c r="R17" s="3230" t="s">
        <v>2915</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2916</v>
      </c>
      <c r="P18" s="3230" t="s">
        <v>241</v>
      </c>
      <c r="Q18" s="3230" t="s">
        <v>2917</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2918</v>
      </c>
      <c r="P19" s="3230" t="s">
        <v>249</v>
      </c>
      <c r="Q19" s="3230" t="s">
        <v>2919</v>
      </c>
      <c r="R19" s="3230" t="s">
        <v>265</v>
      </c>
      <c r="S19" s="3230" t="s">
        <v>2920</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2921</v>
      </c>
      <c r="P20" s="3230" t="s">
        <v>2922</v>
      </c>
      <c r="Q20" s="3230" t="s">
        <v>290</v>
      </c>
      <c r="R20" s="3230" t="s">
        <v>2923</v>
      </c>
      <c r="S20" s="3230" t="s">
        <v>277</v>
      </c>
    </row>
    <row r="21" spans="1:19" ht="14.25" customHeight="1" thickBot="1">
      <c r="A21" s="3230" t="s">
        <v>184</v>
      </c>
      <c r="B21" s="3231" t="s">
        <v>208</v>
      </c>
      <c r="C21" s="3230">
        <v>32370</v>
      </c>
      <c r="D21" s="3230">
        <v>26730</v>
      </c>
      <c r="E21" s="3230">
        <v>26640</v>
      </c>
      <c r="F21" s="3230"/>
      <c r="G21" s="3230">
        <v>19440</v>
      </c>
      <c r="J21" s="3237" t="s">
        <v>2924</v>
      </c>
      <c r="K21" s="3231" t="s">
        <v>267</v>
      </c>
      <c r="L21" s="3230" t="s">
        <v>268</v>
      </c>
      <c r="M21" s="3230" t="s">
        <v>269</v>
      </c>
      <c r="N21" s="3230" t="s">
        <v>270</v>
      </c>
      <c r="O21" s="3230" t="s">
        <v>264</v>
      </c>
      <c r="P21" s="3230" t="s">
        <v>283</v>
      </c>
      <c r="Q21" s="3230" t="s">
        <v>293</v>
      </c>
      <c r="R21" s="3230" t="s">
        <v>2925</v>
      </c>
      <c r="S21" s="3237" t="s">
        <v>2926</v>
      </c>
    </row>
    <row r="22" spans="1:19" ht="14.25" customHeight="1">
      <c r="A22" s="3230" t="s">
        <v>184</v>
      </c>
      <c r="B22" s="3231" t="s">
        <v>2906</v>
      </c>
      <c r="C22" s="3230">
        <v>29830</v>
      </c>
      <c r="D22" s="3230">
        <v>27600</v>
      </c>
      <c r="E22" s="3230">
        <v>28150</v>
      </c>
      <c r="F22" s="3230"/>
      <c r="G22" s="3230">
        <v>20080</v>
      </c>
      <c r="K22" s="3231" t="s">
        <v>2927</v>
      </c>
      <c r="L22" s="3230" t="s">
        <v>272</v>
      </c>
      <c r="M22" s="3230" t="s">
        <v>273</v>
      </c>
      <c r="N22" s="3230" t="s">
        <v>274</v>
      </c>
      <c r="O22" s="3230" t="s">
        <v>2928</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2929</v>
      </c>
      <c r="L23" s="3230" t="s">
        <v>278</v>
      </c>
      <c r="M23" s="3230" t="s">
        <v>279</v>
      </c>
      <c r="N23" s="3230" t="s">
        <v>2930</v>
      </c>
      <c r="O23" s="3230" t="s">
        <v>2931</v>
      </c>
      <c r="P23" s="3230" t="s">
        <v>289</v>
      </c>
      <c r="Q23" s="3230" t="s">
        <v>298</v>
      </c>
      <c r="R23" s="3230" t="s">
        <v>2932</v>
      </c>
    </row>
    <row r="24" spans="1:19" ht="14.25" customHeight="1">
      <c r="A24" s="3230" t="s">
        <v>184</v>
      </c>
      <c r="B24" s="3231" t="s">
        <v>230</v>
      </c>
      <c r="C24" s="3230">
        <v>27930</v>
      </c>
      <c r="D24" s="3230">
        <v>32260</v>
      </c>
      <c r="E24" s="3230">
        <v>32120</v>
      </c>
      <c r="F24" s="3230"/>
      <c r="G24" s="3230">
        <v>23470</v>
      </c>
      <c r="K24" s="3231" t="s">
        <v>2933</v>
      </c>
      <c r="L24" s="3230" t="s">
        <v>281</v>
      </c>
      <c r="M24" s="3230" t="s">
        <v>282</v>
      </c>
      <c r="N24" s="3230" t="s">
        <v>2934</v>
      </c>
      <c r="O24" s="3230" t="s">
        <v>285</v>
      </c>
      <c r="P24" s="3230" t="s">
        <v>2935</v>
      </c>
      <c r="Q24" s="3239" t="s">
        <v>2936</v>
      </c>
      <c r="R24" s="3230" t="s">
        <v>2937</v>
      </c>
    </row>
    <row r="25" spans="1:19" ht="14.25" customHeight="1">
      <c r="A25" s="3230" t="s">
        <v>184</v>
      </c>
      <c r="B25" s="3231" t="s">
        <v>235</v>
      </c>
      <c r="C25" s="3230">
        <v>32230</v>
      </c>
      <c r="D25" s="3230">
        <v>29640</v>
      </c>
      <c r="E25" s="3230">
        <v>29510</v>
      </c>
      <c r="F25" s="3230"/>
      <c r="G25" s="3230">
        <v>21560</v>
      </c>
      <c r="K25" s="3231" t="s">
        <v>2938</v>
      </c>
      <c r="L25" s="3230" t="s">
        <v>2939</v>
      </c>
      <c r="M25" s="3230" t="s">
        <v>284</v>
      </c>
      <c r="N25" s="3230" t="s">
        <v>292</v>
      </c>
      <c r="O25" s="3230" t="s">
        <v>288</v>
      </c>
      <c r="P25" s="3230" t="s">
        <v>275</v>
      </c>
      <c r="Q25" s="3239" t="s">
        <v>271</v>
      </c>
      <c r="R25" s="3230" t="s">
        <v>2940</v>
      </c>
    </row>
    <row r="26" spans="1:19" ht="14.25" customHeight="1" thickBot="1">
      <c r="A26" s="3230" t="s">
        <v>184</v>
      </c>
      <c r="B26" s="3231" t="s">
        <v>244</v>
      </c>
      <c r="C26" s="3230">
        <v>31690</v>
      </c>
      <c r="D26" s="3230">
        <v>27650</v>
      </c>
      <c r="E26" s="3230">
        <v>28200</v>
      </c>
      <c r="F26" s="3230"/>
      <c r="G26" s="3230">
        <v>20110</v>
      </c>
      <c r="K26" s="3236" t="s">
        <v>2941</v>
      </c>
      <c r="L26" s="3230" t="s">
        <v>2942</v>
      </c>
      <c r="M26" s="3230" t="s">
        <v>287</v>
      </c>
      <c r="N26" s="3230" t="s">
        <v>294</v>
      </c>
      <c r="O26" s="3230" t="s">
        <v>2943</v>
      </c>
      <c r="P26" s="3230" t="s">
        <v>2944</v>
      </c>
      <c r="Q26" s="3239" t="s">
        <v>276</v>
      </c>
      <c r="R26" s="3230" t="s">
        <v>2945</v>
      </c>
    </row>
    <row r="27" spans="1:19" ht="14.25" customHeight="1">
      <c r="A27" s="3230" t="s">
        <v>184</v>
      </c>
      <c r="B27" s="3231" t="s">
        <v>251</v>
      </c>
      <c r="C27" s="3230">
        <v>29610</v>
      </c>
      <c r="D27" s="3230">
        <v>27770</v>
      </c>
      <c r="E27" s="3230">
        <v>28300</v>
      </c>
      <c r="F27" s="3230"/>
      <c r="G27" s="3230">
        <v>20210</v>
      </c>
      <c r="L27" s="3230" t="s">
        <v>2946</v>
      </c>
      <c r="M27" s="3230" t="s">
        <v>291</v>
      </c>
      <c r="N27" s="3230" t="s">
        <v>297</v>
      </c>
      <c r="O27" s="3230" t="s">
        <v>2947</v>
      </c>
      <c r="P27" s="3230" t="s">
        <v>2948</v>
      </c>
      <c r="Q27" s="3230" t="s">
        <v>2949</v>
      </c>
      <c r="R27" s="3230" t="s">
        <v>2950</v>
      </c>
    </row>
    <row r="28" spans="1:19" ht="14.25" customHeight="1">
      <c r="A28" s="3230" t="s">
        <v>184</v>
      </c>
      <c r="B28" s="3231" t="s">
        <v>259</v>
      </c>
      <c r="C28" s="3230"/>
      <c r="D28" s="3230">
        <v>31520</v>
      </c>
      <c r="E28" s="3230">
        <v>31410</v>
      </c>
      <c r="F28" s="3230"/>
      <c r="G28" s="3230">
        <v>22940</v>
      </c>
      <c r="L28" s="3230" t="s">
        <v>2951</v>
      </c>
      <c r="M28" s="3230" t="s">
        <v>2952</v>
      </c>
      <c r="N28" s="3230" t="s">
        <v>2953</v>
      </c>
      <c r="O28" s="3230" t="s">
        <v>2954</v>
      </c>
      <c r="P28" s="3230" t="s">
        <v>2955</v>
      </c>
      <c r="Q28" s="3230" t="s">
        <v>2956</v>
      </c>
      <c r="R28" s="3230" t="s">
        <v>2957</v>
      </c>
    </row>
    <row r="29" spans="1:19" ht="14.25" customHeight="1" thickBot="1">
      <c r="A29" s="3238" t="s">
        <v>184</v>
      </c>
      <c r="B29" s="3240" t="s">
        <v>2924</v>
      </c>
      <c r="C29" s="3241"/>
      <c r="D29" s="3241">
        <v>29460</v>
      </c>
      <c r="E29" s="3241">
        <v>28640</v>
      </c>
      <c r="F29" s="3241"/>
      <c r="G29" s="3241">
        <v>21430</v>
      </c>
      <c r="L29" s="3230" t="s">
        <v>2958</v>
      </c>
      <c r="M29" s="3230" t="s">
        <v>2959</v>
      </c>
      <c r="N29" s="3230" t="s">
        <v>2960</v>
      </c>
      <c r="O29" s="3230" t="s">
        <v>2961</v>
      </c>
      <c r="P29" s="3230" t="s">
        <v>2962</v>
      </c>
      <c r="Q29" s="3230" t="s">
        <v>2963</v>
      </c>
      <c r="R29" s="3230" t="s">
        <v>280</v>
      </c>
    </row>
    <row r="30" spans="1:19" ht="14.25" customHeight="1">
      <c r="A30" s="3235" t="s">
        <v>296</v>
      </c>
      <c r="B30" s="3226" t="s">
        <v>2857</v>
      </c>
      <c r="C30" s="3226">
        <v>26890</v>
      </c>
      <c r="D30" s="3226">
        <v>26770</v>
      </c>
      <c r="E30" s="3226">
        <v>25700</v>
      </c>
      <c r="F30" s="3226">
        <v>8180</v>
      </c>
      <c r="G30" s="3242">
        <v>18740</v>
      </c>
      <c r="L30" s="3230" t="s">
        <v>2964</v>
      </c>
      <c r="M30" s="3230" t="s">
        <v>2965</v>
      </c>
      <c r="N30" s="3230" t="s">
        <v>2966</v>
      </c>
      <c r="O30" s="3230" t="s">
        <v>2967</v>
      </c>
      <c r="P30" s="3230" t="s">
        <v>2968</v>
      </c>
      <c r="Q30" s="3230" t="s">
        <v>2969</v>
      </c>
      <c r="R30" s="3230" t="s">
        <v>2970</v>
      </c>
    </row>
    <row r="31" spans="1:19" ht="14.25" customHeight="1">
      <c r="A31" s="3230" t="s">
        <v>296</v>
      </c>
      <c r="B31" s="3231" t="s">
        <v>129</v>
      </c>
      <c r="C31" s="3230">
        <v>24550</v>
      </c>
      <c r="D31" s="3230">
        <v>23990</v>
      </c>
      <c r="E31" s="3230">
        <v>22930</v>
      </c>
      <c r="F31" s="3230">
        <v>7470</v>
      </c>
      <c r="G31" s="3243">
        <v>16790</v>
      </c>
      <c r="L31" s="3230" t="s">
        <v>2971</v>
      </c>
      <c r="M31" s="3230" t="s">
        <v>2972</v>
      </c>
      <c r="N31" s="3230" t="s">
        <v>2973</v>
      </c>
      <c r="O31" s="3230" t="s">
        <v>2974</v>
      </c>
      <c r="P31" s="3230" t="s">
        <v>2975</v>
      </c>
      <c r="Q31" s="3230" t="s">
        <v>2976</v>
      </c>
      <c r="R31" s="3230" t="s">
        <v>2977</v>
      </c>
    </row>
    <row r="32" spans="1:19" ht="14.25" customHeight="1" thickBot="1">
      <c r="A32" s="3230" t="s">
        <v>296</v>
      </c>
      <c r="B32" s="3231" t="s">
        <v>138</v>
      </c>
      <c r="C32" s="3230">
        <v>27210</v>
      </c>
      <c r="D32" s="3230">
        <v>23240</v>
      </c>
      <c r="E32" s="3230">
        <v>23260</v>
      </c>
      <c r="F32" s="3230">
        <v>7130</v>
      </c>
      <c r="G32" s="3243">
        <v>16270</v>
      </c>
      <c r="L32" s="3230" t="s">
        <v>2978</v>
      </c>
      <c r="M32" s="3230" t="s">
        <v>2979</v>
      </c>
      <c r="N32" s="3230" t="s">
        <v>300</v>
      </c>
      <c r="O32" s="3230" t="s">
        <v>2980</v>
      </c>
      <c r="P32" s="3230" t="s">
        <v>299</v>
      </c>
      <c r="Q32" s="3230" t="s">
        <v>2981</v>
      </c>
      <c r="R32" s="3237" t="s">
        <v>2982</v>
      </c>
    </row>
    <row r="33" spans="1:17" ht="14.25" customHeight="1" thickBot="1">
      <c r="A33" s="3230" t="s">
        <v>296</v>
      </c>
      <c r="B33" s="3231" t="s">
        <v>147</v>
      </c>
      <c r="C33" s="3230">
        <v>27300</v>
      </c>
      <c r="D33" s="3230">
        <v>22980</v>
      </c>
      <c r="E33" s="3230">
        <v>24260</v>
      </c>
      <c r="F33" s="3230">
        <v>5860</v>
      </c>
      <c r="G33" s="3243">
        <v>16090</v>
      </c>
      <c r="L33" s="3237" t="s">
        <v>2983</v>
      </c>
      <c r="M33" s="3230" t="s">
        <v>2984</v>
      </c>
      <c r="N33" s="3230" t="s">
        <v>301</v>
      </c>
      <c r="O33" s="3230" t="s">
        <v>2985</v>
      </c>
      <c r="P33" s="3230" t="s">
        <v>2986</v>
      </c>
      <c r="Q33" s="3230" t="s">
        <v>2987</v>
      </c>
    </row>
    <row r="34" spans="1:17" ht="14.25" customHeight="1">
      <c r="A34" s="3230" t="s">
        <v>296</v>
      </c>
      <c r="B34" s="3231" t="s">
        <v>156</v>
      </c>
      <c r="C34" s="3230">
        <v>23090</v>
      </c>
      <c r="D34" s="3230">
        <v>23390</v>
      </c>
      <c r="E34" s="3230">
        <v>23510</v>
      </c>
      <c r="F34" s="3230">
        <v>6700</v>
      </c>
      <c r="G34" s="3243">
        <v>16370</v>
      </c>
      <c r="M34" s="3230" t="s">
        <v>2988</v>
      </c>
      <c r="N34" s="3230" t="s">
        <v>302</v>
      </c>
      <c r="O34" s="3230" t="s">
        <v>2989</v>
      </c>
      <c r="P34" s="3230" t="s">
        <v>2990</v>
      </c>
      <c r="Q34" s="3230" t="s">
        <v>2991</v>
      </c>
    </row>
    <row r="35" spans="1:17" ht="14.25" customHeight="1">
      <c r="A35" s="3230" t="s">
        <v>296</v>
      </c>
      <c r="B35" s="3231" t="s">
        <v>163</v>
      </c>
      <c r="C35" s="3230">
        <v>27270</v>
      </c>
      <c r="D35" s="3230">
        <v>24270</v>
      </c>
      <c r="E35" s="3230">
        <v>24950</v>
      </c>
      <c r="F35" s="3230">
        <v>6600</v>
      </c>
      <c r="G35" s="3243">
        <v>16990</v>
      </c>
      <c r="M35" s="3230" t="s">
        <v>2992</v>
      </c>
      <c r="N35" s="3230" t="s">
        <v>2993</v>
      </c>
      <c r="O35" s="3230" t="s">
        <v>2994</v>
      </c>
      <c r="P35" s="3230" t="s">
        <v>2995</v>
      </c>
      <c r="Q35" s="3230" t="s">
        <v>2996</v>
      </c>
    </row>
    <row r="36" spans="1:17" ht="14.25" customHeight="1">
      <c r="A36" s="3230" t="s">
        <v>296</v>
      </c>
      <c r="B36" s="3231" t="s">
        <v>169</v>
      </c>
      <c r="C36" s="3230">
        <v>23490</v>
      </c>
      <c r="D36" s="3230">
        <v>23020</v>
      </c>
      <c r="E36" s="3230">
        <v>25230</v>
      </c>
      <c r="F36" s="3230">
        <v>6780</v>
      </c>
      <c r="G36" s="3243">
        <v>16120</v>
      </c>
      <c r="M36" s="3230" t="s">
        <v>2997</v>
      </c>
      <c r="N36" s="3230" t="s">
        <v>2998</v>
      </c>
      <c r="O36" s="3230" t="s">
        <v>2999</v>
      </c>
      <c r="P36" s="3230" t="s">
        <v>3000</v>
      </c>
      <c r="Q36" s="3230" t="s">
        <v>3001</v>
      </c>
    </row>
    <row r="37" spans="1:17" ht="14.25" customHeight="1">
      <c r="A37" s="3230" t="s">
        <v>296</v>
      </c>
      <c r="B37" s="3231" t="s">
        <v>176</v>
      </c>
      <c r="C37" s="3230">
        <v>24380</v>
      </c>
      <c r="D37" s="3230">
        <v>22240</v>
      </c>
      <c r="E37" s="3230">
        <v>25980</v>
      </c>
      <c r="F37" s="3230">
        <v>8160</v>
      </c>
      <c r="G37" s="3243">
        <v>15570</v>
      </c>
      <c r="M37" s="3230" t="s">
        <v>3002</v>
      </c>
      <c r="N37" s="3230" t="s">
        <v>3003</v>
      </c>
      <c r="O37" s="3230" t="s">
        <v>3004</v>
      </c>
      <c r="P37" s="3230" t="s">
        <v>3005</v>
      </c>
      <c r="Q37" s="3230" t="s">
        <v>3006</v>
      </c>
    </row>
    <row r="38" spans="1:17" ht="14.25" customHeight="1">
      <c r="A38" s="3230" t="s">
        <v>296</v>
      </c>
      <c r="B38" s="3231" t="s">
        <v>186</v>
      </c>
      <c r="C38" s="3230">
        <v>23120</v>
      </c>
      <c r="D38" s="3230">
        <v>24630</v>
      </c>
      <c r="E38" s="3230">
        <v>25030</v>
      </c>
      <c r="F38" s="3230">
        <v>7710</v>
      </c>
      <c r="G38" s="3243">
        <v>17240</v>
      </c>
      <c r="M38" s="3230" t="s">
        <v>3007</v>
      </c>
      <c r="N38" s="3230" t="s">
        <v>3008</v>
      </c>
      <c r="O38" s="3230" t="s">
        <v>3009</v>
      </c>
      <c r="P38" s="3230" t="s">
        <v>3010</v>
      </c>
      <c r="Q38" s="3230" t="s">
        <v>3011</v>
      </c>
    </row>
    <row r="39" spans="1:17" ht="14.25" customHeight="1">
      <c r="A39" s="3230" t="s">
        <v>296</v>
      </c>
      <c r="B39" s="3231" t="s">
        <v>195</v>
      </c>
      <c r="C39" s="3230">
        <v>22330</v>
      </c>
      <c r="D39" s="3230">
        <v>21140</v>
      </c>
      <c r="E39" s="3230">
        <v>23970</v>
      </c>
      <c r="F39" s="3230">
        <v>7940</v>
      </c>
      <c r="G39" s="3243">
        <v>14790</v>
      </c>
      <c r="M39" s="3230" t="s">
        <v>3012</v>
      </c>
      <c r="N39" s="3230" t="s">
        <v>3013</v>
      </c>
      <c r="O39" s="3230" t="s">
        <v>3014</v>
      </c>
      <c r="P39" s="3230" t="s">
        <v>3015</v>
      </c>
      <c r="Q39" s="3230" t="s">
        <v>3016</v>
      </c>
    </row>
    <row r="40" spans="1:17" ht="14.25" customHeight="1">
      <c r="A40" s="3230" t="s">
        <v>296</v>
      </c>
      <c r="B40" s="3231" t="s">
        <v>202</v>
      </c>
      <c r="C40" s="3230">
        <v>24740</v>
      </c>
      <c r="D40" s="3230">
        <v>24690</v>
      </c>
      <c r="E40" s="3230">
        <v>22610</v>
      </c>
      <c r="F40" s="3230"/>
      <c r="G40" s="3243">
        <v>17280</v>
      </c>
      <c r="M40" s="3230" t="s">
        <v>3017</v>
      </c>
      <c r="N40" s="3230" t="s">
        <v>3018</v>
      </c>
      <c r="O40" s="3230" t="s">
        <v>3019</v>
      </c>
      <c r="P40" s="3230" t="s">
        <v>3020</v>
      </c>
      <c r="Q40" s="3230" t="s">
        <v>3021</v>
      </c>
    </row>
    <row r="41" spans="1:17" ht="14.25" customHeight="1" thickBot="1">
      <c r="A41" s="3230" t="s">
        <v>296</v>
      </c>
      <c r="B41" s="3231" t="s">
        <v>209</v>
      </c>
      <c r="C41" s="3230">
        <v>21220</v>
      </c>
      <c r="D41" s="3230">
        <v>21120</v>
      </c>
      <c r="E41" s="3230">
        <v>22590</v>
      </c>
      <c r="F41" s="3230"/>
      <c r="G41" s="3243">
        <v>14780</v>
      </c>
      <c r="M41" s="3237" t="s">
        <v>3022</v>
      </c>
      <c r="N41" s="3230" t="s">
        <v>3023</v>
      </c>
      <c r="O41" s="3230" t="s">
        <v>3024</v>
      </c>
      <c r="P41" s="3230" t="s">
        <v>3025</v>
      </c>
      <c r="Q41" s="3230" t="s">
        <v>3026</v>
      </c>
    </row>
    <row r="42" spans="1:17" ht="14.25" customHeight="1">
      <c r="A42" s="3230" t="s">
        <v>296</v>
      </c>
      <c r="B42" s="3231" t="s">
        <v>215</v>
      </c>
      <c r="C42" s="3230">
        <v>24800</v>
      </c>
      <c r="D42" s="3230">
        <v>22280</v>
      </c>
      <c r="E42" s="3230">
        <v>24350</v>
      </c>
      <c r="F42" s="3230"/>
      <c r="G42" s="3243">
        <v>15590</v>
      </c>
      <c r="N42" s="3230" t="s">
        <v>3027</v>
      </c>
      <c r="O42" s="3230" t="s">
        <v>3028</v>
      </c>
      <c r="P42" s="3230" t="s">
        <v>3029</v>
      </c>
      <c r="Q42" s="3230" t="s">
        <v>3030</v>
      </c>
    </row>
    <row r="43" spans="1:17" ht="14.25" customHeight="1">
      <c r="A43" s="3230" t="s">
        <v>3031</v>
      </c>
      <c r="B43" s="3231" t="s">
        <v>223</v>
      </c>
      <c r="C43" s="3230">
        <v>21210</v>
      </c>
      <c r="D43" s="3230">
        <v>21160</v>
      </c>
      <c r="E43" s="3230">
        <v>22650</v>
      </c>
      <c r="F43" s="3230"/>
      <c r="G43" s="3243">
        <v>14800</v>
      </c>
      <c r="N43" s="3230" t="s">
        <v>3032</v>
      </c>
      <c r="O43" s="3230" t="s">
        <v>3033</v>
      </c>
      <c r="P43" s="3230" t="s">
        <v>3034</v>
      </c>
      <c r="Q43" s="3230" t="s">
        <v>3035</v>
      </c>
    </row>
    <row r="44" spans="1:17" ht="14.25" customHeight="1" thickBot="1">
      <c r="A44" s="3230" t="s">
        <v>296</v>
      </c>
      <c r="B44" s="3231" t="s">
        <v>231</v>
      </c>
      <c r="C44" s="3230">
        <v>22370</v>
      </c>
      <c r="D44" s="3230">
        <v>23140</v>
      </c>
      <c r="E44" s="3230">
        <v>25090</v>
      </c>
      <c r="F44" s="3230"/>
      <c r="G44" s="3243">
        <v>16190</v>
      </c>
      <c r="N44" s="3230" t="s">
        <v>3036</v>
      </c>
      <c r="O44" s="3230" t="s">
        <v>3037</v>
      </c>
      <c r="P44" s="3237" t="s">
        <v>3038</v>
      </c>
      <c r="Q44" s="3230" t="s">
        <v>3039</v>
      </c>
    </row>
    <row r="45" spans="1:17" ht="14.25" customHeight="1" thickBot="1">
      <c r="A45" s="3230" t="s">
        <v>296</v>
      </c>
      <c r="B45" s="3231" t="s">
        <v>236</v>
      </c>
      <c r="C45" s="3230">
        <v>21240</v>
      </c>
      <c r="D45" s="3230">
        <v>27050</v>
      </c>
      <c r="E45" s="3230">
        <v>28000</v>
      </c>
      <c r="F45" s="3230"/>
      <c r="G45" s="3243">
        <v>18940</v>
      </c>
      <c r="N45" s="3230" t="s">
        <v>3040</v>
      </c>
      <c r="O45" s="3237" t="s">
        <v>3041</v>
      </c>
      <c r="Q45" s="3230" t="s">
        <v>3042</v>
      </c>
    </row>
    <row r="46" spans="1:17" ht="14.25" customHeight="1">
      <c r="A46" s="3230" t="s">
        <v>296</v>
      </c>
      <c r="B46" s="3231" t="s">
        <v>245</v>
      </c>
      <c r="C46" s="3230">
        <v>23240</v>
      </c>
      <c r="D46" s="3230">
        <v>23000</v>
      </c>
      <c r="E46" s="3230">
        <v>24980</v>
      </c>
      <c r="F46" s="3230"/>
      <c r="G46" s="3243">
        <v>16100</v>
      </c>
      <c r="N46" s="3230" t="s">
        <v>3043</v>
      </c>
      <c r="Q46" s="3230" t="s">
        <v>3044</v>
      </c>
    </row>
    <row r="47" spans="1:17" ht="14.25" customHeight="1">
      <c r="A47" s="3230" t="s">
        <v>296</v>
      </c>
      <c r="B47" s="3231" t="s">
        <v>252</v>
      </c>
      <c r="C47" s="3230">
        <v>27150</v>
      </c>
      <c r="D47" s="3230">
        <v>23310</v>
      </c>
      <c r="E47" s="3230">
        <v>25150</v>
      </c>
      <c r="F47" s="3230"/>
      <c r="G47" s="3243">
        <v>16310</v>
      </c>
      <c r="N47" s="3230" t="s">
        <v>3045</v>
      </c>
      <c r="Q47" s="3230" t="s">
        <v>3046</v>
      </c>
    </row>
    <row r="48" spans="1:17" ht="14.25" customHeight="1">
      <c r="A48" s="3230" t="s">
        <v>296</v>
      </c>
      <c r="B48" s="3231" t="s">
        <v>260</v>
      </c>
      <c r="C48" s="3230">
        <v>23100</v>
      </c>
      <c r="D48" s="3230">
        <v>21110</v>
      </c>
      <c r="E48" s="3230">
        <v>23080</v>
      </c>
      <c r="F48" s="3230"/>
      <c r="G48" s="3243">
        <v>14780</v>
      </c>
      <c r="N48" s="3230" t="s">
        <v>3047</v>
      </c>
      <c r="Q48" s="3230" t="s">
        <v>3048</v>
      </c>
    </row>
    <row r="49" spans="1:17" ht="14.25" customHeight="1">
      <c r="A49" s="3230" t="s">
        <v>296</v>
      </c>
      <c r="B49" s="3231" t="s">
        <v>267</v>
      </c>
      <c r="C49" s="3230">
        <v>23400</v>
      </c>
      <c r="D49" s="3230">
        <v>22920</v>
      </c>
      <c r="E49" s="3230">
        <v>24900</v>
      </c>
      <c r="F49" s="3230"/>
      <c r="G49" s="3243">
        <v>16040</v>
      </c>
      <c r="N49" s="3230" t="s">
        <v>3049</v>
      </c>
      <c r="Q49" s="3230" t="s">
        <v>3050</v>
      </c>
    </row>
    <row r="50" spans="1:17" ht="14.25" customHeight="1">
      <c r="A50" s="3230" t="s">
        <v>296</v>
      </c>
      <c r="B50" s="3231" t="s">
        <v>2927</v>
      </c>
      <c r="C50" s="3230">
        <v>21200</v>
      </c>
      <c r="D50" s="3230">
        <v>26540</v>
      </c>
      <c r="E50" s="3230">
        <v>23200</v>
      </c>
      <c r="F50" s="3230"/>
      <c r="G50" s="3243">
        <v>18580</v>
      </c>
      <c r="N50" s="3230" t="s">
        <v>3051</v>
      </c>
      <c r="Q50" s="3231" t="s">
        <v>3052</v>
      </c>
    </row>
    <row r="51" spans="1:17" ht="14.25" customHeight="1" thickBot="1">
      <c r="A51" s="3230" t="s">
        <v>296</v>
      </c>
      <c r="B51" s="3231" t="s">
        <v>2929</v>
      </c>
      <c r="C51" s="3230">
        <v>23000</v>
      </c>
      <c r="D51" s="3230">
        <v>23460</v>
      </c>
      <c r="E51" s="3230">
        <v>25290</v>
      </c>
      <c r="F51" s="3230"/>
      <c r="G51" s="3243">
        <v>16420</v>
      </c>
      <c r="N51" s="3230" t="s">
        <v>3053</v>
      </c>
      <c r="Q51" s="3237" t="s">
        <v>3054</v>
      </c>
    </row>
    <row r="52" spans="1:17" ht="14.25" customHeight="1">
      <c r="A52" s="3230" t="s">
        <v>296</v>
      </c>
      <c r="B52" s="3231" t="s">
        <v>2933</v>
      </c>
      <c r="C52" s="3230">
        <v>26660</v>
      </c>
      <c r="D52" s="3230">
        <v>22350</v>
      </c>
      <c r="E52" s="3230">
        <v>22920</v>
      </c>
      <c r="F52" s="3230"/>
      <c r="G52" s="3243">
        <v>15640</v>
      </c>
      <c r="N52" s="3230" t="s">
        <v>3055</v>
      </c>
    </row>
    <row r="53" spans="1:17" ht="14.25" customHeight="1">
      <c r="A53" s="3230" t="s">
        <v>296</v>
      </c>
      <c r="B53" s="3231" t="s">
        <v>2938</v>
      </c>
      <c r="C53" s="3230">
        <v>23580</v>
      </c>
      <c r="D53" s="3230"/>
      <c r="E53" s="3230">
        <v>24280</v>
      </c>
      <c r="F53" s="3230"/>
      <c r="G53" s="3243"/>
      <c r="N53" s="3230" t="s">
        <v>3056</v>
      </c>
    </row>
    <row r="54" spans="1:17" ht="14.25" customHeight="1" thickBot="1">
      <c r="A54" s="3244" t="s">
        <v>296</v>
      </c>
      <c r="B54" s="3236" t="s">
        <v>2941</v>
      </c>
      <c r="C54" s="3237">
        <v>22460</v>
      </c>
      <c r="D54" s="3237"/>
      <c r="E54" s="3237"/>
      <c r="F54" s="3237"/>
      <c r="G54" s="3245"/>
      <c r="N54" s="3230" t="s">
        <v>3057</v>
      </c>
    </row>
    <row r="55" spans="1:17" ht="14.25" customHeight="1">
      <c r="A55" s="3235" t="s">
        <v>110</v>
      </c>
      <c r="B55" s="3226" t="s">
        <v>3058</v>
      </c>
      <c r="C55" s="3230">
        <v>21970</v>
      </c>
      <c r="D55" s="3230">
        <v>20370</v>
      </c>
      <c r="E55" s="3230">
        <v>20180</v>
      </c>
      <c r="F55" s="3230">
        <v>5730</v>
      </c>
      <c r="G55" s="3230">
        <v>13820</v>
      </c>
      <c r="N55" s="3230" t="s">
        <v>3059</v>
      </c>
    </row>
    <row r="56" spans="1:17" ht="14.25" customHeight="1">
      <c r="A56" s="3230" t="s">
        <v>110</v>
      </c>
      <c r="B56" s="3230" t="s">
        <v>130</v>
      </c>
      <c r="C56" s="3230">
        <v>20470</v>
      </c>
      <c r="D56" s="3230">
        <v>20700</v>
      </c>
      <c r="E56" s="3230">
        <v>20380</v>
      </c>
      <c r="F56" s="3230">
        <v>4760</v>
      </c>
      <c r="G56" s="3230">
        <v>14050</v>
      </c>
      <c r="N56" s="3230" t="s">
        <v>3060</v>
      </c>
    </row>
    <row r="57" spans="1:17" ht="14.25" customHeight="1">
      <c r="A57" s="3230" t="s">
        <v>110</v>
      </c>
      <c r="B57" s="3230" t="s">
        <v>139</v>
      </c>
      <c r="C57" s="3230">
        <v>20790</v>
      </c>
      <c r="D57" s="3230">
        <v>21370</v>
      </c>
      <c r="E57" s="3230">
        <v>20890</v>
      </c>
      <c r="F57" s="3230">
        <v>4910</v>
      </c>
      <c r="G57" s="3230">
        <v>14510</v>
      </c>
      <c r="N57" s="3230" t="s">
        <v>3061</v>
      </c>
    </row>
    <row r="58" spans="1:17" ht="14.25" customHeight="1">
      <c r="A58" s="3230" t="s">
        <v>110</v>
      </c>
      <c r="B58" s="3230" t="s">
        <v>148</v>
      </c>
      <c r="C58" s="3230">
        <v>21460</v>
      </c>
      <c r="D58" s="3230">
        <v>20920</v>
      </c>
      <c r="E58" s="3230">
        <v>23410</v>
      </c>
      <c r="F58" s="3230">
        <v>5100</v>
      </c>
      <c r="G58" s="3230">
        <v>14200</v>
      </c>
      <c r="N58" s="3230" t="s">
        <v>3062</v>
      </c>
    </row>
    <row r="59" spans="1:17" ht="14.25" customHeight="1">
      <c r="A59" s="3230" t="s">
        <v>110</v>
      </c>
      <c r="B59" s="3230" t="s">
        <v>157</v>
      </c>
      <c r="C59" s="3230">
        <v>21000</v>
      </c>
      <c r="D59" s="3230">
        <v>21550</v>
      </c>
      <c r="E59" s="3230">
        <v>21150</v>
      </c>
      <c r="F59" s="3230">
        <v>5250</v>
      </c>
      <c r="G59" s="3230">
        <v>14630</v>
      </c>
      <c r="N59" s="3230" t="s">
        <v>3063</v>
      </c>
    </row>
    <row r="60" spans="1:17" ht="14.25" customHeight="1">
      <c r="A60" s="3230" t="s">
        <v>110</v>
      </c>
      <c r="B60" s="3230" t="s">
        <v>164</v>
      </c>
      <c r="C60" s="3230">
        <v>21640</v>
      </c>
      <c r="D60" s="3230">
        <v>21260</v>
      </c>
      <c r="E60" s="3230">
        <v>24040</v>
      </c>
      <c r="F60" s="3230">
        <v>4470</v>
      </c>
      <c r="G60" s="3230">
        <v>14430</v>
      </c>
      <c r="N60" s="3230" t="s">
        <v>3064</v>
      </c>
    </row>
    <row r="61" spans="1:17" ht="14.25" customHeight="1">
      <c r="A61" s="3230" t="s">
        <v>110</v>
      </c>
      <c r="B61" s="3230" t="s">
        <v>170</v>
      </c>
      <c r="C61" s="3230">
        <v>21330</v>
      </c>
      <c r="D61" s="3230">
        <v>18640</v>
      </c>
      <c r="E61" s="3230">
        <v>21190</v>
      </c>
      <c r="F61" s="3230">
        <v>4180</v>
      </c>
      <c r="G61" s="3230">
        <v>12650</v>
      </c>
      <c r="N61" s="3230" t="s">
        <v>3065</v>
      </c>
    </row>
    <row r="62" spans="1:17" ht="14.25" customHeight="1">
      <c r="A62" s="3230" t="s">
        <v>110</v>
      </c>
      <c r="B62" s="3230" t="s">
        <v>177</v>
      </c>
      <c r="C62" s="3230">
        <v>18710</v>
      </c>
      <c r="D62" s="3230">
        <v>19400</v>
      </c>
      <c r="E62" s="3230">
        <v>23750</v>
      </c>
      <c r="F62" s="3230">
        <v>4860</v>
      </c>
      <c r="G62" s="3230">
        <v>13170</v>
      </c>
      <c r="N62" s="3230" t="s">
        <v>3066</v>
      </c>
    </row>
    <row r="63" spans="1:17" ht="14.25" customHeight="1">
      <c r="A63" s="3230" t="s">
        <v>110</v>
      </c>
      <c r="B63" s="3230" t="s">
        <v>187</v>
      </c>
      <c r="C63" s="3230">
        <v>19480</v>
      </c>
      <c r="D63" s="3230">
        <v>16830</v>
      </c>
      <c r="E63" s="3230">
        <v>21590</v>
      </c>
      <c r="F63" s="3230">
        <v>4560</v>
      </c>
      <c r="G63" s="3230">
        <v>11420</v>
      </c>
      <c r="N63" s="3230" t="s">
        <v>3067</v>
      </c>
    </row>
    <row r="64" spans="1:17" ht="14.25" customHeight="1" thickBot="1">
      <c r="A64" s="3230" t="s">
        <v>110</v>
      </c>
      <c r="B64" s="3230" t="s">
        <v>196</v>
      </c>
      <c r="C64" s="3230">
        <v>16920</v>
      </c>
      <c r="D64" s="3230">
        <v>19190</v>
      </c>
      <c r="E64" s="3230">
        <v>22200</v>
      </c>
      <c r="F64" s="3230">
        <v>4390</v>
      </c>
      <c r="G64" s="3230">
        <v>13030</v>
      </c>
      <c r="N64" s="3237" t="s">
        <v>3068</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2939</v>
      </c>
      <c r="C78" s="3230">
        <v>19820</v>
      </c>
      <c r="D78" s="3230">
        <v>19780</v>
      </c>
      <c r="E78" s="3230">
        <v>18560</v>
      </c>
      <c r="F78" s="3230"/>
      <c r="G78" s="3230">
        <v>13430</v>
      </c>
    </row>
    <row r="79" spans="1:7" s="3219" customFormat="1" ht="14.25" customHeight="1">
      <c r="A79" s="3230" t="s">
        <v>110</v>
      </c>
      <c r="B79" s="3230" t="s">
        <v>2942</v>
      </c>
      <c r="C79" s="3230">
        <v>21660</v>
      </c>
      <c r="D79" s="3230">
        <v>18000</v>
      </c>
      <c r="E79" s="3230">
        <v>22570</v>
      </c>
      <c r="F79" s="3230"/>
      <c r="G79" s="3230">
        <v>12220</v>
      </c>
    </row>
    <row r="80" spans="1:7" s="3219" customFormat="1" ht="14.25" customHeight="1">
      <c r="A80" s="3230" t="s">
        <v>110</v>
      </c>
      <c r="B80" s="3230" t="s">
        <v>2946</v>
      </c>
      <c r="C80" s="3230">
        <v>19850</v>
      </c>
      <c r="D80" s="3230"/>
      <c r="E80" s="3230">
        <v>21700</v>
      </c>
      <c r="F80" s="3230"/>
      <c r="G80" s="3230"/>
    </row>
    <row r="81" spans="1:7" s="3219" customFormat="1" ht="14.25" customHeight="1">
      <c r="A81" s="3230" t="s">
        <v>110</v>
      </c>
      <c r="B81" s="3230" t="s">
        <v>2951</v>
      </c>
      <c r="C81" s="3230">
        <v>18080</v>
      </c>
      <c r="D81" s="3230"/>
      <c r="E81" s="3230">
        <v>20900</v>
      </c>
      <c r="F81" s="3230"/>
      <c r="G81" s="3230"/>
    </row>
    <row r="82" spans="1:7" s="3219" customFormat="1" ht="14.25" customHeight="1">
      <c r="A82" s="3230" t="s">
        <v>110</v>
      </c>
      <c r="B82" s="3230" t="s">
        <v>2958</v>
      </c>
      <c r="C82" s="3230"/>
      <c r="D82" s="3230"/>
      <c r="E82" s="3230">
        <v>20840</v>
      </c>
      <c r="F82" s="3230"/>
      <c r="G82" s="3230"/>
    </row>
    <row r="83" spans="1:7" s="3219" customFormat="1" ht="14.25" customHeight="1">
      <c r="A83" s="3230" t="s">
        <v>110</v>
      </c>
      <c r="B83" s="3230" t="s">
        <v>3069</v>
      </c>
      <c r="C83" s="3230"/>
      <c r="D83" s="3230"/>
      <c r="E83" s="3230"/>
      <c r="F83" s="3230">
        <v>4770</v>
      </c>
      <c r="G83" s="3230"/>
    </row>
    <row r="84" spans="1:7" s="3219" customFormat="1" ht="14.25" customHeight="1">
      <c r="A84" s="3230" t="s">
        <v>110</v>
      </c>
      <c r="B84" s="3230" t="s">
        <v>3070</v>
      </c>
      <c r="C84" s="3230"/>
      <c r="D84" s="3230"/>
      <c r="E84" s="3230"/>
      <c r="F84" s="3230">
        <v>4600</v>
      </c>
      <c r="G84" s="3230"/>
    </row>
    <row r="85" spans="1:7" s="3219" customFormat="1" ht="14.25" customHeight="1">
      <c r="A85" s="3230" t="s">
        <v>110</v>
      </c>
      <c r="B85" s="3230" t="s">
        <v>3071</v>
      </c>
      <c r="C85" s="3230"/>
      <c r="D85" s="3230"/>
      <c r="E85" s="3230"/>
      <c r="F85" s="3230">
        <v>4680</v>
      </c>
      <c r="G85" s="3230"/>
    </row>
    <row r="86" spans="1:7" s="3219" customFormat="1" ht="14.25" customHeight="1" thickBot="1">
      <c r="A86" s="3238" t="s">
        <v>110</v>
      </c>
      <c r="B86" s="3240" t="s">
        <v>3072</v>
      </c>
      <c r="C86" s="3241">
        <v>16610</v>
      </c>
      <c r="D86" s="3241">
        <v>16540</v>
      </c>
      <c r="E86" s="3241">
        <v>18850</v>
      </c>
      <c r="F86" s="3241"/>
      <c r="G86" s="3241">
        <v>11220</v>
      </c>
    </row>
    <row r="87" spans="1:7" s="3219" customFormat="1" ht="14.25" customHeight="1">
      <c r="A87" s="3235" t="s">
        <v>303</v>
      </c>
      <c r="B87" s="3226" t="s">
        <v>3073</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2952</v>
      </c>
      <c r="C113" s="3230">
        <v>15520</v>
      </c>
      <c r="D113" s="3230">
        <v>15450</v>
      </c>
      <c r="E113" s="3230"/>
      <c r="F113" s="3230"/>
      <c r="G113" s="3243">
        <v>10210</v>
      </c>
    </row>
    <row r="114" spans="1:7" s="3219" customFormat="1" ht="14.25" customHeight="1">
      <c r="A114" s="3230" t="s">
        <v>303</v>
      </c>
      <c r="B114" s="3230" t="s">
        <v>2959</v>
      </c>
      <c r="C114" s="3230">
        <v>13110</v>
      </c>
      <c r="D114" s="3230">
        <v>13050</v>
      </c>
      <c r="E114" s="3230"/>
      <c r="F114" s="3230"/>
      <c r="G114" s="3243">
        <v>8620</v>
      </c>
    </row>
    <row r="115" spans="1:7" s="3219" customFormat="1" ht="14.25" customHeight="1">
      <c r="A115" s="3230" t="s">
        <v>303</v>
      </c>
      <c r="B115" s="3230" t="s">
        <v>2965</v>
      </c>
      <c r="C115" s="3230">
        <v>12460</v>
      </c>
      <c r="D115" s="3230">
        <v>12390</v>
      </c>
      <c r="E115" s="3230"/>
      <c r="F115" s="3230"/>
      <c r="G115" s="3243">
        <v>8190</v>
      </c>
    </row>
    <row r="116" spans="1:7" s="3219" customFormat="1" ht="14.25" customHeight="1">
      <c r="A116" s="3230" t="s">
        <v>303</v>
      </c>
      <c r="B116" s="3230" t="s">
        <v>2972</v>
      </c>
      <c r="C116" s="3230">
        <v>13580</v>
      </c>
      <c r="D116" s="3230">
        <v>13520</v>
      </c>
      <c r="E116" s="3230"/>
      <c r="F116" s="3230"/>
      <c r="G116" s="3243">
        <v>8930</v>
      </c>
    </row>
    <row r="117" spans="1:7" s="3219" customFormat="1" ht="14.25" customHeight="1">
      <c r="A117" s="3230" t="s">
        <v>303</v>
      </c>
      <c r="B117" s="3230" t="s">
        <v>2979</v>
      </c>
      <c r="C117" s="3230">
        <v>17120</v>
      </c>
      <c r="D117" s="3230">
        <v>17040</v>
      </c>
      <c r="E117" s="3230"/>
      <c r="F117" s="3230"/>
      <c r="G117" s="3243">
        <v>11260</v>
      </c>
    </row>
    <row r="118" spans="1:7" s="3219" customFormat="1" ht="14.25" customHeight="1">
      <c r="A118" s="3230" t="s">
        <v>303</v>
      </c>
      <c r="B118" s="3230" t="s">
        <v>2984</v>
      </c>
      <c r="C118" s="3230">
        <v>14860</v>
      </c>
      <c r="D118" s="3230">
        <v>14790</v>
      </c>
      <c r="E118" s="3230"/>
      <c r="F118" s="3230"/>
      <c r="G118" s="3243">
        <v>9780</v>
      </c>
    </row>
    <row r="119" spans="1:7" s="3219" customFormat="1" ht="14.25" customHeight="1">
      <c r="A119" s="3230" t="s">
        <v>303</v>
      </c>
      <c r="B119" s="3230" t="s">
        <v>2988</v>
      </c>
      <c r="C119" s="3230">
        <v>16470</v>
      </c>
      <c r="D119" s="3230">
        <v>16400</v>
      </c>
      <c r="E119" s="3230"/>
      <c r="F119" s="3230"/>
      <c r="G119" s="3243">
        <v>10840</v>
      </c>
    </row>
    <row r="120" spans="1:7" s="3219" customFormat="1" ht="14.25" customHeight="1">
      <c r="A120" s="3230" t="s">
        <v>303</v>
      </c>
      <c r="B120" s="3230" t="s">
        <v>3074</v>
      </c>
      <c r="C120" s="3230"/>
      <c r="D120" s="3230"/>
      <c r="E120" s="3230"/>
      <c r="F120" s="3230">
        <v>4160</v>
      </c>
      <c r="G120" s="3243"/>
    </row>
    <row r="121" spans="1:7" s="3219" customFormat="1" ht="14.25" customHeight="1">
      <c r="A121" s="3230" t="s">
        <v>303</v>
      </c>
      <c r="B121" s="3230" t="s">
        <v>3075</v>
      </c>
      <c r="C121" s="3230"/>
      <c r="D121" s="3230"/>
      <c r="E121" s="3230"/>
      <c r="F121" s="3230">
        <v>3880</v>
      </c>
      <c r="G121" s="3243"/>
    </row>
    <row r="122" spans="1:7" s="3219" customFormat="1" ht="14.25" customHeight="1">
      <c r="A122" s="3230" t="s">
        <v>303</v>
      </c>
      <c r="B122" s="3230" t="s">
        <v>3076</v>
      </c>
      <c r="C122" s="3230">
        <v>13750</v>
      </c>
      <c r="D122" s="3230">
        <v>13680</v>
      </c>
      <c r="E122" s="3230">
        <v>16460</v>
      </c>
      <c r="F122" s="3230">
        <v>2880</v>
      </c>
      <c r="G122" s="3243">
        <v>9040</v>
      </c>
    </row>
    <row r="123" spans="1:7" s="3219" customFormat="1" ht="14.25" customHeight="1">
      <c r="A123" s="3230" t="s">
        <v>303</v>
      </c>
      <c r="B123" s="3230" t="s">
        <v>3007</v>
      </c>
      <c r="C123" s="3230">
        <v>13590</v>
      </c>
      <c r="D123" s="3230">
        <v>13520</v>
      </c>
      <c r="E123" s="3230">
        <v>16290</v>
      </c>
      <c r="F123" s="3230">
        <v>2790</v>
      </c>
      <c r="G123" s="3243">
        <v>8930</v>
      </c>
    </row>
    <row r="124" spans="1:7" s="3219" customFormat="1" ht="14.25" customHeight="1">
      <c r="A124" s="3230" t="s">
        <v>303</v>
      </c>
      <c r="B124" s="3230" t="s">
        <v>3012</v>
      </c>
      <c r="C124" s="3230">
        <v>13400</v>
      </c>
      <c r="D124" s="3230">
        <v>13320</v>
      </c>
      <c r="E124" s="3230">
        <v>16100</v>
      </c>
      <c r="F124" s="3230">
        <v>2320</v>
      </c>
      <c r="G124" s="3243">
        <v>8800</v>
      </c>
    </row>
    <row r="125" spans="1:7" s="3219" customFormat="1" ht="14.25" customHeight="1">
      <c r="A125" s="3230" t="s">
        <v>303</v>
      </c>
      <c r="B125" s="3230" t="s">
        <v>3017</v>
      </c>
      <c r="C125" s="3230">
        <v>12860</v>
      </c>
      <c r="D125" s="3230">
        <v>12790</v>
      </c>
      <c r="E125" s="3230">
        <v>15370</v>
      </c>
      <c r="F125" s="3230">
        <v>2280</v>
      </c>
      <c r="G125" s="3243">
        <v>8450</v>
      </c>
    </row>
    <row r="126" spans="1:7" s="3219" customFormat="1" ht="14.25" customHeight="1" thickBot="1">
      <c r="A126" s="3244" t="s">
        <v>303</v>
      </c>
      <c r="B126" s="3237" t="s">
        <v>3022</v>
      </c>
      <c r="C126" s="3237">
        <v>12960</v>
      </c>
      <c r="D126" s="3237">
        <v>12890</v>
      </c>
      <c r="E126" s="3237">
        <v>15530</v>
      </c>
      <c r="F126" s="3237">
        <v>2910</v>
      </c>
      <c r="G126" s="3245">
        <v>8520</v>
      </c>
    </row>
    <row r="127" spans="1:7" s="3219" customFormat="1" ht="14.25" customHeight="1">
      <c r="A127" s="3235" t="s">
        <v>29</v>
      </c>
      <c r="B127" s="3226" t="s">
        <v>3077</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3078</v>
      </c>
      <c r="C148" s="3230">
        <v>10370</v>
      </c>
      <c r="D148" s="3230">
        <v>10310</v>
      </c>
      <c r="E148" s="3230">
        <v>12970</v>
      </c>
      <c r="F148" s="3230"/>
      <c r="G148" s="3230">
        <v>6630</v>
      </c>
    </row>
    <row r="149" spans="1:7" s="3219" customFormat="1" ht="14.25" customHeight="1">
      <c r="A149" s="3230" t="s">
        <v>29</v>
      </c>
      <c r="B149" s="3230" t="s">
        <v>3079</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2953</v>
      </c>
      <c r="C153" s="3230">
        <v>10880</v>
      </c>
      <c r="D153" s="3230">
        <v>10820</v>
      </c>
      <c r="E153" s="3230">
        <v>13660</v>
      </c>
      <c r="F153" s="3230">
        <v>2260</v>
      </c>
      <c r="G153" s="3230">
        <v>6970</v>
      </c>
    </row>
    <row r="154" spans="1:7" s="3219" customFormat="1" ht="14.25" customHeight="1">
      <c r="A154" s="3230" t="s">
        <v>29</v>
      </c>
      <c r="B154" s="3230" t="s">
        <v>3080</v>
      </c>
      <c r="C154" s="3230">
        <v>11220</v>
      </c>
      <c r="D154" s="3230">
        <v>11160</v>
      </c>
      <c r="E154" s="3230">
        <v>14130</v>
      </c>
      <c r="F154" s="3230">
        <v>2230</v>
      </c>
      <c r="G154" s="3230">
        <v>7180</v>
      </c>
    </row>
    <row r="155" spans="1:7" s="3219" customFormat="1" ht="14.25" customHeight="1">
      <c r="A155" s="3230" t="s">
        <v>29</v>
      </c>
      <c r="B155" s="3230" t="s">
        <v>2966</v>
      </c>
      <c r="C155" s="3230">
        <v>10430</v>
      </c>
      <c r="D155" s="3230">
        <v>10380</v>
      </c>
      <c r="E155" s="3230">
        <v>13140</v>
      </c>
      <c r="F155" s="3230">
        <v>2080</v>
      </c>
      <c r="G155" s="3230">
        <v>6650</v>
      </c>
    </row>
    <row r="156" spans="1:7" s="3219" customFormat="1" ht="14.25" customHeight="1">
      <c r="A156" s="3230" t="s">
        <v>29</v>
      </c>
      <c r="B156" s="3230" t="s">
        <v>3081</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3082</v>
      </c>
      <c r="C160" s="3230">
        <v>11180</v>
      </c>
      <c r="D160" s="3230">
        <v>11140</v>
      </c>
      <c r="E160" s="3230">
        <v>14050</v>
      </c>
      <c r="F160" s="3230">
        <v>2270</v>
      </c>
      <c r="G160" s="3230">
        <v>7170</v>
      </c>
    </row>
    <row r="161" spans="1:7" s="3219" customFormat="1" ht="14.25" customHeight="1">
      <c r="A161" s="3230" t="s">
        <v>29</v>
      </c>
      <c r="B161" s="3230" t="s">
        <v>2998</v>
      </c>
      <c r="C161" s="3230">
        <v>11160</v>
      </c>
      <c r="D161" s="3230">
        <v>11120</v>
      </c>
      <c r="E161" s="3230">
        <v>14020</v>
      </c>
      <c r="F161" s="3230">
        <v>2150</v>
      </c>
      <c r="G161" s="3230">
        <v>7160</v>
      </c>
    </row>
    <row r="162" spans="1:7" s="3219" customFormat="1" ht="14.25" customHeight="1">
      <c r="A162" s="3230" t="s">
        <v>29</v>
      </c>
      <c r="B162" s="3230" t="s">
        <v>3003</v>
      </c>
      <c r="C162" s="3230">
        <v>9620</v>
      </c>
      <c r="D162" s="3230">
        <v>9570</v>
      </c>
      <c r="E162" s="3230">
        <v>12320</v>
      </c>
      <c r="F162" s="3230">
        <v>2010</v>
      </c>
      <c r="G162" s="3230">
        <v>6160</v>
      </c>
    </row>
    <row r="163" spans="1:7" s="3219" customFormat="1" ht="14.25" customHeight="1">
      <c r="A163" s="3230" t="s">
        <v>29</v>
      </c>
      <c r="B163" s="3230" t="s">
        <v>3008</v>
      </c>
      <c r="C163" s="3230">
        <v>9320</v>
      </c>
      <c r="D163" s="3230">
        <v>9270</v>
      </c>
      <c r="E163" s="3230">
        <v>11790</v>
      </c>
      <c r="F163" s="3230">
        <v>1920</v>
      </c>
      <c r="G163" s="3230">
        <v>5960</v>
      </c>
    </row>
    <row r="164" spans="1:7" s="3219" customFormat="1" ht="14.25" customHeight="1">
      <c r="A164" s="3230" t="s">
        <v>29</v>
      </c>
      <c r="B164" s="3230" t="s">
        <v>3013</v>
      </c>
      <c r="C164" s="3230"/>
      <c r="D164" s="3230"/>
      <c r="E164" s="3230"/>
      <c r="F164" s="3230">
        <v>1980</v>
      </c>
      <c r="G164" s="3230"/>
    </row>
    <row r="165" spans="1:7" s="3219" customFormat="1" ht="14.25" customHeight="1">
      <c r="A165" s="3230" t="s">
        <v>29</v>
      </c>
      <c r="B165" s="3230" t="s">
        <v>3083</v>
      </c>
      <c r="C165" s="3230">
        <v>11060</v>
      </c>
      <c r="D165" s="3230">
        <v>11030</v>
      </c>
      <c r="E165" s="3230">
        <v>13850</v>
      </c>
      <c r="F165" s="3230">
        <v>2170</v>
      </c>
      <c r="G165" s="3230">
        <v>7090</v>
      </c>
    </row>
    <row r="166" spans="1:7" s="3219" customFormat="1" ht="14.25" customHeight="1">
      <c r="A166" s="3230" t="s">
        <v>29</v>
      </c>
      <c r="B166" s="3230" t="s">
        <v>3023</v>
      </c>
      <c r="C166" s="3230">
        <v>11050</v>
      </c>
      <c r="D166" s="3230">
        <v>11010</v>
      </c>
      <c r="E166" s="3230">
        <v>13920</v>
      </c>
      <c r="F166" s="3230">
        <v>2140</v>
      </c>
      <c r="G166" s="3230">
        <v>7080</v>
      </c>
    </row>
    <row r="167" spans="1:7" s="3219" customFormat="1" ht="14.25" customHeight="1">
      <c r="A167" s="3230" t="s">
        <v>29</v>
      </c>
      <c r="B167" s="3230" t="s">
        <v>3027</v>
      </c>
      <c r="C167" s="3230">
        <v>10930</v>
      </c>
      <c r="D167" s="3230">
        <v>10890</v>
      </c>
      <c r="E167" s="3230">
        <v>13790</v>
      </c>
      <c r="F167" s="3230">
        <v>2010</v>
      </c>
      <c r="G167" s="3230">
        <v>7000</v>
      </c>
    </row>
    <row r="168" spans="1:7" s="3219" customFormat="1" ht="14.25" customHeight="1">
      <c r="A168" s="3230" t="s">
        <v>29</v>
      </c>
      <c r="B168" s="3230" t="s">
        <v>3032</v>
      </c>
      <c r="C168" s="3230">
        <v>9420</v>
      </c>
      <c r="D168" s="3230">
        <v>9380</v>
      </c>
      <c r="E168" s="3230">
        <v>11970</v>
      </c>
      <c r="F168" s="3230"/>
      <c r="G168" s="3230">
        <v>6040</v>
      </c>
    </row>
    <row r="169" spans="1:7" s="3219" customFormat="1" ht="14.25" customHeight="1">
      <c r="A169" s="3230" t="s">
        <v>29</v>
      </c>
      <c r="B169" s="3230" t="s">
        <v>3084</v>
      </c>
      <c r="C169" s="3230"/>
      <c r="D169" s="3230"/>
      <c r="E169" s="3230"/>
      <c r="F169" s="3230">
        <v>2880</v>
      </c>
      <c r="G169" s="3230"/>
    </row>
    <row r="170" spans="1:7" s="3219" customFormat="1" ht="14.25" customHeight="1">
      <c r="A170" s="3230" t="s">
        <v>29</v>
      </c>
      <c r="B170" s="3230" t="s">
        <v>3040</v>
      </c>
      <c r="C170" s="3230"/>
      <c r="D170" s="3230"/>
      <c r="E170" s="3230"/>
      <c r="F170" s="3230">
        <v>2880</v>
      </c>
      <c r="G170" s="3230"/>
    </row>
    <row r="171" spans="1:7" s="3219" customFormat="1" ht="14.25" customHeight="1">
      <c r="A171" s="3230" t="s">
        <v>29</v>
      </c>
      <c r="B171" s="3230" t="s">
        <v>3043</v>
      </c>
      <c r="C171" s="3230"/>
      <c r="D171" s="3230"/>
      <c r="E171" s="3230"/>
      <c r="F171" s="3230">
        <v>2880</v>
      </c>
      <c r="G171" s="3230"/>
    </row>
    <row r="172" spans="1:7" s="3219" customFormat="1" ht="14.25" customHeight="1">
      <c r="A172" s="3230" t="s">
        <v>29</v>
      </c>
      <c r="B172" s="3230" t="s">
        <v>3045</v>
      </c>
      <c r="C172" s="3230"/>
      <c r="D172" s="3230"/>
      <c r="E172" s="3230"/>
      <c r="F172" s="3230">
        <v>2880</v>
      </c>
      <c r="G172" s="3230"/>
    </row>
    <row r="173" spans="1:7" s="3219" customFormat="1" ht="14.25" customHeight="1">
      <c r="A173" s="3230" t="s">
        <v>29</v>
      </c>
      <c r="B173" s="3230" t="s">
        <v>3047</v>
      </c>
      <c r="C173" s="3230"/>
      <c r="D173" s="3230"/>
      <c r="E173" s="3230"/>
      <c r="F173" s="3230">
        <v>2150</v>
      </c>
      <c r="G173" s="3230"/>
    </row>
    <row r="174" spans="1:7" s="3219" customFormat="1" ht="14.25" customHeight="1">
      <c r="A174" s="3230" t="s">
        <v>29</v>
      </c>
      <c r="B174" s="3230" t="s">
        <v>3049</v>
      </c>
      <c r="C174" s="3230"/>
      <c r="D174" s="3230"/>
      <c r="E174" s="3230"/>
      <c r="F174" s="3230">
        <v>2030</v>
      </c>
      <c r="G174" s="3230"/>
    </row>
    <row r="175" spans="1:7" s="3219" customFormat="1" ht="14.25" customHeight="1">
      <c r="A175" s="3230" t="s">
        <v>29</v>
      </c>
      <c r="B175" s="3230" t="s">
        <v>3051</v>
      </c>
      <c r="C175" s="3230"/>
      <c r="D175" s="3230"/>
      <c r="E175" s="3230"/>
      <c r="F175" s="3230">
        <v>2780</v>
      </c>
      <c r="G175" s="3230"/>
    </row>
    <row r="176" spans="1:7" s="3219" customFormat="1" ht="14.25" customHeight="1">
      <c r="A176" s="3230" t="s">
        <v>29</v>
      </c>
      <c r="B176" s="3230" t="s">
        <v>3053</v>
      </c>
      <c r="C176" s="3230"/>
      <c r="D176" s="3230"/>
      <c r="E176" s="3230"/>
      <c r="F176" s="3230">
        <v>2780</v>
      </c>
      <c r="G176" s="3230"/>
    </row>
    <row r="177" spans="1:7" s="3219" customFormat="1" ht="14.25" customHeight="1">
      <c r="A177" s="3230" t="s">
        <v>29</v>
      </c>
      <c r="B177" s="3230" t="s">
        <v>3085</v>
      </c>
      <c r="C177" s="3230"/>
      <c r="D177" s="3230"/>
      <c r="E177" s="3230"/>
      <c r="F177" s="3230">
        <v>2780</v>
      </c>
      <c r="G177" s="3230"/>
    </row>
    <row r="178" spans="1:7" s="3219" customFormat="1" ht="14.25" customHeight="1">
      <c r="A178" s="3230" t="s">
        <v>29</v>
      </c>
      <c r="B178" s="3230" t="s">
        <v>3086</v>
      </c>
      <c r="C178" s="3230"/>
      <c r="D178" s="3230"/>
      <c r="E178" s="3230"/>
      <c r="F178" s="3230">
        <v>2060</v>
      </c>
      <c r="G178" s="3230"/>
    </row>
    <row r="179" spans="1:7" s="3219" customFormat="1" ht="14.25" customHeight="1">
      <c r="A179" s="3230" t="s">
        <v>29</v>
      </c>
      <c r="B179" s="3230" t="s">
        <v>3087</v>
      </c>
      <c r="C179" s="3230"/>
      <c r="D179" s="3230"/>
      <c r="E179" s="3230"/>
      <c r="F179" s="3230">
        <v>2120</v>
      </c>
      <c r="G179" s="3230"/>
    </row>
    <row r="180" spans="1:7" s="3219" customFormat="1" ht="14.25" customHeight="1">
      <c r="A180" s="3230" t="s">
        <v>29</v>
      </c>
      <c r="B180" s="3230" t="s">
        <v>3059</v>
      </c>
      <c r="C180" s="3230"/>
      <c r="D180" s="3230"/>
      <c r="E180" s="3230"/>
      <c r="F180" s="3230">
        <v>2340</v>
      </c>
      <c r="G180" s="3230"/>
    </row>
    <row r="181" spans="1:7" s="3219" customFormat="1" ht="14.25" customHeight="1">
      <c r="A181" s="3230" t="s">
        <v>29</v>
      </c>
      <c r="B181" s="3230" t="s">
        <v>3060</v>
      </c>
      <c r="C181" s="3230"/>
      <c r="D181" s="3230"/>
      <c r="E181" s="3230"/>
      <c r="F181" s="3230">
        <v>2340</v>
      </c>
      <c r="G181" s="3230"/>
    </row>
    <row r="182" spans="1:7" s="3219" customFormat="1" ht="14.25" customHeight="1">
      <c r="A182" s="3230" t="s">
        <v>29</v>
      </c>
      <c r="B182" s="3230" t="s">
        <v>3061</v>
      </c>
      <c r="C182" s="3230"/>
      <c r="D182" s="3230"/>
      <c r="E182" s="3230"/>
      <c r="F182" s="3230">
        <v>2340</v>
      </c>
      <c r="G182" s="3230"/>
    </row>
    <row r="183" spans="1:7" s="3219" customFormat="1" ht="14.25" customHeight="1">
      <c r="A183" s="3230" t="s">
        <v>29</v>
      </c>
      <c r="B183" s="3230" t="s">
        <v>3062</v>
      </c>
      <c r="C183" s="3230"/>
      <c r="D183" s="3230"/>
      <c r="E183" s="3230"/>
      <c r="F183" s="3230">
        <v>2340</v>
      </c>
      <c r="G183" s="3230"/>
    </row>
    <row r="184" spans="1:7" s="3219" customFormat="1" ht="14.25" customHeight="1">
      <c r="A184" s="3230" t="s">
        <v>29</v>
      </c>
      <c r="B184" s="3230" t="s">
        <v>3063</v>
      </c>
      <c r="C184" s="3230"/>
      <c r="D184" s="3230"/>
      <c r="E184" s="3230"/>
      <c r="F184" s="3230">
        <v>2340</v>
      </c>
      <c r="G184" s="3230"/>
    </row>
    <row r="185" spans="1:7" s="3219" customFormat="1" ht="14.25" customHeight="1">
      <c r="A185" s="3230" t="s">
        <v>29</v>
      </c>
      <c r="B185" s="3230" t="s">
        <v>3064</v>
      </c>
      <c r="C185" s="3230"/>
      <c r="D185" s="3230"/>
      <c r="E185" s="3230"/>
      <c r="F185" s="3230">
        <v>2530</v>
      </c>
      <c r="G185" s="3230"/>
    </row>
    <row r="186" spans="1:7" s="3219" customFormat="1" ht="14.25" customHeight="1">
      <c r="A186" s="3230" t="s">
        <v>29</v>
      </c>
      <c r="B186" s="3230" t="s">
        <v>3065</v>
      </c>
      <c r="C186" s="3230"/>
      <c r="D186" s="3230"/>
      <c r="E186" s="3230"/>
      <c r="F186" s="3230">
        <v>2550</v>
      </c>
      <c r="G186" s="3230"/>
    </row>
    <row r="187" spans="1:7" s="3219" customFormat="1" ht="14.25" customHeight="1">
      <c r="A187" s="3230" t="s">
        <v>29</v>
      </c>
      <c r="B187" s="3230" t="s">
        <v>3066</v>
      </c>
      <c r="C187" s="3230"/>
      <c r="D187" s="3230"/>
      <c r="E187" s="3230"/>
      <c r="F187" s="3230">
        <v>2070</v>
      </c>
      <c r="G187" s="3230"/>
    </row>
    <row r="188" spans="1:7" s="3219" customFormat="1" ht="14.25" customHeight="1">
      <c r="A188" s="3230" t="s">
        <v>29</v>
      </c>
      <c r="B188" s="3230" t="s">
        <v>3067</v>
      </c>
      <c r="C188" s="3230"/>
      <c r="D188" s="3230"/>
      <c r="E188" s="3230"/>
      <c r="F188" s="3230">
        <v>2340</v>
      </c>
      <c r="G188" s="3230"/>
    </row>
    <row r="189" spans="1:7" s="3219" customFormat="1" ht="14.25" customHeight="1" thickBot="1">
      <c r="A189" s="3238" t="s">
        <v>29</v>
      </c>
      <c r="B189" s="3241" t="s">
        <v>3068</v>
      </c>
      <c r="C189" s="3241"/>
      <c r="D189" s="3241"/>
      <c r="E189" s="3241"/>
      <c r="F189" s="3241">
        <v>2050</v>
      </c>
      <c r="G189" s="3241"/>
    </row>
    <row r="190" spans="1:7" s="3219" customFormat="1" ht="14.25" customHeight="1">
      <c r="A190" s="3235" t="s">
        <v>304</v>
      </c>
      <c r="B190" s="3226" t="s">
        <v>3088</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3089</v>
      </c>
      <c r="C199" s="3230">
        <v>8690</v>
      </c>
      <c r="D199" s="3230">
        <v>8630</v>
      </c>
      <c r="E199" s="3230">
        <v>11350</v>
      </c>
      <c r="F199" s="3230">
        <v>1600</v>
      </c>
      <c r="G199" s="3243">
        <v>5450</v>
      </c>
    </row>
    <row r="200" spans="1:7" s="3219" customFormat="1" ht="14.25" customHeight="1">
      <c r="A200" s="3230" t="s">
        <v>304</v>
      </c>
      <c r="B200" s="3230" t="s">
        <v>2900</v>
      </c>
      <c r="C200" s="3230"/>
      <c r="D200" s="3230"/>
      <c r="E200" s="3230"/>
      <c r="F200" s="3230">
        <v>1510</v>
      </c>
      <c r="G200" s="3243"/>
    </row>
    <row r="201" spans="1:7" s="3219" customFormat="1" ht="14.25" customHeight="1">
      <c r="A201" s="3230" t="s">
        <v>304</v>
      </c>
      <c r="B201" s="3230" t="s">
        <v>3090</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3091</v>
      </c>
      <c r="C203" s="3230">
        <v>8130</v>
      </c>
      <c r="D203" s="3230">
        <v>8070</v>
      </c>
      <c r="E203" s="3230">
        <v>10820</v>
      </c>
      <c r="F203" s="3230">
        <v>1690</v>
      </c>
      <c r="G203" s="3243">
        <v>5100</v>
      </c>
    </row>
    <row r="204" spans="1:7" s="3219" customFormat="1" ht="14.25" customHeight="1">
      <c r="A204" s="3230" t="s">
        <v>304</v>
      </c>
      <c r="B204" s="3230" t="s">
        <v>2911</v>
      </c>
      <c r="C204" s="3230">
        <v>8350</v>
      </c>
      <c r="D204" s="3230">
        <v>8290</v>
      </c>
      <c r="E204" s="3230">
        <v>11080</v>
      </c>
      <c r="F204" s="3230">
        <v>1450</v>
      </c>
      <c r="G204" s="3243">
        <v>5240</v>
      </c>
    </row>
    <row r="205" spans="1:7" s="3219" customFormat="1" ht="14.25" customHeight="1">
      <c r="A205" s="3230" t="s">
        <v>304</v>
      </c>
      <c r="B205" s="3230" t="s">
        <v>2913</v>
      </c>
      <c r="C205" s="3230">
        <v>7190</v>
      </c>
      <c r="D205" s="3230">
        <v>7130</v>
      </c>
      <c r="E205" s="3230">
        <v>9490</v>
      </c>
      <c r="F205" s="3230">
        <v>1470</v>
      </c>
      <c r="G205" s="3243">
        <v>4510</v>
      </c>
    </row>
    <row r="206" spans="1:7" s="3219" customFormat="1" ht="14.25" customHeight="1">
      <c r="A206" s="3230" t="s">
        <v>304</v>
      </c>
      <c r="B206" s="3230" t="s">
        <v>2916</v>
      </c>
      <c r="C206" s="3230">
        <v>7000</v>
      </c>
      <c r="D206" s="3230">
        <v>6950</v>
      </c>
      <c r="E206" s="3230">
        <v>9170</v>
      </c>
      <c r="F206" s="3230">
        <v>1400</v>
      </c>
      <c r="G206" s="3243">
        <v>4380</v>
      </c>
    </row>
    <row r="207" spans="1:7" s="3219" customFormat="1" ht="14.25" customHeight="1">
      <c r="A207" s="3230" t="s">
        <v>304</v>
      </c>
      <c r="B207" s="3230" t="s">
        <v>2918</v>
      </c>
      <c r="C207" s="3230">
        <v>6950</v>
      </c>
      <c r="D207" s="3230">
        <v>6900</v>
      </c>
      <c r="E207" s="3230">
        <v>9110</v>
      </c>
      <c r="F207" s="3230">
        <v>1790</v>
      </c>
      <c r="G207" s="3243">
        <v>4360</v>
      </c>
    </row>
    <row r="208" spans="1:7" s="3219" customFormat="1" ht="14.25" customHeight="1">
      <c r="A208" s="3230" t="s">
        <v>304</v>
      </c>
      <c r="B208" s="3230" t="s">
        <v>3092</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2928</v>
      </c>
      <c r="C210" s="3230">
        <v>8710</v>
      </c>
      <c r="D210" s="3230">
        <v>8660</v>
      </c>
      <c r="E210" s="3230">
        <v>11440</v>
      </c>
      <c r="F210" s="3230">
        <v>1740</v>
      </c>
      <c r="G210" s="3243">
        <v>5470</v>
      </c>
    </row>
    <row r="211" spans="1:7" s="3219" customFormat="1" ht="14.25" customHeight="1">
      <c r="A211" s="3230" t="s">
        <v>304</v>
      </c>
      <c r="B211" s="3230" t="s">
        <v>3093</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3094</v>
      </c>
      <c r="C214" s="3230">
        <v>8090</v>
      </c>
      <c r="D214" s="3230">
        <v>8030</v>
      </c>
      <c r="E214" s="3230">
        <v>10780</v>
      </c>
      <c r="F214" s="3230">
        <v>1570</v>
      </c>
      <c r="G214" s="3243">
        <v>5070</v>
      </c>
    </row>
    <row r="215" spans="1:7" s="3219" customFormat="1" ht="14.25" customHeight="1">
      <c r="A215" s="3230" t="s">
        <v>304</v>
      </c>
      <c r="B215" s="3230" t="s">
        <v>3095</v>
      </c>
      <c r="C215" s="3230">
        <v>7950</v>
      </c>
      <c r="D215" s="3230">
        <v>7900</v>
      </c>
      <c r="E215" s="3230">
        <v>10560</v>
      </c>
      <c r="F215" s="3230">
        <v>1630</v>
      </c>
      <c r="G215" s="3243">
        <v>4990</v>
      </c>
    </row>
    <row r="216" spans="1:7" s="3219" customFormat="1" ht="14.25" customHeight="1">
      <c r="A216" s="3230" t="s">
        <v>304</v>
      </c>
      <c r="B216" s="3230" t="s">
        <v>3096</v>
      </c>
      <c r="C216" s="3230">
        <v>8490</v>
      </c>
      <c r="D216" s="3230">
        <v>8440</v>
      </c>
      <c r="E216" s="3230">
        <v>11260</v>
      </c>
      <c r="F216" s="3230">
        <v>1690</v>
      </c>
      <c r="G216" s="3243">
        <v>5330</v>
      </c>
    </row>
    <row r="217" spans="1:7" s="3219" customFormat="1" ht="14.25" customHeight="1">
      <c r="A217" s="3230" t="s">
        <v>304</v>
      </c>
      <c r="B217" s="3230" t="s">
        <v>2961</v>
      </c>
      <c r="C217" s="3230">
        <v>8200</v>
      </c>
      <c r="D217" s="3230">
        <v>8150</v>
      </c>
      <c r="E217" s="3230">
        <v>10910</v>
      </c>
      <c r="F217" s="3230">
        <v>1670</v>
      </c>
      <c r="G217" s="3243">
        <v>5150</v>
      </c>
    </row>
    <row r="218" spans="1:7" s="3219" customFormat="1" ht="14.25" customHeight="1">
      <c r="A218" s="3230" t="s">
        <v>304</v>
      </c>
      <c r="B218" s="3230" t="s">
        <v>3097</v>
      </c>
      <c r="C218" s="3230"/>
      <c r="D218" s="3230"/>
      <c r="E218" s="3230"/>
      <c r="F218" s="3230">
        <v>2040</v>
      </c>
      <c r="G218" s="3243"/>
    </row>
    <row r="219" spans="1:7" s="3219" customFormat="1" ht="14.25" customHeight="1">
      <c r="A219" s="3230" t="s">
        <v>304</v>
      </c>
      <c r="B219" s="3230" t="s">
        <v>3098</v>
      </c>
      <c r="C219" s="3230"/>
      <c r="D219" s="3230"/>
      <c r="E219" s="3230"/>
      <c r="F219" s="3230">
        <v>2040</v>
      </c>
      <c r="G219" s="3243"/>
    </row>
    <row r="220" spans="1:7" s="3219" customFormat="1" ht="14.25" customHeight="1">
      <c r="A220" s="3230" t="s">
        <v>304</v>
      </c>
      <c r="B220" s="3230" t="s">
        <v>3099</v>
      </c>
      <c r="C220" s="3230"/>
      <c r="D220" s="3230"/>
      <c r="E220" s="3230"/>
      <c r="F220" s="3230">
        <v>2040</v>
      </c>
      <c r="G220" s="3243"/>
    </row>
    <row r="221" spans="1:7" s="3219" customFormat="1" ht="14.25" customHeight="1">
      <c r="A221" s="3230" t="s">
        <v>304</v>
      </c>
      <c r="B221" s="3230" t="s">
        <v>3100</v>
      </c>
      <c r="C221" s="3230"/>
      <c r="D221" s="3230"/>
      <c r="E221" s="3230"/>
      <c r="F221" s="3230">
        <v>2040</v>
      </c>
      <c r="G221" s="3243"/>
    </row>
    <row r="222" spans="1:7" s="3219" customFormat="1" ht="14.25" customHeight="1">
      <c r="A222" s="3230" t="s">
        <v>304</v>
      </c>
      <c r="B222" s="3230" t="s">
        <v>3101</v>
      </c>
      <c r="C222" s="3230"/>
      <c r="D222" s="3230"/>
      <c r="E222" s="3230"/>
      <c r="F222" s="3230">
        <v>2040</v>
      </c>
      <c r="G222" s="3243"/>
    </row>
    <row r="223" spans="1:7" s="3219" customFormat="1" ht="14.25" customHeight="1">
      <c r="A223" s="3230" t="s">
        <v>304</v>
      </c>
      <c r="B223" s="3230" t="s">
        <v>3102</v>
      </c>
      <c r="C223" s="3230"/>
      <c r="D223" s="3230"/>
      <c r="E223" s="3230"/>
      <c r="F223" s="3230">
        <v>1930</v>
      </c>
      <c r="G223" s="3243"/>
    </row>
    <row r="224" spans="1:7" s="3219" customFormat="1" ht="14.25" customHeight="1">
      <c r="A224" s="3230" t="s">
        <v>304</v>
      </c>
      <c r="B224" s="3230" t="s">
        <v>3103</v>
      </c>
      <c r="C224" s="3230"/>
      <c r="D224" s="3230"/>
      <c r="E224" s="3230"/>
      <c r="F224" s="3230">
        <v>1930</v>
      </c>
      <c r="G224" s="3243"/>
    </row>
    <row r="225" spans="1:7" s="3219" customFormat="1" ht="14.25" customHeight="1">
      <c r="A225" s="3230" t="s">
        <v>304</v>
      </c>
      <c r="B225" s="3230" t="s">
        <v>3104</v>
      </c>
      <c r="C225" s="3230"/>
      <c r="D225" s="3230"/>
      <c r="E225" s="3230"/>
      <c r="F225" s="3230">
        <v>1930</v>
      </c>
      <c r="G225" s="3243"/>
    </row>
    <row r="226" spans="1:7" s="3219" customFormat="1" ht="14.25" customHeight="1">
      <c r="A226" s="3230" t="s">
        <v>304</v>
      </c>
      <c r="B226" s="3230" t="s">
        <v>3105</v>
      </c>
      <c r="C226" s="3230"/>
      <c r="D226" s="3230"/>
      <c r="E226" s="3230"/>
      <c r="F226" s="3230">
        <v>1700</v>
      </c>
      <c r="G226" s="3243"/>
    </row>
    <row r="227" spans="1:7" s="3219" customFormat="1" ht="14.25" customHeight="1">
      <c r="A227" s="3230" t="s">
        <v>304</v>
      </c>
      <c r="B227" s="3230" t="s">
        <v>3106</v>
      </c>
      <c r="C227" s="3230"/>
      <c r="D227" s="3230"/>
      <c r="E227" s="3230"/>
      <c r="F227" s="3230">
        <v>1520</v>
      </c>
      <c r="G227" s="3243"/>
    </row>
    <row r="228" spans="1:7" s="3219" customFormat="1" ht="14.25" customHeight="1">
      <c r="A228" s="3230" t="s">
        <v>304</v>
      </c>
      <c r="B228" s="3230" t="s">
        <v>3107</v>
      </c>
      <c r="C228" s="3230"/>
      <c r="D228" s="3230"/>
      <c r="E228" s="3230"/>
      <c r="F228" s="3230">
        <v>1520</v>
      </c>
      <c r="G228" s="3243"/>
    </row>
    <row r="229" spans="1:7" s="3219" customFormat="1" ht="14.25" customHeight="1">
      <c r="A229" s="3230" t="s">
        <v>304</v>
      </c>
      <c r="B229" s="3230" t="s">
        <v>3024</v>
      </c>
      <c r="C229" s="3230"/>
      <c r="D229" s="3230"/>
      <c r="E229" s="3230"/>
      <c r="F229" s="3230">
        <v>1520</v>
      </c>
      <c r="G229" s="3243"/>
    </row>
    <row r="230" spans="1:7" s="3219" customFormat="1" ht="14.25" customHeight="1">
      <c r="A230" s="3230" t="s">
        <v>304</v>
      </c>
      <c r="B230" s="3230" t="s">
        <v>3108</v>
      </c>
      <c r="C230" s="3230"/>
      <c r="D230" s="3230"/>
      <c r="E230" s="3230"/>
      <c r="F230" s="3230">
        <v>1820</v>
      </c>
      <c r="G230" s="3243"/>
    </row>
    <row r="231" spans="1:7" s="3219" customFormat="1" ht="14.25" customHeight="1">
      <c r="A231" s="3230" t="s">
        <v>304</v>
      </c>
      <c r="B231" s="3230" t="s">
        <v>3109</v>
      </c>
      <c r="C231" s="3230"/>
      <c r="D231" s="3230"/>
      <c r="E231" s="3230"/>
      <c r="F231" s="3230">
        <v>1760</v>
      </c>
      <c r="G231" s="3243"/>
    </row>
    <row r="232" spans="1:7" s="3219" customFormat="1" ht="14.25" customHeight="1">
      <c r="A232" s="3230" t="s">
        <v>304</v>
      </c>
      <c r="B232" s="3230" t="s">
        <v>3110</v>
      </c>
      <c r="C232" s="3230"/>
      <c r="D232" s="3230"/>
      <c r="E232" s="3230"/>
      <c r="F232" s="3230">
        <v>1840</v>
      </c>
      <c r="G232" s="3243"/>
    </row>
    <row r="233" spans="1:7" s="3219" customFormat="1" ht="14.25" customHeight="1" thickBot="1">
      <c r="A233" s="3244" t="s">
        <v>304</v>
      </c>
      <c r="B233" s="3237" t="s">
        <v>3041</v>
      </c>
      <c r="C233" s="3237"/>
      <c r="D233" s="3237"/>
      <c r="E233" s="3237"/>
      <c r="F233" s="3237">
        <v>1770</v>
      </c>
      <c r="G233" s="3245"/>
    </row>
    <row r="234" spans="1:7" s="3219" customFormat="1" ht="14.25" customHeight="1">
      <c r="A234" s="3235" t="s">
        <v>305</v>
      </c>
      <c r="B234" s="3226" t="s">
        <v>3111</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2882</v>
      </c>
      <c r="C238" s="3230">
        <v>6920</v>
      </c>
      <c r="D238" s="3230">
        <v>6890</v>
      </c>
      <c r="E238" s="3230">
        <v>8640</v>
      </c>
      <c r="F238" s="3230">
        <v>1310</v>
      </c>
      <c r="G238" s="3230">
        <v>4230</v>
      </c>
    </row>
    <row r="239" spans="1:7" s="3219" customFormat="1" ht="14.25" customHeight="1">
      <c r="A239" s="3230" t="s">
        <v>305</v>
      </c>
      <c r="B239" s="3230" t="s">
        <v>3112</v>
      </c>
      <c r="C239" s="3230">
        <v>6780</v>
      </c>
      <c r="D239" s="3230">
        <v>6750</v>
      </c>
      <c r="E239" s="3230">
        <v>8440</v>
      </c>
      <c r="F239" s="3230">
        <v>1160</v>
      </c>
      <c r="G239" s="3230">
        <v>4140</v>
      </c>
    </row>
    <row r="240" spans="1:7" s="3219" customFormat="1" ht="14.25" customHeight="1">
      <c r="A240" s="3230" t="s">
        <v>305</v>
      </c>
      <c r="B240" s="3230" t="s">
        <v>3113</v>
      </c>
      <c r="C240" s="3230">
        <v>5420</v>
      </c>
      <c r="D240" s="3230">
        <v>5380</v>
      </c>
      <c r="E240" s="3230">
        <v>6640</v>
      </c>
      <c r="F240" s="3230">
        <v>1020</v>
      </c>
      <c r="G240" s="3230">
        <v>3300</v>
      </c>
    </row>
    <row r="241" spans="1:7" s="3219" customFormat="1" ht="14.25" customHeight="1">
      <c r="A241" s="3230" t="s">
        <v>305</v>
      </c>
      <c r="B241" s="3230" t="s">
        <v>3114</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3115</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3116</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3117</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3118</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3119</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2944</v>
      </c>
      <c r="C258" s="3230">
        <v>6190</v>
      </c>
      <c r="D258" s="3230">
        <v>6160</v>
      </c>
      <c r="E258" s="3230">
        <v>7680</v>
      </c>
      <c r="F258" s="3230">
        <v>1170</v>
      </c>
      <c r="G258" s="3230">
        <v>3780</v>
      </c>
    </row>
    <row r="259" spans="1:7" s="3219" customFormat="1" ht="14.25" customHeight="1">
      <c r="A259" s="3230" t="s">
        <v>305</v>
      </c>
      <c r="B259" s="3230" t="s">
        <v>3120</v>
      </c>
      <c r="C259" s="3230">
        <v>7610</v>
      </c>
      <c r="D259" s="3230">
        <v>7570</v>
      </c>
      <c r="E259" s="3230">
        <v>9350</v>
      </c>
      <c r="F259" s="3230">
        <v>1350</v>
      </c>
      <c r="G259" s="3230">
        <v>4650</v>
      </c>
    </row>
    <row r="260" spans="1:7" s="3219" customFormat="1" ht="14.25" customHeight="1">
      <c r="A260" s="3230" t="s">
        <v>305</v>
      </c>
      <c r="B260" s="3230" t="s">
        <v>3121</v>
      </c>
      <c r="C260" s="3230">
        <v>6920</v>
      </c>
      <c r="D260" s="3230">
        <v>6880</v>
      </c>
      <c r="E260" s="3230">
        <v>8380</v>
      </c>
      <c r="F260" s="3230">
        <v>1160</v>
      </c>
      <c r="G260" s="3230">
        <v>4220</v>
      </c>
    </row>
    <row r="261" spans="1:7" s="3219" customFormat="1" ht="14.25" customHeight="1">
      <c r="A261" s="3230" t="s">
        <v>305</v>
      </c>
      <c r="B261" s="3230" t="s">
        <v>3122</v>
      </c>
      <c r="C261" s="3230">
        <v>6850</v>
      </c>
      <c r="D261" s="3230">
        <v>6810</v>
      </c>
      <c r="E261" s="3230">
        <v>8290</v>
      </c>
      <c r="F261" s="3230">
        <v>1130</v>
      </c>
      <c r="G261" s="3230">
        <v>4180</v>
      </c>
    </row>
    <row r="262" spans="1:7" s="3219" customFormat="1" ht="14.25" customHeight="1">
      <c r="A262" s="3230" t="s">
        <v>305</v>
      </c>
      <c r="B262" s="3230" t="s">
        <v>3123</v>
      </c>
      <c r="C262" s="3230">
        <v>5860</v>
      </c>
      <c r="D262" s="3230">
        <v>5820</v>
      </c>
      <c r="E262" s="3230">
        <v>7640</v>
      </c>
      <c r="F262" s="3230">
        <v>1070</v>
      </c>
      <c r="G262" s="3230">
        <v>3570</v>
      </c>
    </row>
    <row r="263" spans="1:7" s="3219" customFormat="1" ht="14.25" customHeight="1">
      <c r="A263" s="3230" t="s">
        <v>305</v>
      </c>
      <c r="B263" s="3230" t="s">
        <v>3124</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3125</v>
      </c>
      <c r="C265" s="3230"/>
      <c r="D265" s="3230"/>
      <c r="E265" s="3230"/>
      <c r="F265" s="3230">
        <v>1500</v>
      </c>
      <c r="G265" s="3230"/>
    </row>
    <row r="266" spans="1:7" s="3219" customFormat="1" ht="14.25" customHeight="1">
      <c r="A266" s="3230" t="s">
        <v>305</v>
      </c>
      <c r="B266" s="3230" t="s">
        <v>3126</v>
      </c>
      <c r="C266" s="3230"/>
      <c r="D266" s="3230"/>
      <c r="E266" s="3230"/>
      <c r="F266" s="3230">
        <v>1500</v>
      </c>
      <c r="G266" s="3230"/>
    </row>
    <row r="267" spans="1:7" s="3219" customFormat="1" ht="14.25" customHeight="1">
      <c r="A267" s="3230" t="s">
        <v>305</v>
      </c>
      <c r="B267" s="3230" t="s">
        <v>3127</v>
      </c>
      <c r="C267" s="3230"/>
      <c r="D267" s="3230"/>
      <c r="E267" s="3230"/>
      <c r="F267" s="3230">
        <v>1500</v>
      </c>
      <c r="G267" s="3230"/>
    </row>
    <row r="268" spans="1:7" s="3219" customFormat="1" ht="14.25" customHeight="1">
      <c r="A268" s="3230" t="s">
        <v>305</v>
      </c>
      <c r="B268" s="3230" t="s">
        <v>3128</v>
      </c>
      <c r="C268" s="3230"/>
      <c r="D268" s="3230"/>
      <c r="E268" s="3230"/>
      <c r="F268" s="3230">
        <v>1290</v>
      </c>
      <c r="G268" s="3230"/>
    </row>
    <row r="269" spans="1:7" s="3219" customFormat="1" ht="14.25" customHeight="1">
      <c r="A269" s="3230" t="s">
        <v>305</v>
      </c>
      <c r="B269" s="3230" t="s">
        <v>3129</v>
      </c>
      <c r="C269" s="3230"/>
      <c r="D269" s="3230"/>
      <c r="E269" s="3230"/>
      <c r="F269" s="3230">
        <v>1150</v>
      </c>
      <c r="G269" s="3230"/>
    </row>
    <row r="270" spans="1:7" s="3219" customFormat="1" ht="14.25" customHeight="1">
      <c r="A270" s="3230" t="s">
        <v>305</v>
      </c>
      <c r="B270" s="3230" t="s">
        <v>3130</v>
      </c>
      <c r="C270" s="3230"/>
      <c r="D270" s="3230"/>
      <c r="E270" s="3230"/>
      <c r="F270" s="3230">
        <v>1380</v>
      </c>
      <c r="G270" s="3230"/>
    </row>
    <row r="271" spans="1:7" s="3219" customFormat="1" ht="14.25" customHeight="1">
      <c r="A271" s="3230" t="s">
        <v>305</v>
      </c>
      <c r="B271" s="3230" t="s">
        <v>3131</v>
      </c>
      <c r="C271" s="3230"/>
      <c r="D271" s="3230"/>
      <c r="E271" s="3230"/>
      <c r="F271" s="3230">
        <v>1460</v>
      </c>
      <c r="G271" s="3230"/>
    </row>
    <row r="272" spans="1:7" s="3219" customFormat="1" ht="14.25" customHeight="1">
      <c r="A272" s="3230" t="s">
        <v>305</v>
      </c>
      <c r="B272" s="3230" t="s">
        <v>3132</v>
      </c>
      <c r="C272" s="3230"/>
      <c r="D272" s="3230"/>
      <c r="E272" s="3230"/>
      <c r="F272" s="3230">
        <v>1460</v>
      </c>
      <c r="G272" s="3230"/>
    </row>
    <row r="273" spans="1:7" s="3219" customFormat="1" ht="14.25" customHeight="1">
      <c r="A273" s="3230" t="s">
        <v>305</v>
      </c>
      <c r="B273" s="3230" t="s">
        <v>3025</v>
      </c>
      <c r="C273" s="3230"/>
      <c r="D273" s="3230"/>
      <c r="E273" s="3230"/>
      <c r="F273" s="3230">
        <v>1490</v>
      </c>
      <c r="G273" s="3230"/>
    </row>
    <row r="274" spans="1:7" s="3219" customFormat="1" ht="14.25" customHeight="1">
      <c r="A274" s="3230" t="s">
        <v>305</v>
      </c>
      <c r="B274" s="3230" t="s">
        <v>3133</v>
      </c>
      <c r="C274" s="3230"/>
      <c r="D274" s="3230"/>
      <c r="E274" s="3230"/>
      <c r="F274" s="3230">
        <v>1490</v>
      </c>
      <c r="G274" s="3230"/>
    </row>
    <row r="275" spans="1:7" s="3219" customFormat="1" ht="14.25" customHeight="1">
      <c r="A275" s="3230" t="s">
        <v>305</v>
      </c>
      <c r="B275" s="3230" t="s">
        <v>3134</v>
      </c>
      <c r="C275" s="3230"/>
      <c r="D275" s="3230"/>
      <c r="E275" s="3230"/>
      <c r="F275" s="3230">
        <v>1220</v>
      </c>
      <c r="G275" s="3230"/>
    </row>
    <row r="276" spans="1:7" s="3219" customFormat="1" ht="14.25" customHeight="1" thickBot="1">
      <c r="A276" s="3238" t="s">
        <v>305</v>
      </c>
      <c r="B276" s="3240" t="s">
        <v>3135</v>
      </c>
      <c r="C276" s="3241"/>
      <c r="D276" s="3241"/>
      <c r="E276" s="3241"/>
      <c r="F276" s="3241">
        <v>1380</v>
      </c>
      <c r="G276" s="3241"/>
    </row>
    <row r="277" spans="1:7" s="3219" customFormat="1" ht="14.25" customHeight="1">
      <c r="A277" s="3235" t="s">
        <v>306</v>
      </c>
      <c r="B277" s="3226" t="s">
        <v>3136</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3137</v>
      </c>
      <c r="C279" s="3230">
        <v>4760</v>
      </c>
      <c r="D279" s="3230">
        <v>4720</v>
      </c>
      <c r="E279" s="3230">
        <v>5540</v>
      </c>
      <c r="F279" s="3230">
        <v>810</v>
      </c>
      <c r="G279" s="3243">
        <v>2850</v>
      </c>
    </row>
    <row r="280" spans="1:7" s="3219" customFormat="1" ht="14.25" customHeight="1">
      <c r="A280" s="3230" t="s">
        <v>306</v>
      </c>
      <c r="B280" s="3230" t="s">
        <v>3138</v>
      </c>
      <c r="C280" s="3230">
        <v>4010</v>
      </c>
      <c r="D280" s="3230">
        <v>3950</v>
      </c>
      <c r="E280" s="3230">
        <v>4710</v>
      </c>
      <c r="F280" s="3230">
        <v>800</v>
      </c>
      <c r="G280" s="3243">
        <v>2390</v>
      </c>
    </row>
    <row r="281" spans="1:7" s="3219" customFormat="1" ht="14.25" customHeight="1">
      <c r="A281" s="3230" t="s">
        <v>306</v>
      </c>
      <c r="B281" s="3230" t="s">
        <v>3139</v>
      </c>
      <c r="C281" s="3230">
        <v>4480</v>
      </c>
      <c r="D281" s="3230">
        <v>4420</v>
      </c>
      <c r="E281" s="3230">
        <v>5230</v>
      </c>
      <c r="F281" s="3230">
        <v>870</v>
      </c>
      <c r="G281" s="3243">
        <v>2660</v>
      </c>
    </row>
    <row r="282" spans="1:7" s="3219" customFormat="1" ht="14.25" customHeight="1">
      <c r="A282" s="3230" t="s">
        <v>306</v>
      </c>
      <c r="B282" s="3230" t="s">
        <v>3140</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3141</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3142</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2917</v>
      </c>
      <c r="C293" s="3230">
        <v>5320</v>
      </c>
      <c r="D293" s="3230">
        <v>5270</v>
      </c>
      <c r="E293" s="3230">
        <v>6160</v>
      </c>
      <c r="F293" s="3230">
        <v>990</v>
      </c>
      <c r="G293" s="3243">
        <v>3170</v>
      </c>
    </row>
    <row r="294" spans="1:7" s="3219" customFormat="1" ht="14.25" customHeight="1">
      <c r="A294" s="3230" t="s">
        <v>306</v>
      </c>
      <c r="B294" s="3230" t="s">
        <v>3143</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2936</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3144</v>
      </c>
      <c r="C302" s="3230">
        <v>5520</v>
      </c>
      <c r="D302" s="3230">
        <v>5470</v>
      </c>
      <c r="E302" s="3230">
        <v>6410</v>
      </c>
      <c r="F302" s="3230">
        <v>950</v>
      </c>
      <c r="G302" s="3243">
        <v>3300</v>
      </c>
    </row>
    <row r="303" spans="1:7" s="3219" customFormat="1" ht="14.25" customHeight="1">
      <c r="A303" s="3230" t="s">
        <v>306</v>
      </c>
      <c r="B303" s="3230" t="s">
        <v>2956</v>
      </c>
      <c r="C303" s="3230">
        <v>5630</v>
      </c>
      <c r="D303" s="3230">
        <v>5590</v>
      </c>
      <c r="E303" s="3230">
        <v>6550</v>
      </c>
      <c r="F303" s="3230">
        <v>1010</v>
      </c>
      <c r="G303" s="3243">
        <v>3370</v>
      </c>
    </row>
    <row r="304" spans="1:7" s="3219" customFormat="1" ht="14.25" customHeight="1">
      <c r="A304" s="3230" t="s">
        <v>306</v>
      </c>
      <c r="B304" s="3230" t="s">
        <v>2963</v>
      </c>
      <c r="C304" s="3230">
        <v>5680</v>
      </c>
      <c r="D304" s="3230">
        <v>5620</v>
      </c>
      <c r="E304" s="3230">
        <v>6620</v>
      </c>
      <c r="F304" s="3230">
        <v>1050</v>
      </c>
      <c r="G304" s="3243">
        <v>3390</v>
      </c>
    </row>
    <row r="305" spans="1:7" s="3219" customFormat="1" ht="14.25" customHeight="1">
      <c r="A305" s="3230" t="s">
        <v>306</v>
      </c>
      <c r="B305" s="3230" t="s">
        <v>2969</v>
      </c>
      <c r="C305" s="3230">
        <v>5590</v>
      </c>
      <c r="D305" s="3230">
        <v>5530</v>
      </c>
      <c r="E305" s="3230">
        <v>6460</v>
      </c>
      <c r="F305" s="3230">
        <v>900</v>
      </c>
      <c r="G305" s="3243">
        <v>3340</v>
      </c>
    </row>
    <row r="306" spans="1:7" s="3219" customFormat="1" ht="14.25" customHeight="1">
      <c r="A306" s="3230" t="s">
        <v>306</v>
      </c>
      <c r="B306" s="3230" t="s">
        <v>3145</v>
      </c>
      <c r="C306" s="3230">
        <v>5560</v>
      </c>
      <c r="D306" s="3230">
        <v>5510</v>
      </c>
      <c r="E306" s="3230">
        <v>6440</v>
      </c>
      <c r="F306" s="3230">
        <v>900</v>
      </c>
      <c r="G306" s="3243">
        <v>3320</v>
      </c>
    </row>
    <row r="307" spans="1:7" s="3219" customFormat="1" ht="14.25" customHeight="1">
      <c r="A307" s="3230" t="s">
        <v>306</v>
      </c>
      <c r="B307" s="3230" t="s">
        <v>2981</v>
      </c>
      <c r="C307" s="3230">
        <v>5650</v>
      </c>
      <c r="D307" s="3230">
        <v>5600</v>
      </c>
      <c r="E307" s="3230">
        <v>6590</v>
      </c>
      <c r="F307" s="3230">
        <v>930</v>
      </c>
      <c r="G307" s="3243">
        <v>3380</v>
      </c>
    </row>
    <row r="308" spans="1:7" s="3219" customFormat="1" ht="14.25" customHeight="1">
      <c r="A308" s="3230" t="s">
        <v>306</v>
      </c>
      <c r="B308" s="3230" t="s">
        <v>3146</v>
      </c>
      <c r="C308" s="3230">
        <v>5620</v>
      </c>
      <c r="D308" s="3230">
        <v>5580</v>
      </c>
      <c r="E308" s="3230">
        <v>6540</v>
      </c>
      <c r="F308" s="3230">
        <v>910</v>
      </c>
      <c r="G308" s="3243">
        <v>3370</v>
      </c>
    </row>
    <row r="309" spans="1:7" s="3219" customFormat="1" ht="14.25" customHeight="1">
      <c r="A309" s="3230" t="s">
        <v>306</v>
      </c>
      <c r="B309" s="3230" t="s">
        <v>3147</v>
      </c>
      <c r="C309" s="3230">
        <v>5060</v>
      </c>
      <c r="D309" s="3230">
        <v>5020</v>
      </c>
      <c r="E309" s="3230">
        <v>6370</v>
      </c>
      <c r="F309" s="3230">
        <v>800</v>
      </c>
      <c r="G309" s="3243">
        <v>3020</v>
      </c>
    </row>
    <row r="310" spans="1:7" s="3219" customFormat="1" ht="14.25" customHeight="1">
      <c r="A310" s="3230" t="s">
        <v>306</v>
      </c>
      <c r="B310" s="3230" t="s">
        <v>2996</v>
      </c>
      <c r="C310" s="3230">
        <v>5150</v>
      </c>
      <c r="D310" s="3230">
        <v>5110</v>
      </c>
      <c r="E310" s="3230">
        <v>6500</v>
      </c>
      <c r="F310" s="3230">
        <v>880</v>
      </c>
      <c r="G310" s="3243">
        <v>3080</v>
      </c>
    </row>
    <row r="311" spans="1:7" s="3219" customFormat="1" ht="14.25" customHeight="1">
      <c r="A311" s="3230" t="s">
        <v>306</v>
      </c>
      <c r="B311" s="3230" t="s">
        <v>3148</v>
      </c>
      <c r="C311" s="3230">
        <v>4750</v>
      </c>
      <c r="D311" s="3230">
        <v>4710</v>
      </c>
      <c r="E311" s="3230">
        <v>5510</v>
      </c>
      <c r="F311" s="3230">
        <v>880</v>
      </c>
      <c r="G311" s="3243">
        <v>2840</v>
      </c>
    </row>
    <row r="312" spans="1:7" s="3219" customFormat="1" ht="14.25" customHeight="1">
      <c r="A312" s="3230" t="s">
        <v>306</v>
      </c>
      <c r="B312" s="3230" t="s">
        <v>3006</v>
      </c>
      <c r="C312" s="3230">
        <v>4690</v>
      </c>
      <c r="D312" s="3230">
        <v>4640</v>
      </c>
      <c r="E312" s="3230">
        <v>5420</v>
      </c>
      <c r="F312" s="3230">
        <v>800</v>
      </c>
      <c r="G312" s="3243">
        <v>2800</v>
      </c>
    </row>
    <row r="313" spans="1:7" s="3219" customFormat="1" ht="14.25" customHeight="1">
      <c r="A313" s="3230" t="s">
        <v>306</v>
      </c>
      <c r="B313" s="3230" t="s">
        <v>3011</v>
      </c>
      <c r="C313" s="3230">
        <v>4810</v>
      </c>
      <c r="D313" s="3230">
        <v>4760</v>
      </c>
      <c r="E313" s="3230">
        <v>5550</v>
      </c>
      <c r="F313" s="3230">
        <v>920</v>
      </c>
      <c r="G313" s="3243">
        <v>2870</v>
      </c>
    </row>
    <row r="314" spans="1:7" s="3219" customFormat="1" ht="14.25" customHeight="1">
      <c r="A314" s="3230" t="s">
        <v>306</v>
      </c>
      <c r="B314" s="3230" t="s">
        <v>3149</v>
      </c>
      <c r="C314" s="3230"/>
      <c r="D314" s="3230"/>
      <c r="E314" s="3230"/>
      <c r="F314" s="3230">
        <v>1020</v>
      </c>
      <c r="G314" s="3243"/>
    </row>
    <row r="315" spans="1:7" s="3219" customFormat="1" ht="14.25" customHeight="1">
      <c r="A315" s="3230" t="s">
        <v>306</v>
      </c>
      <c r="B315" s="3230" t="s">
        <v>3150</v>
      </c>
      <c r="C315" s="3230"/>
      <c r="D315" s="3230"/>
      <c r="E315" s="3230"/>
      <c r="F315" s="3230">
        <v>1050</v>
      </c>
      <c r="G315" s="3243"/>
    </row>
    <row r="316" spans="1:7" s="3219" customFormat="1" ht="14.25" customHeight="1">
      <c r="A316" s="3230" t="s">
        <v>306</v>
      </c>
      <c r="B316" s="3230" t="s">
        <v>3026</v>
      </c>
      <c r="C316" s="3230"/>
      <c r="D316" s="3230"/>
      <c r="E316" s="3230"/>
      <c r="F316" s="3230">
        <v>900</v>
      </c>
      <c r="G316" s="3243"/>
    </row>
    <row r="317" spans="1:7" s="3219" customFormat="1" ht="14.25" customHeight="1">
      <c r="A317" s="3230" t="s">
        <v>306</v>
      </c>
      <c r="B317" s="3230" t="s">
        <v>3151</v>
      </c>
      <c r="C317" s="3230"/>
      <c r="D317" s="3230"/>
      <c r="E317" s="3230"/>
      <c r="F317" s="3230">
        <v>920</v>
      </c>
      <c r="G317" s="3243"/>
    </row>
    <row r="318" spans="1:7" s="3219" customFormat="1" ht="14.25" customHeight="1">
      <c r="A318" s="3230" t="s">
        <v>306</v>
      </c>
      <c r="B318" s="3230" t="s">
        <v>3152</v>
      </c>
      <c r="C318" s="3230"/>
      <c r="D318" s="3230"/>
      <c r="E318" s="3230"/>
      <c r="F318" s="3230">
        <v>1080</v>
      </c>
      <c r="G318" s="3243"/>
    </row>
    <row r="319" spans="1:7" s="3219" customFormat="1" ht="14.25" customHeight="1">
      <c r="A319" s="3230" t="s">
        <v>306</v>
      </c>
      <c r="B319" s="3230" t="s">
        <v>3039</v>
      </c>
      <c r="C319" s="3230"/>
      <c r="D319" s="3230"/>
      <c r="E319" s="3230"/>
      <c r="F319" s="3230">
        <v>1020</v>
      </c>
      <c r="G319" s="3243"/>
    </row>
    <row r="320" spans="1:7" s="3219" customFormat="1" ht="14.25" customHeight="1">
      <c r="A320" s="3230" t="s">
        <v>306</v>
      </c>
      <c r="B320" s="3230" t="s">
        <v>3042</v>
      </c>
      <c r="C320" s="3230"/>
      <c r="D320" s="3230"/>
      <c r="E320" s="3230"/>
      <c r="F320" s="3230">
        <v>1050</v>
      </c>
      <c r="G320" s="3243"/>
    </row>
    <row r="321" spans="1:7" s="3219" customFormat="1" ht="14.25" customHeight="1">
      <c r="A321" s="3230" t="s">
        <v>306</v>
      </c>
      <c r="B321" s="3230" t="s">
        <v>3044</v>
      </c>
      <c r="C321" s="3230"/>
      <c r="D321" s="3230"/>
      <c r="E321" s="3230"/>
      <c r="F321" s="3230">
        <v>960</v>
      </c>
      <c r="G321" s="3243"/>
    </row>
    <row r="322" spans="1:7" s="3219" customFormat="1" ht="14.25" customHeight="1">
      <c r="A322" s="3230" t="s">
        <v>306</v>
      </c>
      <c r="B322" s="3230" t="s">
        <v>3046</v>
      </c>
      <c r="C322" s="3230"/>
      <c r="D322" s="3230"/>
      <c r="E322" s="3230"/>
      <c r="F322" s="3230">
        <v>960</v>
      </c>
      <c r="G322" s="3243"/>
    </row>
    <row r="323" spans="1:7" s="3219" customFormat="1" ht="14.25" customHeight="1">
      <c r="A323" s="3230" t="s">
        <v>306</v>
      </c>
      <c r="B323" s="3230" t="s">
        <v>3048</v>
      </c>
      <c r="C323" s="3230"/>
      <c r="D323" s="3230"/>
      <c r="E323" s="3230"/>
      <c r="F323" s="3230">
        <v>880</v>
      </c>
      <c r="G323" s="3243"/>
    </row>
    <row r="324" spans="1:7" s="3219" customFormat="1" ht="14.25" customHeight="1">
      <c r="A324" s="3230" t="s">
        <v>306</v>
      </c>
      <c r="B324" s="3230" t="s">
        <v>3050</v>
      </c>
      <c r="C324" s="3230"/>
      <c r="D324" s="3230"/>
      <c r="E324" s="3230"/>
      <c r="F324" s="3230">
        <v>930</v>
      </c>
      <c r="G324" s="3243"/>
    </row>
    <row r="325" spans="1:7" s="3219" customFormat="1" ht="14.25" customHeight="1">
      <c r="A325" s="3230" t="s">
        <v>306</v>
      </c>
      <c r="B325" s="3231" t="s">
        <v>3052</v>
      </c>
      <c r="C325" s="3230"/>
      <c r="D325" s="3230"/>
      <c r="E325" s="3230"/>
      <c r="F325" s="3230">
        <v>900</v>
      </c>
      <c r="G325" s="3243"/>
    </row>
    <row r="326" spans="1:7" s="3219" customFormat="1" ht="14.25" customHeight="1" thickBot="1">
      <c r="A326" s="3244" t="s">
        <v>306</v>
      </c>
      <c r="B326" s="3237" t="s">
        <v>3054</v>
      </c>
      <c r="C326" s="3237"/>
      <c r="D326" s="3237"/>
      <c r="E326" s="3237"/>
      <c r="F326" s="3237">
        <v>790</v>
      </c>
      <c r="G326" s="3245"/>
    </row>
    <row r="327" spans="1:7" s="3219" customFormat="1" ht="14.25" customHeight="1">
      <c r="A327" s="3235" t="s">
        <v>307</v>
      </c>
      <c r="B327" s="3226" t="s">
        <v>3153</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3154</v>
      </c>
      <c r="C329" s="3230">
        <v>2730</v>
      </c>
      <c r="D329" s="3230">
        <v>2690</v>
      </c>
      <c r="E329" s="3230">
        <v>3100</v>
      </c>
      <c r="F329" s="3230">
        <v>660</v>
      </c>
      <c r="G329" s="3230">
        <v>1610</v>
      </c>
    </row>
    <row r="330" spans="1:7" s="3219" customFormat="1" ht="14.25" customHeight="1">
      <c r="A330" s="3230" t="s">
        <v>307</v>
      </c>
      <c r="B330" s="3230" t="s">
        <v>3155</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2888</v>
      </c>
      <c r="C332" s="3230">
        <v>3520</v>
      </c>
      <c r="D332" s="3230">
        <v>3480</v>
      </c>
      <c r="E332" s="3230">
        <v>3830</v>
      </c>
      <c r="F332" s="3230">
        <v>720</v>
      </c>
      <c r="G332" s="3230">
        <v>2090</v>
      </c>
    </row>
    <row r="333" spans="1:7" s="3219" customFormat="1" ht="14.25" customHeight="1">
      <c r="A333" s="3230" t="s">
        <v>307</v>
      </c>
      <c r="B333" s="3230" t="s">
        <v>3156</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2898</v>
      </c>
      <c r="C336" s="3230">
        <v>3570</v>
      </c>
      <c r="D336" s="3230">
        <v>3530</v>
      </c>
      <c r="E336" s="3230">
        <v>3880</v>
      </c>
      <c r="F336" s="3230">
        <v>770</v>
      </c>
      <c r="G336" s="3230">
        <v>2110</v>
      </c>
    </row>
    <row r="337" spans="1:10" s="3219" customFormat="1" ht="14.25" customHeight="1">
      <c r="A337" s="3230" t="s">
        <v>307</v>
      </c>
      <c r="B337" s="3230" t="s">
        <v>3157</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3158</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3159</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2923</v>
      </c>
      <c r="C345" s="3230">
        <v>3190</v>
      </c>
      <c r="D345" s="3230">
        <v>3140</v>
      </c>
      <c r="E345" s="3230">
        <v>3450</v>
      </c>
      <c r="F345" s="3230">
        <v>720</v>
      </c>
      <c r="G345" s="3230">
        <v>1880</v>
      </c>
      <c r="J345" s="3219"/>
    </row>
    <row r="346" spans="1:10">
      <c r="A346" s="3230" t="s">
        <v>307</v>
      </c>
      <c r="B346" s="3230" t="s">
        <v>3160</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2932</v>
      </c>
      <c r="C348" s="3230">
        <v>4000</v>
      </c>
      <c r="D348" s="3230">
        <v>3950</v>
      </c>
      <c r="E348" s="3230">
        <v>4430</v>
      </c>
      <c r="F348" s="3230">
        <v>760</v>
      </c>
      <c r="G348" s="3230">
        <v>2360</v>
      </c>
      <c r="J348" s="3219"/>
    </row>
    <row r="349" spans="1:10">
      <c r="A349" s="3230" t="s">
        <v>307</v>
      </c>
      <c r="B349" s="3230" t="s">
        <v>2937</v>
      </c>
      <c r="C349" s="3230">
        <v>3820</v>
      </c>
      <c r="D349" s="3230">
        <v>3780</v>
      </c>
      <c r="E349" s="3230">
        <v>4170</v>
      </c>
      <c r="F349" s="3230">
        <v>710</v>
      </c>
      <c r="G349" s="3230">
        <v>2260</v>
      </c>
      <c r="J349" s="3219"/>
    </row>
    <row r="350" spans="1:10">
      <c r="A350" s="3230" t="s">
        <v>307</v>
      </c>
      <c r="B350" s="3230" t="s">
        <v>3161</v>
      </c>
      <c r="C350" s="3230">
        <v>3760</v>
      </c>
      <c r="D350" s="3230">
        <v>3730</v>
      </c>
      <c r="E350" s="3230">
        <v>4100</v>
      </c>
      <c r="F350" s="3230">
        <v>800</v>
      </c>
      <c r="G350" s="3230">
        <v>2230</v>
      </c>
      <c r="J350" s="3219"/>
    </row>
    <row r="351" spans="1:10">
      <c r="A351" s="3230" t="s">
        <v>307</v>
      </c>
      <c r="B351" s="3230" t="s">
        <v>2945</v>
      </c>
      <c r="C351" s="3230">
        <v>3610</v>
      </c>
      <c r="D351" s="3230">
        <v>3580</v>
      </c>
      <c r="E351" s="3230">
        <v>3930</v>
      </c>
      <c r="F351" s="3230">
        <v>700</v>
      </c>
      <c r="G351" s="3230">
        <v>2140</v>
      </c>
      <c r="J351" s="3219"/>
    </row>
    <row r="352" spans="1:10">
      <c r="A352" s="3230" t="s">
        <v>307</v>
      </c>
      <c r="B352" s="3230" t="s">
        <v>2950</v>
      </c>
      <c r="C352" s="3230">
        <v>3670</v>
      </c>
      <c r="D352" s="3230">
        <v>3630</v>
      </c>
      <c r="E352" s="3230">
        <v>4000</v>
      </c>
      <c r="F352" s="3230">
        <v>750</v>
      </c>
      <c r="G352" s="3230">
        <v>2180</v>
      </c>
    </row>
    <row r="353" spans="1:7" s="3223" customFormat="1">
      <c r="A353" s="3230" t="s">
        <v>307</v>
      </c>
      <c r="B353" s="3230" t="s">
        <v>3162</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2970</v>
      </c>
      <c r="C355" s="3230">
        <v>3650</v>
      </c>
      <c r="D355" s="3230">
        <v>3610</v>
      </c>
      <c r="E355" s="3230">
        <v>4200</v>
      </c>
      <c r="F355" s="3230">
        <v>640</v>
      </c>
      <c r="G355" s="3230">
        <v>2160</v>
      </c>
    </row>
    <row r="356" spans="1:7" s="3223" customFormat="1">
      <c r="A356" s="3230" t="s">
        <v>307</v>
      </c>
      <c r="B356" s="3230" t="s">
        <v>2977</v>
      </c>
      <c r="C356" s="3230">
        <v>3260</v>
      </c>
      <c r="D356" s="3230">
        <v>3230</v>
      </c>
      <c r="E356" s="3230">
        <v>3740</v>
      </c>
      <c r="F356" s="3230">
        <v>600</v>
      </c>
      <c r="G356" s="3230">
        <v>1930</v>
      </c>
    </row>
    <row r="357" spans="1:7" s="3223" customFormat="1" ht="11.4" thickBot="1">
      <c r="A357" s="3238" t="s">
        <v>307</v>
      </c>
      <c r="B357" s="3241" t="s">
        <v>3163</v>
      </c>
      <c r="C357" s="3241">
        <v>3690</v>
      </c>
      <c r="D357" s="3241">
        <v>3650</v>
      </c>
      <c r="E357" s="3241">
        <v>4020</v>
      </c>
      <c r="F357" s="3241">
        <v>700</v>
      </c>
      <c r="G357" s="3241">
        <v>2190</v>
      </c>
    </row>
    <row r="358" spans="1:7" s="3223" customFormat="1">
      <c r="A358" s="3235" t="s">
        <v>3164</v>
      </c>
      <c r="B358" s="3226" t="s">
        <v>3165</v>
      </c>
      <c r="C358" s="3226">
        <v>2080</v>
      </c>
      <c r="D358" s="3226">
        <v>2040</v>
      </c>
      <c r="E358" s="3226">
        <v>2010</v>
      </c>
      <c r="F358" s="3226">
        <v>530</v>
      </c>
      <c r="G358" s="3242">
        <v>1230</v>
      </c>
    </row>
    <row r="359" spans="1:7" s="3223" customFormat="1">
      <c r="A359" s="3230" t="s">
        <v>3164</v>
      </c>
      <c r="B359" s="3230" t="s">
        <v>3166</v>
      </c>
      <c r="C359" s="3230">
        <v>1850</v>
      </c>
      <c r="D359" s="3230">
        <v>1820</v>
      </c>
      <c r="E359" s="3230">
        <v>1780</v>
      </c>
      <c r="F359" s="3230">
        <v>520</v>
      </c>
      <c r="G359" s="3243">
        <v>1100</v>
      </c>
    </row>
    <row r="360" spans="1:7" s="3223" customFormat="1">
      <c r="A360" s="3230" t="s">
        <v>3164</v>
      </c>
      <c r="B360" s="3230" t="s">
        <v>3167</v>
      </c>
      <c r="C360" s="3230">
        <v>2020</v>
      </c>
      <c r="D360" s="3230">
        <v>1990</v>
      </c>
      <c r="E360" s="3230">
        <v>1950</v>
      </c>
      <c r="F360" s="3230">
        <v>500</v>
      </c>
      <c r="G360" s="3243">
        <v>1200</v>
      </c>
    </row>
    <row r="361" spans="1:7" s="3223" customFormat="1">
      <c r="A361" s="3230" t="s">
        <v>3164</v>
      </c>
      <c r="B361" s="3230" t="s">
        <v>153</v>
      </c>
      <c r="C361" s="3230">
        <v>2260</v>
      </c>
      <c r="D361" s="3230">
        <v>2220</v>
      </c>
      <c r="E361" s="3230">
        <v>2180</v>
      </c>
      <c r="F361" s="3230">
        <v>580</v>
      </c>
      <c r="G361" s="3243">
        <v>1340</v>
      </c>
    </row>
    <row r="362" spans="1:7" s="3223" customFormat="1">
      <c r="A362" s="3230" t="s">
        <v>3164</v>
      </c>
      <c r="B362" s="3230" t="s">
        <v>3168</v>
      </c>
      <c r="C362" s="3230">
        <v>2650</v>
      </c>
      <c r="D362" s="3230">
        <v>2610</v>
      </c>
      <c r="E362" s="3230">
        <v>2570</v>
      </c>
      <c r="F362" s="3230">
        <v>630</v>
      </c>
      <c r="G362" s="3243">
        <v>1570</v>
      </c>
    </row>
    <row r="363" spans="1:7" s="3223" customFormat="1">
      <c r="A363" s="3230" t="s">
        <v>3164</v>
      </c>
      <c r="B363" s="3230" t="s">
        <v>2889</v>
      </c>
      <c r="C363" s="3230">
        <v>2390</v>
      </c>
      <c r="D363" s="3230">
        <v>2360</v>
      </c>
      <c r="E363" s="3230">
        <v>2320</v>
      </c>
      <c r="F363" s="3230">
        <v>600</v>
      </c>
      <c r="G363" s="3243">
        <v>1420</v>
      </c>
    </row>
    <row r="364" spans="1:7" s="3223" customFormat="1">
      <c r="A364" s="3230" t="s">
        <v>3164</v>
      </c>
      <c r="B364" s="3230" t="s">
        <v>3169</v>
      </c>
      <c r="C364" s="3230">
        <v>2050</v>
      </c>
      <c r="D364" s="3230">
        <v>2030</v>
      </c>
      <c r="E364" s="3230">
        <v>1990</v>
      </c>
      <c r="F364" s="3230">
        <v>550</v>
      </c>
      <c r="G364" s="3243">
        <v>1220</v>
      </c>
    </row>
    <row r="365" spans="1:7" s="3223" customFormat="1">
      <c r="A365" s="3230" t="s">
        <v>3164</v>
      </c>
      <c r="B365" s="3230" t="s">
        <v>200</v>
      </c>
      <c r="C365" s="3230">
        <v>2140</v>
      </c>
      <c r="D365" s="3230">
        <v>2100</v>
      </c>
      <c r="E365" s="3230">
        <v>2060</v>
      </c>
      <c r="F365" s="3230">
        <v>540</v>
      </c>
      <c r="G365" s="3243">
        <v>1270</v>
      </c>
    </row>
    <row r="366" spans="1:7" s="3223" customFormat="1">
      <c r="A366" s="3230" t="s">
        <v>3164</v>
      </c>
      <c r="B366" s="3230" t="s">
        <v>2896</v>
      </c>
      <c r="C366" s="3230">
        <v>2410</v>
      </c>
      <c r="D366" s="3230">
        <v>2370</v>
      </c>
      <c r="E366" s="3230">
        <v>2330</v>
      </c>
      <c r="F366" s="3230">
        <v>570</v>
      </c>
      <c r="G366" s="3243">
        <v>1440</v>
      </c>
    </row>
    <row r="367" spans="1:7" s="3223" customFormat="1">
      <c r="A367" s="3230" t="s">
        <v>3164</v>
      </c>
      <c r="B367" s="3230" t="s">
        <v>3170</v>
      </c>
      <c r="C367" s="3230">
        <v>2300</v>
      </c>
      <c r="D367" s="3230">
        <v>2260</v>
      </c>
      <c r="E367" s="3230">
        <v>2220</v>
      </c>
      <c r="F367" s="3230">
        <v>560</v>
      </c>
      <c r="G367" s="3243">
        <v>1370</v>
      </c>
    </row>
    <row r="368" spans="1:7" s="3223" customFormat="1">
      <c r="A368" s="3230" t="s">
        <v>3164</v>
      </c>
      <c r="B368" s="3230" t="s">
        <v>3171</v>
      </c>
      <c r="C368" s="3230">
        <v>2430</v>
      </c>
      <c r="D368" s="3230">
        <v>2390</v>
      </c>
      <c r="E368" s="3230">
        <v>2350</v>
      </c>
      <c r="F368" s="3230">
        <v>570</v>
      </c>
      <c r="G368" s="3243">
        <v>1450</v>
      </c>
    </row>
    <row r="369" spans="1:7" s="3223" customFormat="1">
      <c r="A369" s="3230" t="s">
        <v>3164</v>
      </c>
      <c r="B369" s="3230" t="s">
        <v>214</v>
      </c>
      <c r="C369" s="3230">
        <v>2320</v>
      </c>
      <c r="D369" s="3230">
        <v>2290</v>
      </c>
      <c r="E369" s="3230">
        <v>2250</v>
      </c>
      <c r="F369" s="3230">
        <v>550</v>
      </c>
      <c r="G369" s="3243">
        <v>1380</v>
      </c>
    </row>
    <row r="370" spans="1:7" s="3223" customFormat="1">
      <c r="A370" s="3230" t="s">
        <v>3164</v>
      </c>
      <c r="B370" s="3230" t="s">
        <v>221</v>
      </c>
      <c r="C370" s="3230">
        <v>2190</v>
      </c>
      <c r="D370" s="3230">
        <v>2170</v>
      </c>
      <c r="E370" s="3230">
        <v>2130</v>
      </c>
      <c r="F370" s="3230">
        <v>530</v>
      </c>
      <c r="G370" s="3243">
        <v>1310</v>
      </c>
    </row>
    <row r="371" spans="1:7" s="3223" customFormat="1">
      <c r="A371" s="3230" t="s">
        <v>3164</v>
      </c>
      <c r="B371" s="3230" t="s">
        <v>229</v>
      </c>
      <c r="C371" s="3230">
        <v>2460</v>
      </c>
      <c r="D371" s="3230">
        <v>2420</v>
      </c>
      <c r="E371" s="3230">
        <v>2370</v>
      </c>
      <c r="F371" s="3230">
        <v>560</v>
      </c>
      <c r="G371" s="3243">
        <v>1470</v>
      </c>
    </row>
    <row r="372" spans="1:7" s="3223" customFormat="1">
      <c r="A372" s="3230" t="s">
        <v>3164</v>
      </c>
      <c r="B372" s="3230" t="s">
        <v>3172</v>
      </c>
      <c r="C372" s="3230">
        <v>2250</v>
      </c>
      <c r="D372" s="3230">
        <v>2210</v>
      </c>
      <c r="E372" s="3230">
        <v>2180</v>
      </c>
      <c r="F372" s="3230">
        <v>550</v>
      </c>
      <c r="G372" s="3243">
        <v>1340</v>
      </c>
    </row>
    <row r="373" spans="1:7" s="3223" customFormat="1">
      <c r="A373" s="3230" t="s">
        <v>3164</v>
      </c>
      <c r="B373" s="3230" t="s">
        <v>258</v>
      </c>
      <c r="C373" s="3230">
        <v>2210</v>
      </c>
      <c r="D373" s="3230">
        <v>2190</v>
      </c>
      <c r="E373" s="3230">
        <v>2150</v>
      </c>
      <c r="F373" s="3230">
        <v>530</v>
      </c>
      <c r="G373" s="3243">
        <v>1320</v>
      </c>
    </row>
    <row r="374" spans="1:7" s="3223" customFormat="1">
      <c r="A374" s="3230" t="s">
        <v>3164</v>
      </c>
      <c r="B374" s="3230" t="s">
        <v>266</v>
      </c>
      <c r="C374" s="3230">
        <v>2320</v>
      </c>
      <c r="D374" s="3230">
        <v>2280</v>
      </c>
      <c r="E374" s="3230">
        <v>2230</v>
      </c>
      <c r="F374" s="3230">
        <v>580</v>
      </c>
      <c r="G374" s="3243">
        <v>1380</v>
      </c>
    </row>
    <row r="375" spans="1:7" s="3223" customFormat="1">
      <c r="A375" s="3230" t="s">
        <v>3164</v>
      </c>
      <c r="B375" s="3230" t="s">
        <v>3173</v>
      </c>
      <c r="C375" s="3230">
        <v>2090</v>
      </c>
      <c r="D375" s="3230">
        <v>2050</v>
      </c>
      <c r="E375" s="3230">
        <v>2020</v>
      </c>
      <c r="F375" s="3230">
        <v>520</v>
      </c>
      <c r="G375" s="3243">
        <v>1240</v>
      </c>
    </row>
    <row r="376" spans="1:7" s="3223" customFormat="1">
      <c r="A376" s="3230" t="s">
        <v>3164</v>
      </c>
      <c r="B376" s="3230" t="s">
        <v>277</v>
      </c>
      <c r="C376" s="3230">
        <v>2010</v>
      </c>
      <c r="D376" s="3230">
        <v>1980</v>
      </c>
      <c r="E376" s="3230">
        <v>1940</v>
      </c>
      <c r="F376" s="3230">
        <v>540</v>
      </c>
      <c r="G376" s="3243">
        <v>1190</v>
      </c>
    </row>
    <row r="377" spans="1:7" s="3223" customFormat="1" ht="11.4" thickBot="1">
      <c r="A377" s="3238" t="s">
        <v>3164</v>
      </c>
      <c r="B377" s="3241" t="s">
        <v>2926</v>
      </c>
      <c r="C377" s="3241">
        <v>1930</v>
      </c>
      <c r="D377" s="3241">
        <v>1890</v>
      </c>
      <c r="E377" s="3241">
        <v>1860</v>
      </c>
      <c r="F377" s="3241">
        <v>530</v>
      </c>
      <c r="G377" s="3246">
        <v>1150</v>
      </c>
    </row>
    <row r="378" spans="1:7" s="3223" customFormat="1">
      <c r="A378" s="3247" t="s">
        <v>3174</v>
      </c>
      <c r="B378" s="3226" t="s">
        <v>3175</v>
      </c>
      <c r="C378" s="3226">
        <v>1520</v>
      </c>
      <c r="D378" s="3226">
        <v>1490</v>
      </c>
      <c r="E378" s="3226">
        <v>1460</v>
      </c>
      <c r="F378" s="3226">
        <v>460</v>
      </c>
      <c r="G378" s="3242">
        <v>940</v>
      </c>
    </row>
    <row r="379" spans="1:7" s="3223" customFormat="1">
      <c r="A379" s="3248" t="s">
        <v>3174</v>
      </c>
      <c r="B379" s="3230" t="s">
        <v>3176</v>
      </c>
      <c r="C379" s="3230">
        <v>1500</v>
      </c>
      <c r="D379" s="3230">
        <v>1470</v>
      </c>
      <c r="E379" s="3230">
        <v>1430</v>
      </c>
      <c r="F379" s="3230">
        <v>460</v>
      </c>
      <c r="G379" s="3243">
        <v>920</v>
      </c>
    </row>
    <row r="380" spans="1:7" s="3223" customFormat="1">
      <c r="A380" s="3248" t="s">
        <v>3174</v>
      </c>
      <c r="B380" s="3230" t="s">
        <v>3177</v>
      </c>
      <c r="C380" s="3230">
        <v>1620</v>
      </c>
      <c r="D380" s="3230">
        <v>1590</v>
      </c>
      <c r="E380" s="3230">
        <v>1560</v>
      </c>
      <c r="F380" s="3230">
        <v>480</v>
      </c>
      <c r="G380" s="3243">
        <v>1000</v>
      </c>
    </row>
    <row r="381" spans="1:7" s="3223" customFormat="1">
      <c r="A381" s="3248" t="s">
        <v>3174</v>
      </c>
      <c r="B381" s="3230" t="s">
        <v>3178</v>
      </c>
      <c r="C381" s="3230">
        <v>1460</v>
      </c>
      <c r="D381" s="3230">
        <v>1430</v>
      </c>
      <c r="E381" s="3230">
        <v>1390</v>
      </c>
      <c r="F381" s="3230">
        <v>450</v>
      </c>
      <c r="G381" s="3243">
        <v>900</v>
      </c>
    </row>
    <row r="382" spans="1:7" s="3223" customFormat="1">
      <c r="A382" s="3248" t="s">
        <v>3174</v>
      </c>
      <c r="B382" s="3230" t="s">
        <v>3179</v>
      </c>
      <c r="C382" s="3230">
        <v>1310</v>
      </c>
      <c r="D382" s="3230">
        <v>1280</v>
      </c>
      <c r="E382" s="3230">
        <v>1250</v>
      </c>
      <c r="F382" s="3230">
        <v>440</v>
      </c>
      <c r="G382" s="3243">
        <v>800</v>
      </c>
    </row>
    <row r="383" spans="1:7" s="3223" customFormat="1">
      <c r="A383" s="3248" t="s">
        <v>3174</v>
      </c>
      <c r="B383" s="3230" t="s">
        <v>3180</v>
      </c>
      <c r="C383" s="3230">
        <v>1260</v>
      </c>
      <c r="D383" s="3230">
        <v>1230</v>
      </c>
      <c r="E383" s="3230">
        <v>1200</v>
      </c>
      <c r="F383" s="3230">
        <v>420</v>
      </c>
      <c r="G383" s="3243">
        <v>770</v>
      </c>
    </row>
    <row r="384" spans="1:7" s="3223" customFormat="1" ht="11.4" thickBot="1">
      <c r="A384" s="3249" t="s">
        <v>3174</v>
      </c>
      <c r="B384" s="3237" t="s">
        <v>3181</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87" t="s">
        <v>3182</v>
      </c>
      <c r="B1" s="3887"/>
    </row>
    <row r="2" spans="1:7" ht="15" thickBot="1">
      <c r="A2" s="3252"/>
      <c r="B2" s="3252"/>
    </row>
    <row r="3" spans="1:7" ht="15" thickBot="1">
      <c r="A3" s="3252"/>
      <c r="B3" s="3252"/>
      <c r="C3" s="3253" t="s">
        <v>2812</v>
      </c>
      <c r="D3" s="3253" t="s">
        <v>2868</v>
      </c>
      <c r="E3" s="3253" t="s">
        <v>2814</v>
      </c>
      <c r="F3" s="3253" t="s">
        <v>2869</v>
      </c>
      <c r="G3" s="3253" t="s">
        <v>2632</v>
      </c>
    </row>
    <row r="4" spans="1:7" ht="15" thickBot="1">
      <c r="A4" s="3254" t="s">
        <v>2867</v>
      </c>
      <c r="B4" s="3255" t="s">
        <v>2873</v>
      </c>
      <c r="C4" s="3253"/>
      <c r="D4" s="3253"/>
      <c r="E4" s="3253"/>
      <c r="F4" s="3253"/>
      <c r="G4" s="3253"/>
    </row>
    <row r="5" spans="1:7">
      <c r="A5" s="3256" t="s">
        <v>2841</v>
      </c>
      <c r="B5" s="3257" t="s">
        <v>2855</v>
      </c>
      <c r="C5" s="3258">
        <v>9.8000000000000004E-2</v>
      </c>
      <c r="D5" s="3258">
        <v>8.6999999999999994E-2</v>
      </c>
      <c r="E5" s="3258">
        <v>8.6999999999999994E-2</v>
      </c>
      <c r="F5" s="3258">
        <v>9.8000000000000004E-2</v>
      </c>
      <c r="G5" s="3259">
        <v>9.5000000000000001E-2</v>
      </c>
    </row>
    <row r="6" spans="1:7">
      <c r="A6" s="3260" t="s">
        <v>144</v>
      </c>
      <c r="B6" s="3261" t="s">
        <v>2870</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2856</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2906</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2924</v>
      </c>
      <c r="C29" s="3270"/>
      <c r="D29" s="3266">
        <v>5.1999999999999998E-2</v>
      </c>
      <c r="E29" s="3266">
        <v>7.0000000000000007E-2</v>
      </c>
      <c r="F29" s="3270"/>
      <c r="G29" s="3268">
        <v>7.0999999999999994E-2</v>
      </c>
    </row>
    <row r="30" spans="1:7">
      <c r="A30" s="3271" t="s">
        <v>296</v>
      </c>
      <c r="B30" s="3257" t="s">
        <v>2857</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2843</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2927</v>
      </c>
      <c r="C50" s="3262">
        <v>9.8000000000000004E-2</v>
      </c>
      <c r="D50" s="3262">
        <v>7.2999999999999995E-2</v>
      </c>
      <c r="E50" s="3262">
        <v>7.0999999999999994E-2</v>
      </c>
      <c r="F50" s="3273"/>
      <c r="G50" s="3263">
        <v>7.2999999999999995E-2</v>
      </c>
    </row>
    <row r="51" spans="1:7">
      <c r="A51" s="3272" t="s">
        <v>296</v>
      </c>
      <c r="B51" s="3261" t="s">
        <v>2929</v>
      </c>
      <c r="C51" s="3262">
        <v>9.9000000000000005E-2</v>
      </c>
      <c r="D51" s="3262">
        <v>8.5000000000000006E-2</v>
      </c>
      <c r="E51" s="3262">
        <v>6.3E-2</v>
      </c>
      <c r="F51" s="3273"/>
      <c r="G51" s="3263">
        <v>9.6000000000000002E-2</v>
      </c>
    </row>
    <row r="52" spans="1:7">
      <c r="A52" s="3272" t="s">
        <v>296</v>
      </c>
      <c r="B52" s="3261" t="s">
        <v>2933</v>
      </c>
      <c r="C52" s="3262">
        <v>7.3999999999999996E-2</v>
      </c>
      <c r="D52" s="3262">
        <v>9.6000000000000002E-2</v>
      </c>
      <c r="E52" s="3262">
        <v>0.05</v>
      </c>
      <c r="F52" s="3273"/>
      <c r="G52" s="3263">
        <v>9.8000000000000004E-2</v>
      </c>
    </row>
    <row r="53" spans="1:7">
      <c r="A53" s="3272" t="s">
        <v>296</v>
      </c>
      <c r="B53" s="3261" t="s">
        <v>2938</v>
      </c>
      <c r="C53" s="3262">
        <v>8.5999999999999993E-2</v>
      </c>
      <c r="D53" s="3273"/>
      <c r="E53" s="3262">
        <v>9.1999999999999998E-2</v>
      </c>
      <c r="F53" s="3273"/>
      <c r="G53" s="3274"/>
    </row>
    <row r="54" spans="1:7" ht="15" thickBot="1">
      <c r="A54" s="3275" t="s">
        <v>296</v>
      </c>
      <c r="B54" s="3265" t="s">
        <v>2941</v>
      </c>
      <c r="C54" s="3266">
        <v>9.6000000000000002E-2</v>
      </c>
      <c r="D54" s="3267"/>
      <c r="E54" s="3276"/>
      <c r="F54" s="3267"/>
      <c r="G54" s="3277"/>
    </row>
    <row r="55" spans="1:7">
      <c r="A55" s="3271" t="s">
        <v>110</v>
      </c>
      <c r="B55" s="3257" t="s">
        <v>2858</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2939</v>
      </c>
      <c r="C78" s="3262">
        <v>0.1</v>
      </c>
      <c r="D78" s="3262">
        <v>8.5000000000000006E-2</v>
      </c>
      <c r="E78" s="3262">
        <v>9.6000000000000002E-2</v>
      </c>
      <c r="F78" s="3273"/>
      <c r="G78" s="3263">
        <v>9.6000000000000002E-2</v>
      </c>
    </row>
    <row r="79" spans="1:7">
      <c r="A79" s="3272" t="s">
        <v>110</v>
      </c>
      <c r="B79" s="3261" t="s">
        <v>2942</v>
      </c>
      <c r="C79" s="3262">
        <v>0.05</v>
      </c>
      <c r="D79" s="3262">
        <v>9.6000000000000002E-2</v>
      </c>
      <c r="E79" s="3262">
        <v>9.5000000000000001E-2</v>
      </c>
      <c r="F79" s="3273"/>
      <c r="G79" s="3263">
        <v>9.8000000000000004E-2</v>
      </c>
    </row>
    <row r="80" spans="1:7">
      <c r="A80" s="3272" t="s">
        <v>110</v>
      </c>
      <c r="B80" s="3261" t="s">
        <v>2946</v>
      </c>
      <c r="C80" s="3262">
        <v>8.5999999999999993E-2</v>
      </c>
      <c r="D80" s="3278"/>
      <c r="E80" s="3262">
        <v>0.1</v>
      </c>
      <c r="F80" s="3273"/>
      <c r="G80" s="3274"/>
    </row>
    <row r="81" spans="1:7">
      <c r="A81" s="3272" t="s">
        <v>110</v>
      </c>
      <c r="B81" s="3261" t="s">
        <v>2951</v>
      </c>
      <c r="C81" s="3262">
        <v>9.6000000000000002E-2</v>
      </c>
      <c r="D81" s="3273"/>
      <c r="E81" s="3262">
        <v>9.8000000000000004E-2</v>
      </c>
      <c r="F81" s="3273"/>
      <c r="G81" s="3274"/>
    </row>
    <row r="82" spans="1:7">
      <c r="A82" s="3272" t="s">
        <v>110</v>
      </c>
      <c r="B82" s="3261" t="s">
        <v>2958</v>
      </c>
      <c r="C82" s="3278"/>
      <c r="D82" s="3273"/>
      <c r="E82" s="3262">
        <v>7.6999999999999999E-2</v>
      </c>
      <c r="F82" s="3273"/>
      <c r="G82" s="3274"/>
    </row>
    <row r="83" spans="1:7">
      <c r="A83" s="3272" t="s">
        <v>110</v>
      </c>
      <c r="B83" s="3261" t="s">
        <v>2964</v>
      </c>
      <c r="C83" s="3273"/>
      <c r="D83" s="3273"/>
      <c r="E83" s="3273"/>
      <c r="F83" s="3262">
        <v>0.1</v>
      </c>
      <c r="G83" s="3279"/>
    </row>
    <row r="84" spans="1:7">
      <c r="A84" s="3272" t="s">
        <v>110</v>
      </c>
      <c r="B84" s="3261" t="s">
        <v>2971</v>
      </c>
      <c r="C84" s="3273"/>
      <c r="D84" s="3273"/>
      <c r="E84" s="3273"/>
      <c r="F84" s="3262">
        <v>0.1</v>
      </c>
      <c r="G84" s="3279"/>
    </row>
    <row r="85" spans="1:7">
      <c r="A85" s="3272" t="s">
        <v>110</v>
      </c>
      <c r="B85" s="3261" t="s">
        <v>2978</v>
      </c>
      <c r="C85" s="3273"/>
      <c r="D85" s="3273"/>
      <c r="E85" s="3273"/>
      <c r="F85" s="3262">
        <v>0.1</v>
      </c>
      <c r="G85" s="3279"/>
    </row>
    <row r="86" spans="1:7" ht="15" thickBot="1">
      <c r="A86" s="3275" t="s">
        <v>110</v>
      </c>
      <c r="B86" s="3265" t="s">
        <v>2983</v>
      </c>
      <c r="C86" s="3266">
        <v>9.8000000000000004E-2</v>
      </c>
      <c r="D86" s="3266">
        <v>9.8000000000000004E-2</v>
      </c>
      <c r="E86" s="3266">
        <v>9.6000000000000002E-2</v>
      </c>
      <c r="F86" s="3276"/>
      <c r="G86" s="3268">
        <v>0.1</v>
      </c>
    </row>
    <row r="87" spans="1:7">
      <c r="A87" s="3271" t="s">
        <v>303</v>
      </c>
      <c r="B87" s="3257" t="s">
        <v>2859</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2952</v>
      </c>
      <c r="C113" s="3262">
        <v>0.1</v>
      </c>
      <c r="D113" s="3262">
        <v>0.1</v>
      </c>
      <c r="E113" s="3273"/>
      <c r="F113" s="3273"/>
      <c r="G113" s="3263">
        <v>0.1</v>
      </c>
    </row>
    <row r="114" spans="1:7">
      <c r="A114" s="3272" t="s">
        <v>303</v>
      </c>
      <c r="B114" s="3261" t="s">
        <v>2959</v>
      </c>
      <c r="C114" s="3262">
        <v>9.7000000000000003E-2</v>
      </c>
      <c r="D114" s="3262">
        <v>9.7000000000000003E-2</v>
      </c>
      <c r="E114" s="3273"/>
      <c r="F114" s="3273"/>
      <c r="G114" s="3263">
        <v>9.9000000000000005E-2</v>
      </c>
    </row>
    <row r="115" spans="1:7">
      <c r="A115" s="3272" t="s">
        <v>303</v>
      </c>
      <c r="B115" s="3261" t="s">
        <v>2965</v>
      </c>
      <c r="C115" s="3262">
        <v>0.1</v>
      </c>
      <c r="D115" s="3262">
        <v>0.1</v>
      </c>
      <c r="E115" s="3273"/>
      <c r="F115" s="3273"/>
      <c r="G115" s="3263">
        <v>0.1</v>
      </c>
    </row>
    <row r="116" spans="1:7">
      <c r="A116" s="3272" t="s">
        <v>303</v>
      </c>
      <c r="B116" s="3261" t="s">
        <v>2972</v>
      </c>
      <c r="C116" s="3262">
        <v>0.1</v>
      </c>
      <c r="D116" s="3262">
        <v>0.1</v>
      </c>
      <c r="E116" s="3273"/>
      <c r="F116" s="3273"/>
      <c r="G116" s="3263">
        <v>0.1</v>
      </c>
    </row>
    <row r="117" spans="1:7">
      <c r="A117" s="3272" t="s">
        <v>303</v>
      </c>
      <c r="B117" s="3261" t="s">
        <v>2979</v>
      </c>
      <c r="C117" s="3262">
        <v>9.7000000000000003E-2</v>
      </c>
      <c r="D117" s="3262">
        <v>9.7000000000000003E-2</v>
      </c>
      <c r="E117" s="3273"/>
      <c r="F117" s="3273"/>
      <c r="G117" s="3263">
        <v>9.7000000000000003E-2</v>
      </c>
    </row>
    <row r="118" spans="1:7">
      <c r="A118" s="3272" t="s">
        <v>303</v>
      </c>
      <c r="B118" s="3261" t="s">
        <v>2984</v>
      </c>
      <c r="C118" s="3262">
        <v>0.1</v>
      </c>
      <c r="D118" s="3262">
        <v>0.1</v>
      </c>
      <c r="E118" s="3273"/>
      <c r="F118" s="3273"/>
      <c r="G118" s="3263">
        <v>0.1</v>
      </c>
    </row>
    <row r="119" spans="1:7">
      <c r="A119" s="3272" t="s">
        <v>303</v>
      </c>
      <c r="B119" s="3261" t="s">
        <v>2988</v>
      </c>
      <c r="C119" s="3262">
        <v>5.0999999999999997E-2</v>
      </c>
      <c r="D119" s="3262">
        <v>5.1999999999999998E-2</v>
      </c>
      <c r="E119" s="3273"/>
      <c r="F119" s="3278"/>
      <c r="G119" s="3263">
        <v>0.06</v>
      </c>
    </row>
    <row r="120" spans="1:7">
      <c r="A120" s="3272" t="s">
        <v>303</v>
      </c>
      <c r="B120" s="3261" t="s">
        <v>2992</v>
      </c>
      <c r="C120" s="3273"/>
      <c r="D120" s="3273"/>
      <c r="E120" s="3273"/>
      <c r="F120" s="3262">
        <v>0.1</v>
      </c>
      <c r="G120" s="3279"/>
    </row>
    <row r="121" spans="1:7">
      <c r="A121" s="3272" t="s">
        <v>303</v>
      </c>
      <c r="B121" s="3261" t="s">
        <v>2997</v>
      </c>
      <c r="C121" s="3273"/>
      <c r="D121" s="3273"/>
      <c r="E121" s="3273"/>
      <c r="F121" s="3262">
        <v>0.1</v>
      </c>
      <c r="G121" s="3279"/>
    </row>
    <row r="122" spans="1:7">
      <c r="A122" s="3272" t="s">
        <v>303</v>
      </c>
      <c r="B122" s="3261" t="s">
        <v>3002</v>
      </c>
      <c r="C122" s="3262">
        <v>0.1</v>
      </c>
      <c r="D122" s="3262">
        <v>0.1</v>
      </c>
      <c r="E122" s="3262">
        <v>9.8000000000000004E-2</v>
      </c>
      <c r="F122" s="3262">
        <v>0.1</v>
      </c>
      <c r="G122" s="3263">
        <v>0.1</v>
      </c>
    </row>
    <row r="123" spans="1:7">
      <c r="A123" s="3272" t="s">
        <v>303</v>
      </c>
      <c r="B123" s="3261" t="s">
        <v>3007</v>
      </c>
      <c r="C123" s="3262">
        <v>0.1</v>
      </c>
      <c r="D123" s="3262">
        <v>0.1</v>
      </c>
      <c r="E123" s="3262">
        <v>9.8000000000000004E-2</v>
      </c>
      <c r="F123" s="3262">
        <v>0.1</v>
      </c>
      <c r="G123" s="3263">
        <v>0.1</v>
      </c>
    </row>
    <row r="124" spans="1:7">
      <c r="A124" s="3272" t="s">
        <v>303</v>
      </c>
      <c r="B124" s="3261" t="s">
        <v>3012</v>
      </c>
      <c r="C124" s="3262">
        <v>0.1</v>
      </c>
      <c r="D124" s="3262">
        <v>0.1</v>
      </c>
      <c r="E124" s="3262">
        <v>9.8000000000000004E-2</v>
      </c>
      <c r="F124" s="3278"/>
      <c r="G124" s="3263">
        <v>0.1</v>
      </c>
    </row>
    <row r="125" spans="1:7">
      <c r="A125" s="3272" t="s">
        <v>303</v>
      </c>
      <c r="B125" s="3261" t="s">
        <v>3017</v>
      </c>
      <c r="C125" s="3262">
        <v>9.8000000000000004E-2</v>
      </c>
      <c r="D125" s="3262">
        <v>9.8000000000000004E-2</v>
      </c>
      <c r="E125" s="3262">
        <v>9.6000000000000002E-2</v>
      </c>
      <c r="F125" s="3278"/>
      <c r="G125" s="3263">
        <v>0.1</v>
      </c>
    </row>
    <row r="126" spans="1:7" ht="15" thickBot="1">
      <c r="A126" s="3275" t="s">
        <v>303</v>
      </c>
      <c r="B126" s="3265" t="s">
        <v>3183</v>
      </c>
      <c r="C126" s="3266">
        <v>0.1</v>
      </c>
      <c r="D126" s="3266">
        <v>0.1</v>
      </c>
      <c r="E126" s="3266">
        <v>9.8000000000000004E-2</v>
      </c>
      <c r="F126" s="3266">
        <v>0.1</v>
      </c>
      <c r="G126" s="3268">
        <v>0.1</v>
      </c>
    </row>
    <row r="127" spans="1:7">
      <c r="A127" s="3271" t="s">
        <v>29</v>
      </c>
      <c r="B127" s="3257" t="s">
        <v>2860</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2930</v>
      </c>
      <c r="C148" s="3262">
        <v>0.13</v>
      </c>
      <c r="D148" s="3262">
        <v>0.13</v>
      </c>
      <c r="E148" s="3262">
        <v>0.13</v>
      </c>
      <c r="F148" s="3273"/>
      <c r="G148" s="3263">
        <v>0.13</v>
      </c>
    </row>
    <row r="149" spans="1:7">
      <c r="A149" s="3272" t="s">
        <v>29</v>
      </c>
      <c r="B149" s="3261" t="s">
        <v>2934</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2953</v>
      </c>
      <c r="C153" s="3262">
        <v>0.13</v>
      </c>
      <c r="D153" s="3262">
        <v>0.13</v>
      </c>
      <c r="E153" s="3262">
        <v>0.13</v>
      </c>
      <c r="F153" s="3262">
        <v>0.13</v>
      </c>
      <c r="G153" s="3263">
        <v>0.13</v>
      </c>
    </row>
    <row r="154" spans="1:7">
      <c r="A154" s="3272" t="s">
        <v>29</v>
      </c>
      <c r="B154" s="3261" t="s">
        <v>2960</v>
      </c>
      <c r="C154" s="3262">
        <v>0.121</v>
      </c>
      <c r="D154" s="3262">
        <v>0.121</v>
      </c>
      <c r="E154" s="3262">
        <v>0.105</v>
      </c>
      <c r="F154" s="3262">
        <v>0.121</v>
      </c>
      <c r="G154" s="3263">
        <v>0.123</v>
      </c>
    </row>
    <row r="155" spans="1:7">
      <c r="A155" s="3272" t="s">
        <v>29</v>
      </c>
      <c r="B155" s="3261" t="s">
        <v>2966</v>
      </c>
      <c r="C155" s="3262">
        <v>0.1</v>
      </c>
      <c r="D155" s="3262">
        <v>0.1</v>
      </c>
      <c r="E155" s="3262">
        <v>0.1</v>
      </c>
      <c r="F155" s="3262">
        <v>0.1</v>
      </c>
      <c r="G155" s="3263">
        <v>0.1</v>
      </c>
    </row>
    <row r="156" spans="1:7">
      <c r="A156" s="3272" t="s">
        <v>29</v>
      </c>
      <c r="B156" s="3261" t="s">
        <v>2973</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2993</v>
      </c>
      <c r="C160" s="3262">
        <v>0.13</v>
      </c>
      <c r="D160" s="3262">
        <v>0.13</v>
      </c>
      <c r="E160" s="3262">
        <v>0.124</v>
      </c>
      <c r="F160" s="3262">
        <v>0.126</v>
      </c>
      <c r="G160" s="3263">
        <v>0.13</v>
      </c>
    </row>
    <row r="161" spans="1:7">
      <c r="A161" s="3272" t="s">
        <v>29</v>
      </c>
      <c r="B161" s="3261" t="s">
        <v>2998</v>
      </c>
      <c r="C161" s="3262">
        <v>0.13</v>
      </c>
      <c r="D161" s="3262">
        <v>0.13</v>
      </c>
      <c r="E161" s="3262">
        <v>0.124</v>
      </c>
      <c r="F161" s="3262">
        <v>0.127</v>
      </c>
      <c r="G161" s="3263">
        <v>0.13</v>
      </c>
    </row>
    <row r="162" spans="1:7">
      <c r="A162" s="3272" t="s">
        <v>29</v>
      </c>
      <c r="B162" s="3261" t="s">
        <v>3003</v>
      </c>
      <c r="C162" s="3262">
        <v>0.1</v>
      </c>
      <c r="D162" s="3262">
        <v>0.1</v>
      </c>
      <c r="E162" s="3262">
        <v>0.1</v>
      </c>
      <c r="F162" s="3262">
        <v>0.121</v>
      </c>
      <c r="G162" s="3263">
        <v>0.105</v>
      </c>
    </row>
    <row r="163" spans="1:7">
      <c r="A163" s="3272" t="s">
        <v>29</v>
      </c>
      <c r="B163" s="3261" t="s">
        <v>3008</v>
      </c>
      <c r="C163" s="3262">
        <v>0.1</v>
      </c>
      <c r="D163" s="3262">
        <v>0.1</v>
      </c>
      <c r="E163" s="3262">
        <v>0.1</v>
      </c>
      <c r="F163" s="3262">
        <v>0.1</v>
      </c>
      <c r="G163" s="3263">
        <v>0.1</v>
      </c>
    </row>
    <row r="164" spans="1:7">
      <c r="A164" s="3272" t="s">
        <v>29</v>
      </c>
      <c r="B164" s="3261" t="s">
        <v>3013</v>
      </c>
      <c r="C164" s="3278"/>
      <c r="D164" s="3278"/>
      <c r="E164" s="3278"/>
      <c r="F164" s="3262">
        <v>0.1</v>
      </c>
      <c r="G164" s="3274"/>
    </row>
    <row r="165" spans="1:7">
      <c r="A165" s="3272" t="s">
        <v>29</v>
      </c>
      <c r="B165" s="3261" t="s">
        <v>3184</v>
      </c>
      <c r="C165" s="3262">
        <v>0.126</v>
      </c>
      <c r="D165" s="3262">
        <v>0.126</v>
      </c>
      <c r="E165" s="3262">
        <v>0.11899999999999999</v>
      </c>
      <c r="F165" s="3262">
        <v>0.13</v>
      </c>
      <c r="G165" s="3263">
        <v>0.128</v>
      </c>
    </row>
    <row r="166" spans="1:7">
      <c r="A166" s="3272" t="s">
        <v>29</v>
      </c>
      <c r="B166" s="3261" t="s">
        <v>3023</v>
      </c>
      <c r="C166" s="3262">
        <v>0.129</v>
      </c>
      <c r="D166" s="3262">
        <v>0.129</v>
      </c>
      <c r="E166" s="3262">
        <v>0.123</v>
      </c>
      <c r="F166" s="3262">
        <v>0.128</v>
      </c>
      <c r="G166" s="3263">
        <v>0.13</v>
      </c>
    </row>
    <row r="167" spans="1:7">
      <c r="A167" s="3272" t="s">
        <v>29</v>
      </c>
      <c r="B167" s="3261" t="s">
        <v>3027</v>
      </c>
      <c r="C167" s="3262">
        <v>0.125</v>
      </c>
      <c r="D167" s="3262">
        <v>0.125</v>
      </c>
      <c r="E167" s="3262">
        <v>0.11700000000000001</v>
      </c>
      <c r="F167" s="3262">
        <v>0.13</v>
      </c>
      <c r="G167" s="3263">
        <v>0.126</v>
      </c>
    </row>
    <row r="168" spans="1:7">
      <c r="A168" s="3272" t="s">
        <v>29</v>
      </c>
      <c r="B168" s="3261" t="s">
        <v>3032</v>
      </c>
      <c r="C168" s="3262">
        <v>0.128</v>
      </c>
      <c r="D168" s="3262">
        <v>0.128</v>
      </c>
      <c r="E168" s="3262">
        <v>0.123</v>
      </c>
      <c r="F168" s="3273"/>
      <c r="G168" s="3263">
        <v>0.13</v>
      </c>
    </row>
    <row r="169" spans="1:7">
      <c r="A169" s="3272" t="s">
        <v>29</v>
      </c>
      <c r="B169" s="3261" t="s">
        <v>3185</v>
      </c>
      <c r="C169" s="3278"/>
      <c r="D169" s="3278"/>
      <c r="E169" s="3278"/>
      <c r="F169" s="3262">
        <v>0.05</v>
      </c>
      <c r="G169" s="3274"/>
    </row>
    <row r="170" spans="1:7">
      <c r="A170" s="3272" t="s">
        <v>29</v>
      </c>
      <c r="B170" s="3261" t="s">
        <v>3186</v>
      </c>
      <c r="C170" s="3278"/>
      <c r="D170" s="3278"/>
      <c r="E170" s="3278"/>
      <c r="F170" s="3262">
        <v>0.05</v>
      </c>
      <c r="G170" s="3274"/>
    </row>
    <row r="171" spans="1:7">
      <c r="A171" s="3272" t="s">
        <v>29</v>
      </c>
      <c r="B171" s="3261" t="s">
        <v>3187</v>
      </c>
      <c r="C171" s="3278"/>
      <c r="D171" s="3278"/>
      <c r="E171" s="3278"/>
      <c r="F171" s="3262">
        <v>0.05</v>
      </c>
      <c r="G171" s="3279"/>
    </row>
    <row r="172" spans="1:7">
      <c r="A172" s="3272" t="s">
        <v>29</v>
      </c>
      <c r="B172" s="3261" t="s">
        <v>3188</v>
      </c>
      <c r="C172" s="3278"/>
      <c r="D172" s="3278"/>
      <c r="E172" s="3278"/>
      <c r="F172" s="3262">
        <v>0.05</v>
      </c>
      <c r="G172" s="3279"/>
    </row>
    <row r="173" spans="1:7">
      <c r="A173" s="3272" t="s">
        <v>29</v>
      </c>
      <c r="B173" s="3261" t="s">
        <v>3189</v>
      </c>
      <c r="C173" s="3278"/>
      <c r="D173" s="3278"/>
      <c r="E173" s="3278"/>
      <c r="F173" s="3262">
        <v>0.05</v>
      </c>
      <c r="G173" s="3274"/>
    </row>
    <row r="174" spans="1:7">
      <c r="A174" s="3272" t="s">
        <v>29</v>
      </c>
      <c r="B174" s="3261" t="s">
        <v>3190</v>
      </c>
      <c r="C174" s="3278"/>
      <c r="D174" s="3278"/>
      <c r="E174" s="3278"/>
      <c r="F174" s="3262">
        <v>0.05</v>
      </c>
      <c r="G174" s="3274"/>
    </row>
    <row r="175" spans="1:7">
      <c r="A175" s="3272" t="s">
        <v>29</v>
      </c>
      <c r="B175" s="3261" t="s">
        <v>3191</v>
      </c>
      <c r="C175" s="3278"/>
      <c r="D175" s="3278"/>
      <c r="E175" s="3278"/>
      <c r="F175" s="3262">
        <v>0.05</v>
      </c>
      <c r="G175" s="3274"/>
    </row>
    <row r="176" spans="1:7">
      <c r="A176" s="3272" t="s">
        <v>29</v>
      </c>
      <c r="B176" s="3261" t="s">
        <v>3192</v>
      </c>
      <c r="C176" s="3278"/>
      <c r="D176" s="3278"/>
      <c r="E176" s="3278"/>
      <c r="F176" s="3262">
        <v>0.05</v>
      </c>
      <c r="G176" s="3274"/>
    </row>
    <row r="177" spans="1:7">
      <c r="A177" s="3272" t="s">
        <v>29</v>
      </c>
      <c r="B177" s="3261" t="s">
        <v>3193</v>
      </c>
      <c r="C177" s="3273"/>
      <c r="D177" s="3273"/>
      <c r="E177" s="3273"/>
      <c r="F177" s="3262">
        <v>0.05</v>
      </c>
      <c r="G177" s="3279"/>
    </row>
    <row r="178" spans="1:7">
      <c r="A178" s="3272" t="s">
        <v>29</v>
      </c>
      <c r="B178" s="3261" t="s">
        <v>3194</v>
      </c>
      <c r="C178" s="3273"/>
      <c r="D178" s="3273"/>
      <c r="E178" s="3273"/>
      <c r="F178" s="3262">
        <v>0.05</v>
      </c>
      <c r="G178" s="3279"/>
    </row>
    <row r="179" spans="1:7">
      <c r="A179" s="3272" t="s">
        <v>29</v>
      </c>
      <c r="B179" s="3261" t="s">
        <v>3195</v>
      </c>
      <c r="C179" s="3273"/>
      <c r="D179" s="3273"/>
      <c r="E179" s="3273"/>
      <c r="F179" s="3262">
        <v>0.05</v>
      </c>
      <c r="G179" s="3279"/>
    </row>
    <row r="180" spans="1:7">
      <c r="A180" s="3272" t="s">
        <v>29</v>
      </c>
      <c r="B180" s="3261" t="s">
        <v>3196</v>
      </c>
      <c r="C180" s="3273"/>
      <c r="D180" s="3273"/>
      <c r="E180" s="3273"/>
      <c r="F180" s="3262">
        <v>0.05</v>
      </c>
      <c r="G180" s="3279"/>
    </row>
    <row r="181" spans="1:7">
      <c r="A181" s="3272" t="s">
        <v>29</v>
      </c>
      <c r="B181" s="3261" t="s">
        <v>3197</v>
      </c>
      <c r="C181" s="3273"/>
      <c r="D181" s="3273"/>
      <c r="E181" s="3273"/>
      <c r="F181" s="3262">
        <v>0.05</v>
      </c>
      <c r="G181" s="3279"/>
    </row>
    <row r="182" spans="1:7">
      <c r="A182" s="3272" t="s">
        <v>29</v>
      </c>
      <c r="B182" s="3261" t="s">
        <v>3198</v>
      </c>
      <c r="C182" s="3273"/>
      <c r="D182" s="3273"/>
      <c r="E182" s="3273"/>
      <c r="F182" s="3262">
        <v>0.05</v>
      </c>
      <c r="G182" s="3279"/>
    </row>
    <row r="183" spans="1:7">
      <c r="A183" s="3272" t="s">
        <v>29</v>
      </c>
      <c r="B183" s="3261" t="s">
        <v>3199</v>
      </c>
      <c r="C183" s="3273"/>
      <c r="D183" s="3273"/>
      <c r="E183" s="3273"/>
      <c r="F183" s="3262">
        <v>0.05</v>
      </c>
      <c r="G183" s="3279"/>
    </row>
    <row r="184" spans="1:7">
      <c r="A184" s="3272" t="s">
        <v>29</v>
      </c>
      <c r="B184" s="3261" t="s">
        <v>3200</v>
      </c>
      <c r="C184" s="3273"/>
      <c r="D184" s="3273"/>
      <c r="E184" s="3273"/>
      <c r="F184" s="3262">
        <v>0.05</v>
      </c>
      <c r="G184" s="3279"/>
    </row>
    <row r="185" spans="1:7">
      <c r="A185" s="3272" t="s">
        <v>29</v>
      </c>
      <c r="B185" s="3261" t="s">
        <v>3201</v>
      </c>
      <c r="C185" s="3273"/>
      <c r="D185" s="3273"/>
      <c r="E185" s="3273"/>
      <c r="F185" s="3262">
        <v>0.05</v>
      </c>
      <c r="G185" s="3279"/>
    </row>
    <row r="186" spans="1:7">
      <c r="A186" s="3272" t="s">
        <v>29</v>
      </c>
      <c r="B186" s="3261" t="s">
        <v>3202</v>
      </c>
      <c r="C186" s="3273"/>
      <c r="D186" s="3273"/>
      <c r="E186" s="3273"/>
      <c r="F186" s="3262">
        <v>0.05</v>
      </c>
      <c r="G186" s="3279"/>
    </row>
    <row r="187" spans="1:7">
      <c r="A187" s="3272" t="s">
        <v>29</v>
      </c>
      <c r="B187" s="3261" t="s">
        <v>3203</v>
      </c>
      <c r="C187" s="3273"/>
      <c r="D187" s="3273"/>
      <c r="E187" s="3273"/>
      <c r="F187" s="3262">
        <v>0.05</v>
      </c>
      <c r="G187" s="3279"/>
    </row>
    <row r="188" spans="1:7">
      <c r="A188" s="3272" t="s">
        <v>29</v>
      </c>
      <c r="B188" s="3261" t="s">
        <v>3204</v>
      </c>
      <c r="C188" s="3273"/>
      <c r="D188" s="3273"/>
      <c r="E188" s="3273"/>
      <c r="F188" s="3262">
        <v>0.05</v>
      </c>
      <c r="G188" s="3279"/>
    </row>
    <row r="189" spans="1:7" ht="15" thickBot="1">
      <c r="A189" s="3275" t="s">
        <v>29</v>
      </c>
      <c r="B189" s="3265" t="s">
        <v>3205</v>
      </c>
      <c r="C189" s="3267"/>
      <c r="D189" s="3267"/>
      <c r="E189" s="3267"/>
      <c r="F189" s="3266">
        <v>0.05</v>
      </c>
      <c r="G189" s="3280"/>
    </row>
    <row r="190" spans="1:7">
      <c r="A190" s="3271" t="s">
        <v>304</v>
      </c>
      <c r="B190" s="3257" t="s">
        <v>2861</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2897</v>
      </c>
      <c r="C199" s="3262">
        <v>0.13</v>
      </c>
      <c r="D199" s="3262">
        <v>0.13</v>
      </c>
      <c r="E199" s="3262">
        <v>0.13</v>
      </c>
      <c r="F199" s="3262">
        <v>0.13</v>
      </c>
      <c r="G199" s="3263">
        <v>0.13</v>
      </c>
    </row>
    <row r="200" spans="1:7">
      <c r="A200" s="3272" t="s">
        <v>304</v>
      </c>
      <c r="B200" s="3261" t="s">
        <v>2900</v>
      </c>
      <c r="C200" s="3278"/>
      <c r="D200" s="3278"/>
      <c r="E200" s="3278"/>
      <c r="F200" s="3262">
        <v>0.13</v>
      </c>
      <c r="G200" s="3274"/>
    </row>
    <row r="201" spans="1:7">
      <c r="A201" s="3272" t="s">
        <v>304</v>
      </c>
      <c r="B201" s="3261" t="s">
        <v>2905</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2908</v>
      </c>
      <c r="C203" s="3262">
        <v>0.129</v>
      </c>
      <c r="D203" s="3262">
        <v>0.129</v>
      </c>
      <c r="E203" s="3262">
        <v>0.13</v>
      </c>
      <c r="F203" s="3262">
        <v>0.13</v>
      </c>
      <c r="G203" s="3263">
        <v>0.13</v>
      </c>
    </row>
    <row r="204" spans="1:7">
      <c r="A204" s="3272" t="s">
        <v>304</v>
      </c>
      <c r="B204" s="3261" t="s">
        <v>2911</v>
      </c>
      <c r="C204" s="3262">
        <v>0.129</v>
      </c>
      <c r="D204" s="3262">
        <v>0.129</v>
      </c>
      <c r="E204" s="3262">
        <v>0.123</v>
      </c>
      <c r="F204" s="3262">
        <v>0.13</v>
      </c>
      <c r="G204" s="3263">
        <v>0.13</v>
      </c>
    </row>
    <row r="205" spans="1:7">
      <c r="A205" s="3272" t="s">
        <v>304</v>
      </c>
      <c r="B205" s="3261" t="s">
        <v>2913</v>
      </c>
      <c r="C205" s="3262">
        <v>0.13</v>
      </c>
      <c r="D205" s="3262">
        <v>0.13</v>
      </c>
      <c r="E205" s="3262">
        <v>0.13</v>
      </c>
      <c r="F205" s="3262">
        <v>0.13</v>
      </c>
      <c r="G205" s="3263">
        <v>0.13</v>
      </c>
    </row>
    <row r="206" spans="1:7">
      <c r="A206" s="3272" t="s">
        <v>304</v>
      </c>
      <c r="B206" s="3261" t="s">
        <v>2916</v>
      </c>
      <c r="C206" s="3262">
        <v>0.13</v>
      </c>
      <c r="D206" s="3262">
        <v>0.13</v>
      </c>
      <c r="E206" s="3262">
        <v>0.13</v>
      </c>
      <c r="F206" s="3262">
        <v>0.128</v>
      </c>
      <c r="G206" s="3263">
        <v>0.13</v>
      </c>
    </row>
    <row r="207" spans="1:7">
      <c r="A207" s="3272" t="s">
        <v>304</v>
      </c>
      <c r="B207" s="3261" t="s">
        <v>2918</v>
      </c>
      <c r="C207" s="3262">
        <v>0.13</v>
      </c>
      <c r="D207" s="3262">
        <v>0.13</v>
      </c>
      <c r="E207" s="3262">
        <v>0.13</v>
      </c>
      <c r="F207" s="3262">
        <v>0.13</v>
      </c>
      <c r="G207" s="3263">
        <v>0.13</v>
      </c>
    </row>
    <row r="208" spans="1:7">
      <c r="A208" s="3272" t="s">
        <v>304</v>
      </c>
      <c r="B208" s="3261" t="s">
        <v>2921</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2928</v>
      </c>
      <c r="C210" s="3262">
        <v>0.121</v>
      </c>
      <c r="D210" s="3262">
        <v>0.121</v>
      </c>
      <c r="E210" s="3262">
        <v>0.125</v>
      </c>
      <c r="F210" s="3262">
        <v>0.13</v>
      </c>
      <c r="G210" s="3263">
        <v>0.123</v>
      </c>
    </row>
    <row r="211" spans="1:7">
      <c r="A211" s="3272" t="s">
        <v>304</v>
      </c>
      <c r="B211" s="3261" t="s">
        <v>2931</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2943</v>
      </c>
      <c r="C214" s="3262">
        <v>0.128</v>
      </c>
      <c r="D214" s="3262">
        <v>0.128</v>
      </c>
      <c r="E214" s="3262">
        <v>0.13</v>
      </c>
      <c r="F214" s="3262">
        <v>0.13</v>
      </c>
      <c r="G214" s="3263">
        <v>0.13</v>
      </c>
    </row>
    <row r="215" spans="1:7">
      <c r="A215" s="3272" t="s">
        <v>304</v>
      </c>
      <c r="B215" s="3261" t="s">
        <v>2947</v>
      </c>
      <c r="C215" s="3262">
        <v>0.13</v>
      </c>
      <c r="D215" s="3262">
        <v>0.13</v>
      </c>
      <c r="E215" s="3262">
        <v>0.13</v>
      </c>
      <c r="F215" s="3262">
        <v>0.129</v>
      </c>
      <c r="G215" s="3263">
        <v>0.13</v>
      </c>
    </row>
    <row r="216" spans="1:7">
      <c r="A216" s="3272" t="s">
        <v>304</v>
      </c>
      <c r="B216" s="3261" t="s">
        <v>2954</v>
      </c>
      <c r="C216" s="3262">
        <v>0.13</v>
      </c>
      <c r="D216" s="3262">
        <v>0.13</v>
      </c>
      <c r="E216" s="3262">
        <v>0.13</v>
      </c>
      <c r="F216" s="3262">
        <v>0.13</v>
      </c>
      <c r="G216" s="3263">
        <v>0.13</v>
      </c>
    </row>
    <row r="217" spans="1:7">
      <c r="A217" s="3272" t="s">
        <v>304</v>
      </c>
      <c r="B217" s="3261" t="s">
        <v>2961</v>
      </c>
      <c r="C217" s="3262">
        <v>0.129</v>
      </c>
      <c r="D217" s="3262">
        <v>0.129</v>
      </c>
      <c r="E217" s="3262">
        <v>0.13</v>
      </c>
      <c r="F217" s="3262">
        <v>0.13</v>
      </c>
      <c r="G217" s="3263">
        <v>0.13</v>
      </c>
    </row>
    <row r="218" spans="1:7">
      <c r="A218" s="3272" t="s">
        <v>304</v>
      </c>
      <c r="B218" s="3261" t="s">
        <v>2967</v>
      </c>
      <c r="C218" s="3273"/>
      <c r="D218" s="3273"/>
      <c r="E218" s="3273"/>
      <c r="F218" s="3262">
        <v>0.05</v>
      </c>
      <c r="G218" s="3279"/>
    </row>
    <row r="219" spans="1:7">
      <c r="A219" s="3272" t="s">
        <v>304</v>
      </c>
      <c r="B219" s="3261" t="s">
        <v>2974</v>
      </c>
      <c r="C219" s="3273"/>
      <c r="D219" s="3273"/>
      <c r="E219" s="3273"/>
      <c r="F219" s="3262">
        <v>0.05</v>
      </c>
      <c r="G219" s="3279"/>
    </row>
    <row r="220" spans="1:7">
      <c r="A220" s="3272" t="s">
        <v>304</v>
      </c>
      <c r="B220" s="3261" t="s">
        <v>2980</v>
      </c>
      <c r="C220" s="3273"/>
      <c r="D220" s="3273"/>
      <c r="E220" s="3273"/>
      <c r="F220" s="3262">
        <v>0.05</v>
      </c>
      <c r="G220" s="3279"/>
    </row>
    <row r="221" spans="1:7">
      <c r="A221" s="3272" t="s">
        <v>304</v>
      </c>
      <c r="B221" s="3261" t="s">
        <v>2985</v>
      </c>
      <c r="C221" s="3273"/>
      <c r="D221" s="3273"/>
      <c r="E221" s="3273"/>
      <c r="F221" s="3262">
        <v>0.05</v>
      </c>
      <c r="G221" s="3279"/>
    </row>
    <row r="222" spans="1:7">
      <c r="A222" s="3272" t="s">
        <v>304</v>
      </c>
      <c r="B222" s="3261" t="s">
        <v>2989</v>
      </c>
      <c r="C222" s="3273"/>
      <c r="D222" s="3273"/>
      <c r="E222" s="3273"/>
      <c r="F222" s="3262">
        <v>0.05</v>
      </c>
      <c r="G222" s="3279"/>
    </row>
    <row r="223" spans="1:7">
      <c r="A223" s="3272" t="s">
        <v>304</v>
      </c>
      <c r="B223" s="3261" t="s">
        <v>2994</v>
      </c>
      <c r="C223" s="3273"/>
      <c r="D223" s="3273"/>
      <c r="E223" s="3273"/>
      <c r="F223" s="3262">
        <v>0.05</v>
      </c>
      <c r="G223" s="3279"/>
    </row>
    <row r="224" spans="1:7">
      <c r="A224" s="3272" t="s">
        <v>304</v>
      </c>
      <c r="B224" s="3261" t="s">
        <v>2999</v>
      </c>
      <c r="C224" s="3273"/>
      <c r="D224" s="3273"/>
      <c r="E224" s="3273"/>
      <c r="F224" s="3262">
        <v>0.05</v>
      </c>
      <c r="G224" s="3279"/>
    </row>
    <row r="225" spans="1:7">
      <c r="A225" s="3272" t="s">
        <v>304</v>
      </c>
      <c r="B225" s="3261" t="s">
        <v>3004</v>
      </c>
      <c r="C225" s="3273"/>
      <c r="D225" s="3273"/>
      <c r="E225" s="3273"/>
      <c r="F225" s="3262">
        <v>0.05</v>
      </c>
      <c r="G225" s="3279"/>
    </row>
    <row r="226" spans="1:7">
      <c r="A226" s="3272" t="s">
        <v>304</v>
      </c>
      <c r="B226" s="3261" t="s">
        <v>3206</v>
      </c>
      <c r="C226" s="3273"/>
      <c r="D226" s="3273"/>
      <c r="E226" s="3273"/>
      <c r="F226" s="3262">
        <v>0.05</v>
      </c>
      <c r="G226" s="3279"/>
    </row>
    <row r="227" spans="1:7">
      <c r="A227" s="3272" t="s">
        <v>304</v>
      </c>
      <c r="B227" s="3261" t="s">
        <v>3207</v>
      </c>
      <c r="C227" s="3273"/>
      <c r="D227" s="3273"/>
      <c r="E227" s="3273"/>
      <c r="F227" s="3262">
        <v>0.05</v>
      </c>
      <c r="G227" s="3279"/>
    </row>
    <row r="228" spans="1:7">
      <c r="A228" s="3272" t="s">
        <v>304</v>
      </c>
      <c r="B228" s="3261" t="s">
        <v>3208</v>
      </c>
      <c r="C228" s="3273"/>
      <c r="D228" s="3273"/>
      <c r="E228" s="3273"/>
      <c r="F228" s="3262">
        <v>0.05</v>
      </c>
      <c r="G228" s="3279"/>
    </row>
    <row r="229" spans="1:7">
      <c r="A229" s="3272" t="s">
        <v>304</v>
      </c>
      <c r="B229" s="3261" t="s">
        <v>3209</v>
      </c>
      <c r="C229" s="3273"/>
      <c r="D229" s="3273"/>
      <c r="E229" s="3273"/>
      <c r="F229" s="3262">
        <v>0.05</v>
      </c>
      <c r="G229" s="3279"/>
    </row>
    <row r="230" spans="1:7">
      <c r="A230" s="3272" t="s">
        <v>304</v>
      </c>
      <c r="B230" s="3261" t="s">
        <v>3210</v>
      </c>
      <c r="C230" s="3273"/>
      <c r="D230" s="3273"/>
      <c r="E230" s="3273"/>
      <c r="F230" s="3262">
        <v>0.05</v>
      </c>
      <c r="G230" s="3279"/>
    </row>
    <row r="231" spans="1:7">
      <c r="A231" s="3272" t="s">
        <v>304</v>
      </c>
      <c r="B231" s="3261" t="s">
        <v>3211</v>
      </c>
      <c r="C231" s="3273"/>
      <c r="D231" s="3273"/>
      <c r="E231" s="3273"/>
      <c r="F231" s="3262">
        <v>0.05</v>
      </c>
      <c r="G231" s="3279"/>
    </row>
    <row r="232" spans="1:7">
      <c r="A232" s="3272" t="s">
        <v>304</v>
      </c>
      <c r="B232" s="3261" t="s">
        <v>3212</v>
      </c>
      <c r="C232" s="3273"/>
      <c r="D232" s="3273"/>
      <c r="E232" s="3273"/>
      <c r="F232" s="3262">
        <v>0.05</v>
      </c>
      <c r="G232" s="3279"/>
    </row>
    <row r="233" spans="1:7" ht="15" thickBot="1">
      <c r="A233" s="3275" t="s">
        <v>304</v>
      </c>
      <c r="B233" s="3265" t="s">
        <v>3213</v>
      </c>
      <c r="C233" s="3267"/>
      <c r="D233" s="3267"/>
      <c r="E233" s="3267"/>
      <c r="F233" s="3266">
        <v>0.05</v>
      </c>
      <c r="G233" s="3280"/>
    </row>
    <row r="234" spans="1:7">
      <c r="A234" s="3271" t="s">
        <v>305</v>
      </c>
      <c r="B234" s="3257" t="s">
        <v>2862</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2882</v>
      </c>
      <c r="C238" s="3262">
        <v>0.14899999999999999</v>
      </c>
      <c r="D238" s="3262">
        <v>0.14899999999999999</v>
      </c>
      <c r="E238" s="3262">
        <v>0.15</v>
      </c>
      <c r="F238" s="3262">
        <v>0.15</v>
      </c>
      <c r="G238" s="3263">
        <v>0.15</v>
      </c>
    </row>
    <row r="239" spans="1:7">
      <c r="A239" s="3272" t="s">
        <v>305</v>
      </c>
      <c r="B239" s="3261" t="s">
        <v>2886</v>
      </c>
      <c r="C239" s="3262">
        <v>0.15</v>
      </c>
      <c r="D239" s="3262">
        <v>0.15</v>
      </c>
      <c r="E239" s="3262">
        <v>0.15</v>
      </c>
      <c r="F239" s="3262">
        <v>0.15</v>
      </c>
      <c r="G239" s="3263">
        <v>0.15</v>
      </c>
    </row>
    <row r="240" spans="1:7">
      <c r="A240" s="3272" t="s">
        <v>305</v>
      </c>
      <c r="B240" s="3261" t="s">
        <v>2891</v>
      </c>
      <c r="C240" s="3262">
        <v>0.15</v>
      </c>
      <c r="D240" s="3262">
        <v>0.15</v>
      </c>
      <c r="E240" s="3262">
        <v>0.15</v>
      </c>
      <c r="F240" s="3262">
        <v>0.15</v>
      </c>
      <c r="G240" s="3263">
        <v>0.15</v>
      </c>
    </row>
    <row r="241" spans="1:7">
      <c r="A241" s="3272" t="s">
        <v>305</v>
      </c>
      <c r="B241" s="3261" t="s">
        <v>2895</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2901</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2909</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2914</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2922</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2935</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2944</v>
      </c>
      <c r="C258" s="3262">
        <v>0.14299999999999999</v>
      </c>
      <c r="D258" s="3262">
        <v>0.14299999999999999</v>
      </c>
      <c r="E258" s="3262">
        <v>0.15</v>
      </c>
      <c r="F258" s="3262">
        <v>0.14799999999999999</v>
      </c>
      <c r="G258" s="3263">
        <v>0.14599999999999999</v>
      </c>
    </row>
    <row r="259" spans="1:7">
      <c r="A259" s="3272" t="s">
        <v>305</v>
      </c>
      <c r="B259" s="3261" t="s">
        <v>2948</v>
      </c>
      <c r="C259" s="3262">
        <v>0.14399999999999999</v>
      </c>
      <c r="D259" s="3262">
        <v>0.14399999999999999</v>
      </c>
      <c r="E259" s="3262">
        <v>0.14899999999999999</v>
      </c>
      <c r="F259" s="3262">
        <v>0.14699999999999999</v>
      </c>
      <c r="G259" s="3263">
        <v>0.14599999999999999</v>
      </c>
    </row>
    <row r="260" spans="1:7">
      <c r="A260" s="3272" t="s">
        <v>305</v>
      </c>
      <c r="B260" s="3261" t="s">
        <v>2955</v>
      </c>
      <c r="C260" s="3262">
        <v>0.109</v>
      </c>
      <c r="D260" s="3262">
        <v>0.111</v>
      </c>
      <c r="E260" s="3262">
        <v>0.13100000000000001</v>
      </c>
      <c r="F260" s="3262">
        <v>0.126</v>
      </c>
      <c r="G260" s="3263">
        <v>0.11899999999999999</v>
      </c>
    </row>
    <row r="261" spans="1:7">
      <c r="A261" s="3272" t="s">
        <v>305</v>
      </c>
      <c r="B261" s="3261" t="s">
        <v>2962</v>
      </c>
      <c r="C261" s="3262">
        <v>0.1</v>
      </c>
      <c r="D261" s="3262">
        <v>0.1</v>
      </c>
      <c r="E261" s="3262">
        <v>0.11799999999999999</v>
      </c>
      <c r="F261" s="3262">
        <v>0.108</v>
      </c>
      <c r="G261" s="3263">
        <v>0.107</v>
      </c>
    </row>
    <row r="262" spans="1:7">
      <c r="A262" s="3272" t="s">
        <v>305</v>
      </c>
      <c r="B262" s="3261" t="s">
        <v>2968</v>
      </c>
      <c r="C262" s="3262">
        <v>0.1</v>
      </c>
      <c r="D262" s="3262">
        <v>0.1</v>
      </c>
      <c r="E262" s="3262">
        <v>0.1</v>
      </c>
      <c r="F262" s="3262">
        <v>0.14099999999999999</v>
      </c>
      <c r="G262" s="3263">
        <v>0.1</v>
      </c>
    </row>
    <row r="263" spans="1:7">
      <c r="A263" s="3272" t="s">
        <v>305</v>
      </c>
      <c r="B263" s="3261" t="s">
        <v>2975</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2986</v>
      </c>
      <c r="C265" s="3273"/>
      <c r="D265" s="3273"/>
      <c r="E265" s="3273"/>
      <c r="F265" s="3262">
        <v>0.05</v>
      </c>
      <c r="G265" s="3279"/>
    </row>
    <row r="266" spans="1:7">
      <c r="A266" s="3272" t="s">
        <v>305</v>
      </c>
      <c r="B266" s="3261" t="s">
        <v>2990</v>
      </c>
      <c r="C266" s="3273"/>
      <c r="D266" s="3273"/>
      <c r="E266" s="3273"/>
      <c r="F266" s="3262">
        <v>0.05</v>
      </c>
      <c r="G266" s="3279"/>
    </row>
    <row r="267" spans="1:7">
      <c r="A267" s="3272" t="s">
        <v>305</v>
      </c>
      <c r="B267" s="3261" t="s">
        <v>2995</v>
      </c>
      <c r="C267" s="3273"/>
      <c r="D267" s="3273"/>
      <c r="E267" s="3273"/>
      <c r="F267" s="3262">
        <v>0.05</v>
      </c>
      <c r="G267" s="3279"/>
    </row>
    <row r="268" spans="1:7">
      <c r="A268" s="3272" t="s">
        <v>305</v>
      </c>
      <c r="B268" s="3261" t="s">
        <v>3000</v>
      </c>
      <c r="C268" s="3273"/>
      <c r="D268" s="3273"/>
      <c r="E268" s="3273"/>
      <c r="F268" s="3262">
        <v>0.05</v>
      </c>
      <c r="G268" s="3279"/>
    </row>
    <row r="269" spans="1:7">
      <c r="A269" s="3272" t="s">
        <v>305</v>
      </c>
      <c r="B269" s="3261" t="s">
        <v>3005</v>
      </c>
      <c r="C269" s="3273"/>
      <c r="D269" s="3273"/>
      <c r="E269" s="3273"/>
      <c r="F269" s="3262">
        <v>0.05</v>
      </c>
      <c r="G269" s="3279"/>
    </row>
    <row r="270" spans="1:7">
      <c r="A270" s="3272" t="s">
        <v>305</v>
      </c>
      <c r="B270" s="3261" t="s">
        <v>3010</v>
      </c>
      <c r="C270" s="3273"/>
      <c r="D270" s="3273"/>
      <c r="E270" s="3273"/>
      <c r="F270" s="3262">
        <v>0.05</v>
      </c>
      <c r="G270" s="3279"/>
    </row>
    <row r="271" spans="1:7">
      <c r="A271" s="3272" t="s">
        <v>305</v>
      </c>
      <c r="B271" s="3261" t="s">
        <v>3214</v>
      </c>
      <c r="C271" s="3273"/>
      <c r="D271" s="3273"/>
      <c r="E271" s="3273"/>
      <c r="F271" s="3262">
        <v>0.05</v>
      </c>
      <c r="G271" s="3279"/>
    </row>
    <row r="272" spans="1:7">
      <c r="A272" s="3272" t="s">
        <v>305</v>
      </c>
      <c r="B272" s="3261" t="s">
        <v>3215</v>
      </c>
      <c r="C272" s="3273"/>
      <c r="D272" s="3273"/>
      <c r="E272" s="3273"/>
      <c r="F272" s="3262">
        <v>0.05</v>
      </c>
      <c r="G272" s="3279"/>
    </row>
    <row r="273" spans="1:7">
      <c r="A273" s="3272" t="s">
        <v>305</v>
      </c>
      <c r="B273" s="3261" t="s">
        <v>3216</v>
      </c>
      <c r="C273" s="3273"/>
      <c r="D273" s="3273"/>
      <c r="E273" s="3273"/>
      <c r="F273" s="3262">
        <v>0.05</v>
      </c>
      <c r="G273" s="3279"/>
    </row>
    <row r="274" spans="1:7">
      <c r="A274" s="3272" t="s">
        <v>305</v>
      </c>
      <c r="B274" s="3261" t="s">
        <v>3217</v>
      </c>
      <c r="C274" s="3273"/>
      <c r="D274" s="3273"/>
      <c r="E274" s="3273"/>
      <c r="F274" s="3262">
        <v>0.05</v>
      </c>
      <c r="G274" s="3279"/>
    </row>
    <row r="275" spans="1:7">
      <c r="A275" s="3272" t="s">
        <v>305</v>
      </c>
      <c r="B275" s="3261" t="s">
        <v>3218</v>
      </c>
      <c r="C275" s="3273"/>
      <c r="D275" s="3273"/>
      <c r="E275" s="3273"/>
      <c r="F275" s="3262">
        <v>0.05</v>
      </c>
      <c r="G275" s="3279"/>
    </row>
    <row r="276" spans="1:7" ht="15" thickBot="1">
      <c r="A276" s="3275" t="s">
        <v>305</v>
      </c>
      <c r="B276" s="3265" t="s">
        <v>3219</v>
      </c>
      <c r="C276" s="3267"/>
      <c r="D276" s="3267"/>
      <c r="E276" s="3267"/>
      <c r="F276" s="3266">
        <v>0.05</v>
      </c>
      <c r="G276" s="3280"/>
    </row>
    <row r="277" spans="1:7">
      <c r="A277" s="3271" t="s">
        <v>306</v>
      </c>
      <c r="B277" s="3257" t="s">
        <v>2863</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2875</v>
      </c>
      <c r="C279" s="3262">
        <v>0.15</v>
      </c>
      <c r="D279" s="3262">
        <v>0.15</v>
      </c>
      <c r="E279" s="3262">
        <v>0.15</v>
      </c>
      <c r="F279" s="3262">
        <v>0.15</v>
      </c>
      <c r="G279" s="3263">
        <v>0.15</v>
      </c>
    </row>
    <row r="280" spans="1:7">
      <c r="A280" s="3272" t="s">
        <v>306</v>
      </c>
      <c r="B280" s="3261" t="s">
        <v>2879</v>
      </c>
      <c r="C280" s="3262">
        <v>0.15</v>
      </c>
      <c r="D280" s="3262">
        <v>0.15</v>
      </c>
      <c r="E280" s="3262">
        <v>0.15</v>
      </c>
      <c r="F280" s="3262">
        <v>0.15</v>
      </c>
      <c r="G280" s="3263">
        <v>0.15</v>
      </c>
    </row>
    <row r="281" spans="1:7">
      <c r="A281" s="3272" t="s">
        <v>306</v>
      </c>
      <c r="B281" s="3261" t="s">
        <v>2883</v>
      </c>
      <c r="C281" s="3262">
        <v>0.15</v>
      </c>
      <c r="D281" s="3262">
        <v>0.15</v>
      </c>
      <c r="E281" s="3262">
        <v>0.15</v>
      </c>
      <c r="F281" s="3262">
        <v>0.15</v>
      </c>
      <c r="G281" s="3263">
        <v>0.15</v>
      </c>
    </row>
    <row r="282" spans="1:7">
      <c r="A282" s="3272" t="s">
        <v>306</v>
      </c>
      <c r="B282" s="3261" t="s">
        <v>2887</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2902</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2907</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2917</v>
      </c>
      <c r="C293" s="3262">
        <v>0.15</v>
      </c>
      <c r="D293" s="3262">
        <v>0.15</v>
      </c>
      <c r="E293" s="3262">
        <v>0.15</v>
      </c>
      <c r="F293" s="3262">
        <v>0.14499999999999999</v>
      </c>
      <c r="G293" s="3263">
        <v>0.15</v>
      </c>
    </row>
    <row r="294" spans="1:7">
      <c r="A294" s="3272" t="s">
        <v>306</v>
      </c>
      <c r="B294" s="3261" t="s">
        <v>2919</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2936</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2949</v>
      </c>
      <c r="C302" s="3262">
        <v>0.15</v>
      </c>
      <c r="D302" s="3262">
        <v>0.15</v>
      </c>
      <c r="E302" s="3262">
        <v>0.15</v>
      </c>
      <c r="F302" s="3262">
        <v>0.14699999999999999</v>
      </c>
      <c r="G302" s="3263">
        <v>0.15</v>
      </c>
    </row>
    <row r="303" spans="1:7">
      <c r="A303" s="3272" t="s">
        <v>306</v>
      </c>
      <c r="B303" s="3261" t="s">
        <v>2956</v>
      </c>
      <c r="C303" s="3262">
        <v>0.15</v>
      </c>
      <c r="D303" s="3262">
        <v>0.15</v>
      </c>
      <c r="E303" s="3262">
        <v>0.15</v>
      </c>
      <c r="F303" s="3262">
        <v>0.14199999999999999</v>
      </c>
      <c r="G303" s="3263">
        <v>0.15</v>
      </c>
    </row>
    <row r="304" spans="1:7">
      <c r="A304" s="3272" t="s">
        <v>306</v>
      </c>
      <c r="B304" s="3261" t="s">
        <v>2963</v>
      </c>
      <c r="C304" s="3262">
        <v>0.15</v>
      </c>
      <c r="D304" s="3262">
        <v>0.15</v>
      </c>
      <c r="E304" s="3262">
        <v>0.15</v>
      </c>
      <c r="F304" s="3262">
        <v>0.14499999999999999</v>
      </c>
      <c r="G304" s="3263">
        <v>0.15</v>
      </c>
    </row>
    <row r="305" spans="1:7">
      <c r="A305" s="3272" t="s">
        <v>306</v>
      </c>
      <c r="B305" s="3261" t="s">
        <v>2969</v>
      </c>
      <c r="C305" s="3262">
        <v>0.15</v>
      </c>
      <c r="D305" s="3262">
        <v>0.15</v>
      </c>
      <c r="E305" s="3262">
        <v>0.15</v>
      </c>
      <c r="F305" s="3262">
        <v>0.111</v>
      </c>
      <c r="G305" s="3263">
        <v>0.15</v>
      </c>
    </row>
    <row r="306" spans="1:7">
      <c r="A306" s="3272" t="s">
        <v>306</v>
      </c>
      <c r="B306" s="3261" t="s">
        <v>2976</v>
      </c>
      <c r="C306" s="3262">
        <v>0.15</v>
      </c>
      <c r="D306" s="3262">
        <v>0.15</v>
      </c>
      <c r="E306" s="3262">
        <v>0.15</v>
      </c>
      <c r="F306" s="3262">
        <v>0.126</v>
      </c>
      <c r="G306" s="3263">
        <v>0.15</v>
      </c>
    </row>
    <row r="307" spans="1:7">
      <c r="A307" s="3272" t="s">
        <v>306</v>
      </c>
      <c r="B307" s="3261" t="s">
        <v>2981</v>
      </c>
      <c r="C307" s="3262">
        <v>0.15</v>
      </c>
      <c r="D307" s="3262">
        <v>0.15</v>
      </c>
      <c r="E307" s="3262">
        <v>0.15</v>
      </c>
      <c r="F307" s="3262">
        <v>0.12</v>
      </c>
      <c r="G307" s="3263">
        <v>0.15</v>
      </c>
    </row>
    <row r="308" spans="1:7">
      <c r="A308" s="3272" t="s">
        <v>306</v>
      </c>
      <c r="B308" s="3261" t="s">
        <v>2987</v>
      </c>
      <c r="C308" s="3262">
        <v>0.15</v>
      </c>
      <c r="D308" s="3262">
        <v>0.15</v>
      </c>
      <c r="E308" s="3262">
        <v>0.15</v>
      </c>
      <c r="F308" s="3262">
        <v>0.13</v>
      </c>
      <c r="G308" s="3263">
        <v>0.15</v>
      </c>
    </row>
    <row r="309" spans="1:7">
      <c r="A309" s="3272" t="s">
        <v>306</v>
      </c>
      <c r="B309" s="3261" t="s">
        <v>2991</v>
      </c>
      <c r="C309" s="3262">
        <v>0.15</v>
      </c>
      <c r="D309" s="3262">
        <v>0.15</v>
      </c>
      <c r="E309" s="3262">
        <v>0.15</v>
      </c>
      <c r="F309" s="3262">
        <v>0.14099999999999999</v>
      </c>
      <c r="G309" s="3263">
        <v>0.15</v>
      </c>
    </row>
    <row r="310" spans="1:7">
      <c r="A310" s="3272" t="s">
        <v>306</v>
      </c>
      <c r="B310" s="3261" t="s">
        <v>2996</v>
      </c>
      <c r="C310" s="3262">
        <v>0.15</v>
      </c>
      <c r="D310" s="3262">
        <v>0.15</v>
      </c>
      <c r="E310" s="3262">
        <v>0.15</v>
      </c>
      <c r="F310" s="3262">
        <v>0.15</v>
      </c>
      <c r="G310" s="3263">
        <v>0.15</v>
      </c>
    </row>
    <row r="311" spans="1:7">
      <c r="A311" s="3272" t="s">
        <v>306</v>
      </c>
      <c r="B311" s="3261" t="s">
        <v>3001</v>
      </c>
      <c r="C311" s="3262">
        <v>0.13200000000000001</v>
      </c>
      <c r="D311" s="3262">
        <v>0.13300000000000001</v>
      </c>
      <c r="E311" s="3262">
        <v>0.14499999999999999</v>
      </c>
      <c r="F311" s="3262">
        <v>0.14199999999999999</v>
      </c>
      <c r="G311" s="3263">
        <v>0.14000000000000001</v>
      </c>
    </row>
    <row r="312" spans="1:7">
      <c r="A312" s="3272" t="s">
        <v>306</v>
      </c>
      <c r="B312" s="3261" t="s">
        <v>3006</v>
      </c>
      <c r="C312" s="3262">
        <v>0.13800000000000001</v>
      </c>
      <c r="D312" s="3262">
        <v>0.14000000000000001</v>
      </c>
      <c r="E312" s="3262">
        <v>0.14599999999999999</v>
      </c>
      <c r="F312" s="3262">
        <v>0.14899999999999999</v>
      </c>
      <c r="G312" s="3263">
        <v>0.14199999999999999</v>
      </c>
    </row>
    <row r="313" spans="1:7">
      <c r="A313" s="3272" t="s">
        <v>306</v>
      </c>
      <c r="B313" s="3261" t="s">
        <v>3011</v>
      </c>
      <c r="C313" s="3262">
        <v>0.125</v>
      </c>
      <c r="D313" s="3262">
        <v>0.127</v>
      </c>
      <c r="E313" s="3262">
        <v>0.14399999999999999</v>
      </c>
      <c r="F313" s="3262">
        <v>0.115</v>
      </c>
      <c r="G313" s="3263">
        <v>0.13600000000000001</v>
      </c>
    </row>
    <row r="314" spans="1:7">
      <c r="A314" s="3272" t="s">
        <v>306</v>
      </c>
      <c r="B314" s="3261" t="s">
        <v>3220</v>
      </c>
      <c r="C314" s="3278"/>
      <c r="D314" s="3278"/>
      <c r="E314" s="3278"/>
      <c r="F314" s="3262">
        <v>0.05</v>
      </c>
      <c r="G314" s="3279"/>
    </row>
    <row r="315" spans="1:7">
      <c r="A315" s="3272" t="s">
        <v>306</v>
      </c>
      <c r="B315" s="3261" t="s">
        <v>3221</v>
      </c>
      <c r="C315" s="3278"/>
      <c r="D315" s="3278"/>
      <c r="E315" s="3278"/>
      <c r="F315" s="3262">
        <v>0.05</v>
      </c>
      <c r="G315" s="3279"/>
    </row>
    <row r="316" spans="1:7">
      <c r="A316" s="3272" t="s">
        <v>306</v>
      </c>
      <c r="B316" s="3261" t="s">
        <v>3222</v>
      </c>
      <c r="C316" s="3273"/>
      <c r="D316" s="3273"/>
      <c r="E316" s="3273"/>
      <c r="F316" s="3262">
        <v>0.05</v>
      </c>
      <c r="G316" s="3279"/>
    </row>
    <row r="317" spans="1:7">
      <c r="A317" s="3272" t="s">
        <v>306</v>
      </c>
      <c r="B317" s="3261" t="s">
        <v>3223</v>
      </c>
      <c r="C317" s="3273"/>
      <c r="D317" s="3273"/>
      <c r="E317" s="3273"/>
      <c r="F317" s="3262">
        <v>0.05</v>
      </c>
      <c r="G317" s="3279"/>
    </row>
    <row r="318" spans="1:7">
      <c r="A318" s="3272" t="s">
        <v>306</v>
      </c>
      <c r="B318" s="3261" t="s">
        <v>3224</v>
      </c>
      <c r="C318" s="3273"/>
      <c r="D318" s="3273"/>
      <c r="E318" s="3273"/>
      <c r="F318" s="3262">
        <v>0.05</v>
      </c>
      <c r="G318" s="3279"/>
    </row>
    <row r="319" spans="1:7">
      <c r="A319" s="3272" t="s">
        <v>306</v>
      </c>
      <c r="B319" s="3261" t="s">
        <v>3225</v>
      </c>
      <c r="C319" s="3273"/>
      <c r="D319" s="3273"/>
      <c r="E319" s="3273"/>
      <c r="F319" s="3262">
        <v>0.05</v>
      </c>
      <c r="G319" s="3279"/>
    </row>
    <row r="320" spans="1:7">
      <c r="A320" s="3272" t="s">
        <v>306</v>
      </c>
      <c r="B320" s="3261" t="s">
        <v>3226</v>
      </c>
      <c r="C320" s="3273"/>
      <c r="D320" s="3273"/>
      <c r="E320" s="3273"/>
      <c r="F320" s="3262">
        <v>0.05</v>
      </c>
      <c r="G320" s="3279"/>
    </row>
    <row r="321" spans="1:7">
      <c r="A321" s="3272" t="s">
        <v>306</v>
      </c>
      <c r="B321" s="3261" t="s">
        <v>3227</v>
      </c>
      <c r="C321" s="3273"/>
      <c r="D321" s="3273"/>
      <c r="E321" s="3273"/>
      <c r="F321" s="3262">
        <v>0.05</v>
      </c>
      <c r="G321" s="3279"/>
    </row>
    <row r="322" spans="1:7">
      <c r="A322" s="3272" t="s">
        <v>306</v>
      </c>
      <c r="B322" s="3261" t="s">
        <v>3228</v>
      </c>
      <c r="C322" s="3273"/>
      <c r="D322" s="3273"/>
      <c r="E322" s="3273"/>
      <c r="F322" s="3262">
        <v>0.05</v>
      </c>
      <c r="G322" s="3279"/>
    </row>
    <row r="323" spans="1:7">
      <c r="A323" s="3272" t="s">
        <v>306</v>
      </c>
      <c r="B323" s="3261" t="s">
        <v>3229</v>
      </c>
      <c r="C323" s="3273"/>
      <c r="D323" s="3273"/>
      <c r="E323" s="3273"/>
      <c r="F323" s="3262">
        <v>0.05</v>
      </c>
      <c r="G323" s="3279"/>
    </row>
    <row r="324" spans="1:7">
      <c r="A324" s="3272" t="s">
        <v>306</v>
      </c>
      <c r="B324" s="3261" t="s">
        <v>3230</v>
      </c>
      <c r="C324" s="3273"/>
      <c r="D324" s="3273"/>
      <c r="E324" s="3273"/>
      <c r="F324" s="3262">
        <v>0.05</v>
      </c>
      <c r="G324" s="3279"/>
    </row>
    <row r="325" spans="1:7">
      <c r="A325" s="3272" t="s">
        <v>306</v>
      </c>
      <c r="B325" s="3261" t="s">
        <v>3231</v>
      </c>
      <c r="C325" s="3273"/>
      <c r="D325" s="3273"/>
      <c r="E325" s="3273"/>
      <c r="F325" s="3262">
        <v>0.05</v>
      </c>
      <c r="G325" s="3279"/>
    </row>
    <row r="326" spans="1:7" ht="15" thickBot="1">
      <c r="A326" s="3275" t="s">
        <v>306</v>
      </c>
      <c r="B326" s="3265" t="s">
        <v>3232</v>
      </c>
      <c r="C326" s="3267"/>
      <c r="D326" s="3267"/>
      <c r="E326" s="3267"/>
      <c r="F326" s="3266">
        <v>0.05</v>
      </c>
      <c r="G326" s="3280"/>
    </row>
    <row r="327" spans="1:7">
      <c r="A327" s="3271" t="s">
        <v>307</v>
      </c>
      <c r="B327" s="3257" t="s">
        <v>2864</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2876</v>
      </c>
      <c r="C329" s="3262">
        <v>0.15</v>
      </c>
      <c r="D329" s="3262">
        <v>0.15</v>
      </c>
      <c r="E329" s="3262">
        <v>0.15</v>
      </c>
      <c r="F329" s="3262">
        <v>0.15</v>
      </c>
      <c r="G329" s="3263">
        <v>0.15</v>
      </c>
    </row>
    <row r="330" spans="1:7">
      <c r="A330" s="3272" t="s">
        <v>307</v>
      </c>
      <c r="B330" s="3261" t="s">
        <v>2880</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2888</v>
      </c>
      <c r="C332" s="3262">
        <v>0.15</v>
      </c>
      <c r="D332" s="3262">
        <v>0.15</v>
      </c>
      <c r="E332" s="3262">
        <v>0.15</v>
      </c>
      <c r="F332" s="3262">
        <v>0.15</v>
      </c>
      <c r="G332" s="3263">
        <v>0.15</v>
      </c>
    </row>
    <row r="333" spans="1:7">
      <c r="A333" s="3272" t="s">
        <v>307</v>
      </c>
      <c r="B333" s="3261" t="s">
        <v>2892</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2898</v>
      </c>
      <c r="C336" s="3262">
        <v>0.15</v>
      </c>
      <c r="D336" s="3262">
        <v>0.15</v>
      </c>
      <c r="E336" s="3262">
        <v>0.15</v>
      </c>
      <c r="F336" s="3262">
        <v>0.14199999999999999</v>
      </c>
      <c r="G336" s="3263">
        <v>0.15</v>
      </c>
    </row>
    <row r="337" spans="1:7">
      <c r="A337" s="3272" t="s">
        <v>307</v>
      </c>
      <c r="B337" s="3261" t="s">
        <v>2903</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2910</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2915</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2923</v>
      </c>
      <c r="C345" s="3262">
        <v>0.15</v>
      </c>
      <c r="D345" s="3262">
        <v>0.15</v>
      </c>
      <c r="E345" s="3262">
        <v>0.15</v>
      </c>
      <c r="F345" s="3262">
        <v>0.13800000000000001</v>
      </c>
      <c r="G345" s="3263">
        <v>0.15</v>
      </c>
    </row>
    <row r="346" spans="1:7">
      <c r="A346" s="3272" t="s">
        <v>307</v>
      </c>
      <c r="B346" s="3261" t="s">
        <v>2925</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2932</v>
      </c>
      <c r="C348" s="3262">
        <v>0.15</v>
      </c>
      <c r="D348" s="3262">
        <v>0.15</v>
      </c>
      <c r="E348" s="3262">
        <v>0.15</v>
      </c>
      <c r="F348" s="3262">
        <v>0.14399999999999999</v>
      </c>
      <c r="G348" s="3263">
        <v>0.15</v>
      </c>
    </row>
    <row r="349" spans="1:7">
      <c r="A349" s="3272" t="s">
        <v>307</v>
      </c>
      <c r="B349" s="3261" t="s">
        <v>2937</v>
      </c>
      <c r="C349" s="3262">
        <v>0.15</v>
      </c>
      <c r="D349" s="3262">
        <v>0.15</v>
      </c>
      <c r="E349" s="3262">
        <v>0.15</v>
      </c>
      <c r="F349" s="3262">
        <v>0.15</v>
      </c>
      <c r="G349" s="3263">
        <v>0.15</v>
      </c>
    </row>
    <row r="350" spans="1:7">
      <c r="A350" s="3272" t="s">
        <v>307</v>
      </c>
      <c r="B350" s="3261" t="s">
        <v>2940</v>
      </c>
      <c r="C350" s="3262">
        <v>0.15</v>
      </c>
      <c r="D350" s="3262">
        <v>0.15</v>
      </c>
      <c r="E350" s="3262">
        <v>0.15</v>
      </c>
      <c r="F350" s="3262">
        <v>0.14699999999999999</v>
      </c>
      <c r="G350" s="3263">
        <v>0.15</v>
      </c>
    </row>
    <row r="351" spans="1:7">
      <c r="A351" s="3272" t="s">
        <v>307</v>
      </c>
      <c r="B351" s="3261" t="s">
        <v>2945</v>
      </c>
      <c r="C351" s="3262">
        <v>0.15</v>
      </c>
      <c r="D351" s="3262">
        <v>0.15</v>
      </c>
      <c r="E351" s="3262">
        <v>0.15</v>
      </c>
      <c r="F351" s="3262">
        <v>0.13</v>
      </c>
      <c r="G351" s="3263">
        <v>0.15</v>
      </c>
    </row>
    <row r="352" spans="1:7">
      <c r="A352" s="3272" t="s">
        <v>307</v>
      </c>
      <c r="B352" s="3261" t="s">
        <v>2950</v>
      </c>
      <c r="C352" s="3262">
        <v>0.15</v>
      </c>
      <c r="D352" s="3262">
        <v>0.15</v>
      </c>
      <c r="E352" s="3262">
        <v>0.15</v>
      </c>
      <c r="F352" s="3262">
        <v>0.14599999999999999</v>
      </c>
      <c r="G352" s="3263">
        <v>0.15</v>
      </c>
    </row>
    <row r="353" spans="1:7">
      <c r="A353" s="3272" t="s">
        <v>307</v>
      </c>
      <c r="B353" s="3261" t="s">
        <v>2957</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2970</v>
      </c>
      <c r="C355" s="3262">
        <v>0.15</v>
      </c>
      <c r="D355" s="3262">
        <v>0.15</v>
      </c>
      <c r="E355" s="3262">
        <v>0.15</v>
      </c>
      <c r="F355" s="3262">
        <v>0.15</v>
      </c>
      <c r="G355" s="3263">
        <v>0.15</v>
      </c>
    </row>
    <row r="356" spans="1:7">
      <c r="A356" s="3272" t="s">
        <v>307</v>
      </c>
      <c r="B356" s="3261" t="s">
        <v>2977</v>
      </c>
      <c r="C356" s="3262">
        <v>0.15</v>
      </c>
      <c r="D356" s="3262">
        <v>0.15</v>
      </c>
      <c r="E356" s="3262">
        <v>0.15</v>
      </c>
      <c r="F356" s="3262">
        <v>0.15</v>
      </c>
      <c r="G356" s="3263">
        <v>0.15</v>
      </c>
    </row>
    <row r="357" spans="1:7" ht="15" thickBot="1">
      <c r="A357" s="3275" t="s">
        <v>307</v>
      </c>
      <c r="B357" s="3265" t="s">
        <v>2982</v>
      </c>
      <c r="C357" s="3266">
        <v>0.126</v>
      </c>
      <c r="D357" s="3266">
        <v>0.127</v>
      </c>
      <c r="E357" s="3266">
        <v>0.14299999999999999</v>
      </c>
      <c r="F357" s="3266">
        <v>0.125</v>
      </c>
      <c r="G357" s="3268">
        <v>0.129</v>
      </c>
    </row>
    <row r="358" spans="1:7">
      <c r="A358" s="3271" t="s">
        <v>2851</v>
      </c>
      <c r="B358" s="3257" t="s">
        <v>2865</v>
      </c>
      <c r="C358" s="3258">
        <v>0.15</v>
      </c>
      <c r="D358" s="3258">
        <v>0.15</v>
      </c>
      <c r="E358" s="3258">
        <v>0.15</v>
      </c>
      <c r="F358" s="3258">
        <v>0.15</v>
      </c>
      <c r="G358" s="3259">
        <v>0.15</v>
      </c>
    </row>
    <row r="359" spans="1:7">
      <c r="A359" s="3272" t="s">
        <v>2851</v>
      </c>
      <c r="B359" s="3261" t="s">
        <v>2871</v>
      </c>
      <c r="C359" s="3262">
        <v>0.1</v>
      </c>
      <c r="D359" s="3262">
        <v>0.1</v>
      </c>
      <c r="E359" s="3262">
        <v>0.1</v>
      </c>
      <c r="F359" s="3262">
        <v>0.1</v>
      </c>
      <c r="G359" s="3263">
        <v>0.1</v>
      </c>
    </row>
    <row r="360" spans="1:7">
      <c r="A360" s="3272" t="s">
        <v>2851</v>
      </c>
      <c r="B360" s="3261" t="s">
        <v>2877</v>
      </c>
      <c r="C360" s="3262">
        <v>0.15</v>
      </c>
      <c r="D360" s="3262">
        <v>0.15</v>
      </c>
      <c r="E360" s="3262">
        <v>0.15</v>
      </c>
      <c r="F360" s="3262">
        <v>0.14899999999999999</v>
      </c>
      <c r="G360" s="3263">
        <v>0.15</v>
      </c>
    </row>
    <row r="361" spans="1:7">
      <c r="A361" s="3272" t="s">
        <v>2851</v>
      </c>
      <c r="B361" s="3261" t="s">
        <v>153</v>
      </c>
      <c r="C361" s="3262">
        <v>0.15</v>
      </c>
      <c r="D361" s="3262">
        <v>0.15</v>
      </c>
      <c r="E361" s="3262">
        <v>0.15</v>
      </c>
      <c r="F361" s="3262">
        <v>0.115</v>
      </c>
      <c r="G361" s="3263">
        <v>0.15</v>
      </c>
    </row>
    <row r="362" spans="1:7">
      <c r="A362" s="3272" t="s">
        <v>2851</v>
      </c>
      <c r="B362" s="3261" t="s">
        <v>2884</v>
      </c>
      <c r="C362" s="3262">
        <v>0.15</v>
      </c>
      <c r="D362" s="3262">
        <v>0.15</v>
      </c>
      <c r="E362" s="3262">
        <v>0.15</v>
      </c>
      <c r="F362" s="3262">
        <v>0.106</v>
      </c>
      <c r="G362" s="3263">
        <v>0.15</v>
      </c>
    </row>
    <row r="363" spans="1:7">
      <c r="A363" s="3272" t="s">
        <v>2851</v>
      </c>
      <c r="B363" s="3261" t="s">
        <v>2889</v>
      </c>
      <c r="C363" s="3262">
        <v>0.15</v>
      </c>
      <c r="D363" s="3262">
        <v>0.15</v>
      </c>
      <c r="E363" s="3262">
        <v>0.15</v>
      </c>
      <c r="F363" s="3262">
        <v>0.14699999999999999</v>
      </c>
      <c r="G363" s="3263">
        <v>0.15</v>
      </c>
    </row>
    <row r="364" spans="1:7">
      <c r="A364" s="3272" t="s">
        <v>2851</v>
      </c>
      <c r="B364" s="3261" t="s">
        <v>2893</v>
      </c>
      <c r="C364" s="3262">
        <v>0.15</v>
      </c>
      <c r="D364" s="3262">
        <v>0.15</v>
      </c>
      <c r="E364" s="3262">
        <v>0.15</v>
      </c>
      <c r="F364" s="3262">
        <v>0.14799999999999999</v>
      </c>
      <c r="G364" s="3263">
        <v>0.15</v>
      </c>
    </row>
    <row r="365" spans="1:7">
      <c r="A365" s="3272" t="s">
        <v>2851</v>
      </c>
      <c r="B365" s="3261" t="s">
        <v>200</v>
      </c>
      <c r="C365" s="3262">
        <v>0.15</v>
      </c>
      <c r="D365" s="3262">
        <v>0.15</v>
      </c>
      <c r="E365" s="3262">
        <v>0.15</v>
      </c>
      <c r="F365" s="3262">
        <v>0.15</v>
      </c>
      <c r="G365" s="3263">
        <v>0.15</v>
      </c>
    </row>
    <row r="366" spans="1:7">
      <c r="A366" s="3272" t="s">
        <v>2851</v>
      </c>
      <c r="B366" s="3261" t="s">
        <v>2896</v>
      </c>
      <c r="C366" s="3262">
        <v>0.15</v>
      </c>
      <c r="D366" s="3262">
        <v>0.15</v>
      </c>
      <c r="E366" s="3262">
        <v>0.15</v>
      </c>
      <c r="F366" s="3262">
        <v>0.15</v>
      </c>
      <c r="G366" s="3263">
        <v>0.15</v>
      </c>
    </row>
    <row r="367" spans="1:7">
      <c r="A367" s="3272" t="s">
        <v>2851</v>
      </c>
      <c r="B367" s="3261" t="s">
        <v>2899</v>
      </c>
      <c r="C367" s="3262">
        <v>0.15</v>
      </c>
      <c r="D367" s="3262">
        <v>0.15</v>
      </c>
      <c r="E367" s="3262">
        <v>0.15</v>
      </c>
      <c r="F367" s="3262">
        <v>0.14699999999999999</v>
      </c>
      <c r="G367" s="3263">
        <v>0.15</v>
      </c>
    </row>
    <row r="368" spans="1:7">
      <c r="A368" s="3272" t="s">
        <v>2851</v>
      </c>
      <c r="B368" s="3261" t="s">
        <v>2904</v>
      </c>
      <c r="C368" s="3262">
        <v>0.15</v>
      </c>
      <c r="D368" s="3262">
        <v>0.15</v>
      </c>
      <c r="E368" s="3262">
        <v>0.15</v>
      </c>
      <c r="F368" s="3262">
        <v>0.13600000000000001</v>
      </c>
      <c r="G368" s="3263">
        <v>0.15</v>
      </c>
    </row>
    <row r="369" spans="1:7">
      <c r="A369" s="3272" t="s">
        <v>2851</v>
      </c>
      <c r="B369" s="3261" t="s">
        <v>214</v>
      </c>
      <c r="C369" s="3262">
        <v>0.15</v>
      </c>
      <c r="D369" s="3262">
        <v>0.15</v>
      </c>
      <c r="E369" s="3262">
        <v>0.15</v>
      </c>
      <c r="F369" s="3262">
        <v>0.14399999999999999</v>
      </c>
      <c r="G369" s="3263">
        <v>0.15</v>
      </c>
    </row>
    <row r="370" spans="1:7">
      <c r="A370" s="3272" t="s">
        <v>2851</v>
      </c>
      <c r="B370" s="3261" t="s">
        <v>221</v>
      </c>
      <c r="C370" s="3262">
        <v>0.15</v>
      </c>
      <c r="D370" s="3262">
        <v>0.15</v>
      </c>
      <c r="E370" s="3262">
        <v>0.15</v>
      </c>
      <c r="F370" s="3262">
        <v>0.14599999999999999</v>
      </c>
      <c r="G370" s="3263">
        <v>0.15</v>
      </c>
    </row>
    <row r="371" spans="1:7">
      <c r="A371" s="3272" t="s">
        <v>2851</v>
      </c>
      <c r="B371" s="3261" t="s">
        <v>229</v>
      </c>
      <c r="C371" s="3262">
        <v>0.15</v>
      </c>
      <c r="D371" s="3262">
        <v>0.15</v>
      </c>
      <c r="E371" s="3262">
        <v>0.15</v>
      </c>
      <c r="F371" s="3262">
        <v>0.12</v>
      </c>
      <c r="G371" s="3263">
        <v>0.15</v>
      </c>
    </row>
    <row r="372" spans="1:7">
      <c r="A372" s="3272" t="s">
        <v>2851</v>
      </c>
      <c r="B372" s="3261" t="s">
        <v>2912</v>
      </c>
      <c r="C372" s="3262">
        <v>0.15</v>
      </c>
      <c r="D372" s="3262">
        <v>0.15</v>
      </c>
      <c r="E372" s="3262">
        <v>0.15</v>
      </c>
      <c r="F372" s="3262">
        <v>0.14299999999999999</v>
      </c>
      <c r="G372" s="3263">
        <v>0.15</v>
      </c>
    </row>
    <row r="373" spans="1:7">
      <c r="A373" s="3272" t="s">
        <v>2851</v>
      </c>
      <c r="B373" s="3261" t="s">
        <v>258</v>
      </c>
      <c r="C373" s="3262">
        <v>0.15</v>
      </c>
      <c r="D373" s="3262">
        <v>0.15</v>
      </c>
      <c r="E373" s="3262">
        <v>0.15</v>
      </c>
      <c r="F373" s="3262">
        <v>0.14599999999999999</v>
      </c>
      <c r="G373" s="3263">
        <v>0.15</v>
      </c>
    </row>
    <row r="374" spans="1:7">
      <c r="A374" s="3272" t="s">
        <v>2851</v>
      </c>
      <c r="B374" s="3261" t="s">
        <v>266</v>
      </c>
      <c r="C374" s="3262">
        <v>0.15</v>
      </c>
      <c r="D374" s="3262">
        <v>0.15</v>
      </c>
      <c r="E374" s="3262">
        <v>0.15</v>
      </c>
      <c r="F374" s="3262">
        <v>0.14399999999999999</v>
      </c>
      <c r="G374" s="3263">
        <v>0.15</v>
      </c>
    </row>
    <row r="375" spans="1:7">
      <c r="A375" s="3272" t="s">
        <v>2851</v>
      </c>
      <c r="B375" s="3261" t="s">
        <v>2920</v>
      </c>
      <c r="C375" s="3262">
        <v>0.15</v>
      </c>
      <c r="D375" s="3262">
        <v>0.15</v>
      </c>
      <c r="E375" s="3262">
        <v>0.15</v>
      </c>
      <c r="F375" s="3262">
        <v>0.13</v>
      </c>
      <c r="G375" s="3263">
        <v>0.15</v>
      </c>
    </row>
    <row r="376" spans="1:7">
      <c r="A376" s="3272" t="s">
        <v>2851</v>
      </c>
      <c r="B376" s="3261" t="s">
        <v>277</v>
      </c>
      <c r="C376" s="3262">
        <v>0.15</v>
      </c>
      <c r="D376" s="3262">
        <v>0.15</v>
      </c>
      <c r="E376" s="3262">
        <v>0.15</v>
      </c>
      <c r="F376" s="3262">
        <v>0.14199999999999999</v>
      </c>
      <c r="G376" s="3263">
        <v>0.15</v>
      </c>
    </row>
    <row r="377" spans="1:7" ht="15" thickBot="1">
      <c r="A377" s="3275" t="s">
        <v>2851</v>
      </c>
      <c r="B377" s="3265" t="s">
        <v>2926</v>
      </c>
      <c r="C377" s="3266">
        <v>0.15</v>
      </c>
      <c r="D377" s="3266">
        <v>0.15</v>
      </c>
      <c r="E377" s="3266">
        <v>0.15</v>
      </c>
      <c r="F377" s="3266">
        <v>0.14000000000000001</v>
      </c>
      <c r="G377" s="3268">
        <v>0.15</v>
      </c>
    </row>
    <row r="378" spans="1:7">
      <c r="A378" s="3271" t="s">
        <v>2852</v>
      </c>
      <c r="B378" s="3257" t="s">
        <v>2866</v>
      </c>
      <c r="C378" s="3258">
        <v>0.15</v>
      </c>
      <c r="D378" s="3258">
        <v>0.15</v>
      </c>
      <c r="E378" s="3258">
        <v>0.15</v>
      </c>
      <c r="F378" s="3258">
        <v>0.107</v>
      </c>
      <c r="G378" s="3259">
        <v>0.15</v>
      </c>
    </row>
    <row r="379" spans="1:7">
      <c r="A379" s="3272" t="s">
        <v>2852</v>
      </c>
      <c r="B379" s="3261" t="s">
        <v>2872</v>
      </c>
      <c r="C379" s="3262">
        <v>0.15</v>
      </c>
      <c r="D379" s="3262">
        <v>0.15</v>
      </c>
      <c r="E379" s="3262">
        <v>0.15</v>
      </c>
      <c r="F379" s="3262">
        <v>0.115</v>
      </c>
      <c r="G379" s="3263">
        <v>0.14899999999999999</v>
      </c>
    </row>
    <row r="380" spans="1:7">
      <c r="A380" s="3272" t="s">
        <v>2852</v>
      </c>
      <c r="B380" s="3261" t="s">
        <v>2878</v>
      </c>
      <c r="C380" s="3262">
        <v>0.15</v>
      </c>
      <c r="D380" s="3262">
        <v>0.15</v>
      </c>
      <c r="E380" s="3262">
        <v>0.15</v>
      </c>
      <c r="F380" s="3262">
        <v>0.1</v>
      </c>
      <c r="G380" s="3263">
        <v>0.14799999999999999</v>
      </c>
    </row>
    <row r="381" spans="1:7">
      <c r="A381" s="3272" t="s">
        <v>2852</v>
      </c>
      <c r="B381" s="3261" t="s">
        <v>2881</v>
      </c>
      <c r="C381" s="3262">
        <v>0.15</v>
      </c>
      <c r="D381" s="3262">
        <v>0.15</v>
      </c>
      <c r="E381" s="3262">
        <v>0.15</v>
      </c>
      <c r="F381" s="3262">
        <v>0.126</v>
      </c>
      <c r="G381" s="3263">
        <v>0.15</v>
      </c>
    </row>
    <row r="382" spans="1:7">
      <c r="A382" s="3272" t="s">
        <v>2852</v>
      </c>
      <c r="B382" s="3261" t="s">
        <v>2885</v>
      </c>
      <c r="C382" s="3262">
        <v>0.15</v>
      </c>
      <c r="D382" s="3262">
        <v>0.15</v>
      </c>
      <c r="E382" s="3262">
        <v>0.15</v>
      </c>
      <c r="F382" s="3262">
        <v>0.15</v>
      </c>
      <c r="G382" s="3263">
        <v>0.15</v>
      </c>
    </row>
    <row r="383" spans="1:7">
      <c r="A383" s="3272" t="s">
        <v>2852</v>
      </c>
      <c r="B383" s="3261" t="s">
        <v>2890</v>
      </c>
      <c r="C383" s="3262">
        <v>0.15</v>
      </c>
      <c r="D383" s="3262">
        <v>0.15</v>
      </c>
      <c r="E383" s="3262">
        <v>0.15</v>
      </c>
      <c r="F383" s="3262">
        <v>0.14699999999999999</v>
      </c>
      <c r="G383" s="3263">
        <v>0.15</v>
      </c>
    </row>
    <row r="384" spans="1:7" ht="15" thickBot="1">
      <c r="A384" s="3282" t="s">
        <v>2852</v>
      </c>
      <c r="B384" s="3283" t="s">
        <v>2894</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88" t="s">
        <v>3233</v>
      </c>
      <c r="B1" s="3888"/>
      <c r="C1" s="3888"/>
      <c r="D1" s="3888"/>
      <c r="E1" s="3888"/>
      <c r="F1" s="3889"/>
    </row>
    <row r="2" spans="1:6">
      <c r="A2" s="3288" t="s">
        <v>3234</v>
      </c>
      <c r="B2" s="3289"/>
      <c r="C2" s="3289"/>
      <c r="D2" s="3289"/>
      <c r="E2" s="3289"/>
      <c r="F2" s="3289"/>
    </row>
    <row r="3" spans="1:6">
      <c r="A3" s="3288" t="s">
        <v>3235</v>
      </c>
      <c r="B3" s="3289"/>
      <c r="C3" s="3289"/>
      <c r="D3" s="3289"/>
      <c r="E3" s="3289"/>
      <c r="F3" s="3290" t="s">
        <v>3236</v>
      </c>
    </row>
    <row r="4" spans="1:6">
      <c r="A4" s="3291" t="s">
        <v>671</v>
      </c>
      <c r="B4" s="3291" t="s">
        <v>672</v>
      </c>
      <c r="C4" s="3291" t="s">
        <v>21</v>
      </c>
      <c r="D4" s="3291" t="s">
        <v>673</v>
      </c>
      <c r="E4" s="3291" t="s">
        <v>3</v>
      </c>
      <c r="F4" s="3291" t="s">
        <v>3237</v>
      </c>
    </row>
    <row r="5" spans="1:6">
      <c r="A5" s="3292" t="s">
        <v>674</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368</v>
      </c>
      <c r="B16" s="3294">
        <v>2230</v>
      </c>
      <c r="C16" s="3294">
        <v>2200</v>
      </c>
      <c r="D16" s="3294">
        <v>2180</v>
      </c>
      <c r="E16" s="3294">
        <v>570</v>
      </c>
      <c r="F16" s="3294">
        <v>1330</v>
      </c>
    </row>
    <row r="17" spans="1:6">
      <c r="A17" s="3292" t="s">
        <v>369</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18" sqref="H18"/>
    </sheetView>
  </sheetViews>
  <sheetFormatPr defaultRowHeight="14.4"/>
  <cols>
    <col min="1" max="1" width="13.88671875" customWidth="1"/>
    <col min="11" max="17" width="0" hidden="1" customWidth="1"/>
    <col min="25" max="30" width="0" hidden="1" customWidth="1"/>
  </cols>
  <sheetData>
    <row r="1" spans="1:30">
      <c r="A1" s="3218">
        <f>'基准地价修正-办公'!G23</f>
        <v>45295</v>
      </c>
      <c r="B1" s="3207" t="s">
        <v>3373</v>
      </c>
      <c r="C1" s="3208"/>
      <c r="D1" s="3208"/>
      <c r="E1" s="3208"/>
      <c r="F1" s="3208"/>
      <c r="G1" s="3208"/>
      <c r="H1" s="3208"/>
      <c r="I1" s="3208"/>
      <c r="J1" s="3162"/>
      <c r="K1" s="3208" t="s">
        <v>453</v>
      </c>
      <c r="L1" s="3208"/>
      <c r="M1" s="3208"/>
      <c r="N1" s="3208"/>
      <c r="O1" s="3208"/>
      <c r="P1" s="3208"/>
      <c r="Q1" s="3162"/>
      <c r="R1" s="3890" t="s">
        <v>455</v>
      </c>
      <c r="S1" s="3891"/>
      <c r="T1" s="3891"/>
      <c r="U1" s="3891"/>
      <c r="V1" s="3891"/>
      <c r="W1" s="3891"/>
      <c r="X1" s="3162"/>
      <c r="Y1" s="3890" t="s">
        <v>456</v>
      </c>
      <c r="Z1" s="3891"/>
      <c r="AA1" s="3891"/>
      <c r="AB1" s="3891"/>
      <c r="AC1" s="3891"/>
      <c r="AD1" s="3891"/>
    </row>
    <row r="2" spans="1:30" s="3140" customFormat="1" ht="15" thickBot="1">
      <c r="B2" s="3141"/>
      <c r="C2" s="3142"/>
      <c r="D2" s="3143" t="s">
        <v>2811</v>
      </c>
      <c r="E2" s="3144" t="s">
        <v>2812</v>
      </c>
      <c r="F2" s="3144" t="s">
        <v>2813</v>
      </c>
      <c r="G2" s="3144" t="s">
        <v>2814</v>
      </c>
      <c r="H2" s="3144" t="s">
        <v>2815</v>
      </c>
      <c r="I2" s="3144" t="s">
        <v>2632</v>
      </c>
      <c r="J2" s="3145"/>
      <c r="K2" s="3143" t="s">
        <v>2811</v>
      </c>
      <c r="L2" s="3144" t="s">
        <v>2812</v>
      </c>
      <c r="M2" s="3144" t="s">
        <v>2813</v>
      </c>
      <c r="N2" s="3144" t="s">
        <v>2814</v>
      </c>
      <c r="O2" s="3144" t="s">
        <v>2816</v>
      </c>
      <c r="P2" s="3144" t="s">
        <v>2632</v>
      </c>
      <c r="Q2" s="3145"/>
      <c r="R2" s="3143" t="s">
        <v>2811</v>
      </c>
      <c r="S2" s="3144" t="s">
        <v>2812</v>
      </c>
      <c r="T2" s="3144" t="s">
        <v>2813</v>
      </c>
      <c r="U2" s="3144" t="s">
        <v>2817</v>
      </c>
      <c r="V2" s="3144" t="s">
        <v>2818</v>
      </c>
      <c r="W2" s="3144" t="s">
        <v>2632</v>
      </c>
      <c r="X2" s="3145"/>
      <c r="Y2" s="3143" t="s">
        <v>2811</v>
      </c>
      <c r="Z2" s="3144" t="s">
        <v>2812</v>
      </c>
      <c r="AA2" s="3144" t="s">
        <v>2813</v>
      </c>
      <c r="AB2" s="3144" t="s">
        <v>2819</v>
      </c>
      <c r="AC2" s="3144" t="s">
        <v>2818</v>
      </c>
      <c r="AD2" s="3144" t="s">
        <v>2632</v>
      </c>
    </row>
    <row r="3" spans="1:30" s="3158" customFormat="1" ht="13.2">
      <c r="A3" s="3146" t="s">
        <v>2820</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2" t="s">
        <v>3377</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3.2">
      <c r="A6" s="2202" t="s">
        <v>3378</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3.2">
      <c r="A7" s="2202" t="s">
        <v>3379</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3.2">
      <c r="A8" s="3183" t="s">
        <v>3371</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3.2">
      <c r="A9" s="3173" t="s">
        <v>3372</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3.2">
      <c r="A10" s="3173" t="s">
        <v>3370</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3.2">
      <c r="A11" s="3173" t="s">
        <v>3369</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3.2">
      <c r="A12" s="3173" t="s">
        <v>3365</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3.2">
      <c r="A13" s="3173" t="s">
        <v>3356</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3.2">
      <c r="A14" s="3173" t="s">
        <v>2821</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3.2">
      <c r="A15" s="3173" t="s">
        <v>2822</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3.2">
      <c r="A16" s="3173" t="s">
        <v>2823</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3.2">
      <c r="A17" s="3173" t="s">
        <v>2824</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ht="13.8" thickBot="1">
      <c r="A18" s="3194" t="s">
        <v>2825</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5" thickTop="1"/>
    <row r="20" spans="1:30" s="3006" customFormat="1">
      <c r="A20" s="3445" t="s">
        <v>3367</v>
      </c>
    </row>
    <row r="21" spans="1:30" s="3006" customFormat="1">
      <c r="I21" s="3205" t="s">
        <v>2826</v>
      </c>
    </row>
    <row r="22" spans="1:30" s="3006" customFormat="1"/>
    <row r="23" spans="1:30" s="3206" customFormat="1" ht="13.2">
      <c r="B23" s="3207" t="s">
        <v>3374</v>
      </c>
      <c r="C23" s="3208"/>
      <c r="D23" s="3208"/>
      <c r="E23" s="3208"/>
      <c r="F23" s="3208"/>
      <c r="G23" s="3208"/>
      <c r="H23" s="3208"/>
      <c r="I23" s="3208"/>
      <c r="J23" s="3162"/>
      <c r="K23" s="3208" t="s">
        <v>2827</v>
      </c>
      <c r="L23" s="3208"/>
      <c r="M23" s="3208"/>
      <c r="N23" s="3208"/>
      <c r="O23" s="3208"/>
      <c r="P23" s="3208"/>
      <c r="Q23" s="3162"/>
      <c r="R23" s="3890" t="s">
        <v>2828</v>
      </c>
      <c r="S23" s="3891"/>
      <c r="T23" s="3891"/>
      <c r="U23" s="3891"/>
      <c r="V23" s="3891"/>
      <c r="W23" s="3891"/>
      <c r="X23" s="3162"/>
      <c r="Y23" s="3890" t="s">
        <v>2829</v>
      </c>
      <c r="Z23" s="3891"/>
      <c r="AA23" s="3891"/>
      <c r="AB23" s="3891"/>
      <c r="AC23" s="3891"/>
      <c r="AD23" s="3891"/>
    </row>
    <row r="24" spans="1:30" s="3140" customFormat="1" ht="15" thickBot="1">
      <c r="B24" s="3141"/>
      <c r="C24" s="3142"/>
      <c r="D24" s="3143" t="s">
        <v>2830</v>
      </c>
      <c r="E24" s="3144" t="s">
        <v>2831</v>
      </c>
      <c r="F24" s="3144" t="s">
        <v>2832</v>
      </c>
      <c r="G24" s="3144" t="s">
        <v>2833</v>
      </c>
      <c r="H24" s="3144"/>
      <c r="I24" s="3144" t="s">
        <v>2834</v>
      </c>
      <c r="J24" s="3145"/>
      <c r="K24" s="3143" t="s">
        <v>2830</v>
      </c>
      <c r="L24" s="3144" t="s">
        <v>2831</v>
      </c>
      <c r="M24" s="3144" t="s">
        <v>2832</v>
      </c>
      <c r="N24" s="3144" t="s">
        <v>2833</v>
      </c>
      <c r="O24" s="3144"/>
      <c r="P24" s="3144" t="s">
        <v>2834</v>
      </c>
      <c r="Q24" s="3145"/>
      <c r="R24" s="3143" t="s">
        <v>2830</v>
      </c>
      <c r="S24" s="3144" t="s">
        <v>2831</v>
      </c>
      <c r="T24" s="3144" t="s">
        <v>2832</v>
      </c>
      <c r="U24" s="3144" t="s">
        <v>2833</v>
      </c>
      <c r="V24" s="3144"/>
      <c r="W24" s="3144" t="s">
        <v>2834</v>
      </c>
      <c r="X24" s="3145"/>
      <c r="Y24" s="3143" t="s">
        <v>2830</v>
      </c>
      <c r="Z24" s="3144" t="s">
        <v>2831</v>
      </c>
      <c r="AA24" s="3144" t="s">
        <v>2832</v>
      </c>
      <c r="AB24" s="3144" t="s">
        <v>2833</v>
      </c>
      <c r="AC24" s="3144"/>
      <c r="AD24" s="3144" t="s">
        <v>2834</v>
      </c>
    </row>
    <row r="25" spans="1:30" s="3158" customFormat="1" ht="13.2">
      <c r="A25" s="3146" t="s">
        <v>2835</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3.2">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3.2">
      <c r="A27" s="2202" t="s">
        <v>3377</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3.2">
      <c r="A28" s="2202" t="s">
        <v>3378</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3.2">
      <c r="A29" s="2202" t="s">
        <v>3379</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3.2">
      <c r="A30" s="3183" t="s">
        <v>3375</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3.2">
      <c r="A31" s="3173" t="s">
        <v>3376</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3.2">
      <c r="A32" s="3173" t="s">
        <v>3370</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3.2">
      <c r="A33" s="3173" t="s">
        <v>3369</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3.2">
      <c r="A34" s="3173" t="s">
        <v>3366</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3.2">
      <c r="A35" s="3173" t="s">
        <v>3356</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3.2">
      <c r="A36" s="3173" t="s">
        <v>2836</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3.2">
      <c r="A37" s="3173" t="s">
        <v>2837</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3.2">
      <c r="A38" s="3173" t="s">
        <v>2838</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3.2">
      <c r="A39" s="3173" t="s">
        <v>2839</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ht="13.8" thickBot="1">
      <c r="A40" s="3194" t="s">
        <v>2825</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5" thickTop="1"/>
    <row r="42" spans="1:30">
      <c r="A42" s="3445" t="s">
        <v>3368</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9"/>
    <col min="2" max="6" width="9" style="2189" customWidth="1"/>
    <col min="7" max="7" width="9" style="2227"/>
    <col min="8" max="8" width="9" style="2189"/>
    <col min="9" max="12" width="9" style="2189" customWidth="1"/>
    <col min="13" max="13" width="2.21875" style="2189" customWidth="1"/>
    <col min="14" max="14" width="9" style="2227" customWidth="1"/>
    <col min="15" max="17" width="9" style="2189" customWidth="1"/>
    <col min="18" max="18" width="2.33203125" style="2189" customWidth="1"/>
    <col min="19" max="19" width="7.109375" style="2227" customWidth="1"/>
    <col min="20" max="22" width="7.109375" style="2189" customWidth="1"/>
    <col min="23" max="23" width="24.21875" style="2189" customWidth="1"/>
    <col min="24" max="25" width="9" style="2189"/>
    <col min="26" max="27" width="11.6640625" style="2189" customWidth="1"/>
    <col min="28" max="28" width="9" style="2189"/>
    <col min="29" max="29" width="2" style="2189" customWidth="1"/>
    <col min="30" max="16384" width="9" style="2189"/>
  </cols>
  <sheetData>
    <row r="1" spans="1:34" s="2168" customFormat="1">
      <c r="B1" s="3897" t="s">
        <v>451</v>
      </c>
      <c r="C1" s="3897"/>
      <c r="D1" s="3897"/>
      <c r="E1" s="3897"/>
      <c r="F1" s="3897"/>
      <c r="G1" s="3896" t="s">
        <v>452</v>
      </c>
      <c r="H1" s="3896"/>
      <c r="I1" s="3896"/>
      <c r="J1" s="3896"/>
      <c r="K1" s="3896"/>
      <c r="L1" s="3896"/>
      <c r="N1" s="3896" t="s">
        <v>453</v>
      </c>
      <c r="O1" s="3896"/>
      <c r="P1" s="3896"/>
      <c r="Q1" s="3896"/>
      <c r="S1" s="3896" t="s">
        <v>454</v>
      </c>
      <c r="T1" s="3896"/>
      <c r="U1" s="3896"/>
      <c r="V1" s="3896"/>
      <c r="X1" s="3895" t="s">
        <v>455</v>
      </c>
      <c r="Y1" s="3896"/>
      <c r="Z1" s="3896"/>
      <c r="AA1" s="3896"/>
      <c r="AB1" s="3896"/>
      <c r="AD1" s="3895" t="s">
        <v>456</v>
      </c>
      <c r="AE1" s="3896"/>
      <c r="AF1" s="3896"/>
      <c r="AG1" s="3896"/>
      <c r="AH1" s="3896"/>
    </row>
    <row r="2" spans="1:34" s="2169" customFormat="1" ht="15" thickBot="1">
      <c r="B2" s="2170" t="s">
        <v>457</v>
      </c>
      <c r="C2" s="2170" t="s">
        <v>458</v>
      </c>
      <c r="D2" s="2171" t="s">
        <v>459</v>
      </c>
      <c r="E2" s="2171" t="s">
        <v>460</v>
      </c>
      <c r="F2" s="2170" t="s">
        <v>461</v>
      </c>
      <c r="G2" s="2172"/>
      <c r="I2" s="2170" t="s">
        <v>457</v>
      </c>
      <c r="J2" s="2171" t="s">
        <v>675</v>
      </c>
      <c r="K2" s="2171" t="s">
        <v>308</v>
      </c>
      <c r="L2" s="2170" t="s">
        <v>461</v>
      </c>
      <c r="N2" s="2170" t="s">
        <v>457</v>
      </c>
      <c r="O2" s="2171" t="s">
        <v>675</v>
      </c>
      <c r="P2" s="2171" t="s">
        <v>308</v>
      </c>
      <c r="Q2" s="2170" t="s">
        <v>461</v>
      </c>
      <c r="S2" s="2170" t="s">
        <v>457</v>
      </c>
      <c r="T2" s="2171" t="s">
        <v>675</v>
      </c>
      <c r="U2" s="2171" t="s">
        <v>308</v>
      </c>
      <c r="V2" s="2170" t="s">
        <v>461</v>
      </c>
      <c r="X2" s="2170" t="s">
        <v>457</v>
      </c>
      <c r="Y2" s="2170" t="s">
        <v>458</v>
      </c>
      <c r="Z2" s="2171" t="s">
        <v>459</v>
      </c>
      <c r="AA2" s="2171" t="s">
        <v>460</v>
      </c>
      <c r="AB2" s="2170" t="s">
        <v>461</v>
      </c>
      <c r="AD2" s="2170" t="s">
        <v>457</v>
      </c>
      <c r="AE2" s="2170" t="s">
        <v>458</v>
      </c>
      <c r="AF2" s="2171" t="s">
        <v>459</v>
      </c>
      <c r="AG2" s="2171" t="s">
        <v>460</v>
      </c>
      <c r="AH2" s="2170" t="s">
        <v>461</v>
      </c>
    </row>
    <row r="3" spans="1:34" s="2179" customFormat="1" ht="14.4">
      <c r="A3" s="2173" t="s">
        <v>2111</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4">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3364</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3361</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2112</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3362</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3363</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2437</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2314</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2313</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2312</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2309</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2308</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2127</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2125</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2124</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8" thickBot="1">
      <c r="A18" s="2202" t="s">
        <v>2123</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2121</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8" thickBot="1">
      <c r="A20" s="2202" t="s">
        <v>2120</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2122</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93">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 customHeight="1">
      <c r="A22" s="2202" t="s">
        <v>2118</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93"/>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 customHeight="1">
      <c r="A23" s="2202" t="s">
        <v>2117</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93"/>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2110</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902"/>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2108</v>
      </c>
      <c r="B25" s="2217">
        <v>439</v>
      </c>
      <c r="C25" s="2217">
        <v>327</v>
      </c>
      <c r="D25" s="2217">
        <f>C25</f>
        <v>327</v>
      </c>
      <c r="E25" s="2217">
        <v>627</v>
      </c>
      <c r="F25" s="2218">
        <v>283</v>
      </c>
      <c r="G25" s="3898">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 customHeight="1">
      <c r="A26" s="2202" t="s">
        <v>2109</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93"/>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 customHeight="1">
      <c r="A27" s="2202" t="s">
        <v>676</v>
      </c>
      <c r="B27" s="2203">
        <f t="shared" si="232"/>
        <v>419.31181600000002</v>
      </c>
      <c r="C27" s="2203">
        <f t="shared" si="233"/>
        <v>313.95436800000004</v>
      </c>
      <c r="D27" s="2203">
        <f t="shared" si="234"/>
        <v>313.95436800000004</v>
      </c>
      <c r="E27" s="2203">
        <f t="shared" si="235"/>
        <v>596.63028431999999</v>
      </c>
      <c r="F27" s="2203">
        <f t="shared" si="236"/>
        <v>274.74220703999998</v>
      </c>
      <c r="G27" s="3893"/>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462</v>
      </c>
      <c r="B28" s="2203">
        <f>B29*(1+N28)</f>
        <v>405.524</v>
      </c>
      <c r="C28" s="2203">
        <f>C29*(1+O28)</f>
        <v>307.79840000000002</v>
      </c>
      <c r="D28" s="2203">
        <f>C28</f>
        <v>307.79840000000002</v>
      </c>
      <c r="E28" s="2203">
        <f>E29*(1+P28)</f>
        <v>574.67759999999998</v>
      </c>
      <c r="F28" s="2203">
        <f>F29*(1+Q28)</f>
        <v>270.20280000000002</v>
      </c>
      <c r="G28" s="3902"/>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98">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93"/>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93"/>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8"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94"/>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8" thickBot="1">
      <c r="A33" s="2202" t="s">
        <v>124</v>
      </c>
      <c r="B33" s="2217">
        <v>333</v>
      </c>
      <c r="C33" s="2217">
        <v>277</v>
      </c>
      <c r="D33" s="2217">
        <f t="shared" si="246"/>
        <v>277</v>
      </c>
      <c r="E33" s="2217">
        <v>459</v>
      </c>
      <c r="F33" s="2218">
        <v>249</v>
      </c>
      <c r="G33" s="3892">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93"/>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93"/>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94"/>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8" thickBot="1">
      <c r="A37" s="2202" t="s">
        <v>120</v>
      </c>
      <c r="B37" s="2231">
        <v>318</v>
      </c>
      <c r="C37" s="2231">
        <v>268</v>
      </c>
      <c r="D37" s="2231">
        <f t="shared" si="246"/>
        <v>268</v>
      </c>
      <c r="E37" s="2231">
        <v>437</v>
      </c>
      <c r="F37" s="2232">
        <v>237</v>
      </c>
      <c r="G37" s="3892">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93"/>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8"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93"/>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8"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94"/>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463</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8" thickBot="1">
      <c r="A41" s="2202" t="s">
        <v>464</v>
      </c>
      <c r="B41" s="2217">
        <v>299</v>
      </c>
      <c r="C41" s="2217">
        <v>252</v>
      </c>
      <c r="D41" s="2217">
        <f t="shared" si="246"/>
        <v>252</v>
      </c>
      <c r="E41" s="2217">
        <v>409</v>
      </c>
      <c r="F41" s="2218">
        <v>227</v>
      </c>
      <c r="G41" s="3899">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465</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900"/>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466</v>
      </c>
      <c r="B43" s="2203">
        <f t="shared" si="255"/>
        <v>288.2649053828776</v>
      </c>
      <c r="C43" s="2203">
        <f t="shared" si="255"/>
        <v>243.64564425013293</v>
      </c>
      <c r="D43" s="2203">
        <f t="shared" si="246"/>
        <v>243.64564425013293</v>
      </c>
      <c r="E43" s="2203">
        <f t="shared" si="256"/>
        <v>393.31080825986544</v>
      </c>
      <c r="F43" s="2203">
        <f t="shared" si="256"/>
        <v>223.07903790551154</v>
      </c>
      <c r="G43" s="3900"/>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467</v>
      </c>
      <c r="B44" s="2203">
        <f t="shared" si="255"/>
        <v>282.50186729015837</v>
      </c>
      <c r="C44" s="2203">
        <f t="shared" si="255"/>
        <v>238.09796174155468</v>
      </c>
      <c r="D44" s="2203">
        <f t="shared" si="246"/>
        <v>238.09796174155468</v>
      </c>
      <c r="E44" s="2203">
        <f t="shared" si="256"/>
        <v>385.33438646014054</v>
      </c>
      <c r="F44" s="2203">
        <f t="shared" si="256"/>
        <v>221.55034055567739</v>
      </c>
      <c r="G44" s="3901"/>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8" thickBot="1">
      <c r="A45" s="2202" t="s">
        <v>468</v>
      </c>
      <c r="B45" s="2252">
        <v>278</v>
      </c>
      <c r="C45" s="2252">
        <v>234</v>
      </c>
      <c r="D45" s="2252">
        <f t="shared" si="246"/>
        <v>234</v>
      </c>
      <c r="E45" s="2252">
        <v>379</v>
      </c>
      <c r="F45" s="2253">
        <v>220</v>
      </c>
      <c r="G45" s="3892">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469</v>
      </c>
      <c r="B46" s="2203">
        <f>B45/(1+N45)</f>
        <v>275.49301357645425</v>
      </c>
      <c r="C46" s="2203">
        <f>C45/(1+O45)</f>
        <v>232.41954707985698</v>
      </c>
      <c r="D46" s="2203">
        <f t="shared" si="246"/>
        <v>232.41954707985698</v>
      </c>
      <c r="E46" s="2203">
        <f t="shared" ref="E46:F48" si="257">E45/(1+P45)</f>
        <v>375.32184591008121</v>
      </c>
      <c r="F46" s="2203">
        <f t="shared" si="257"/>
        <v>218.03766105054513</v>
      </c>
      <c r="G46" s="3893"/>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470</v>
      </c>
      <c r="B47" s="2203">
        <f>B46/(1+N46)</f>
        <v>275.24529281292263</v>
      </c>
      <c r="C47" s="2203">
        <f>C46/(1+O46)</f>
        <v>231.74747938962707</v>
      </c>
      <c r="D47" s="2203">
        <f t="shared" si="246"/>
        <v>231.74747938962707</v>
      </c>
      <c r="E47" s="2203">
        <f t="shared" si="257"/>
        <v>375.35938184826603</v>
      </c>
      <c r="F47" s="2203">
        <f t="shared" si="257"/>
        <v>216.78033510692495</v>
      </c>
      <c r="G47" s="3893"/>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8" thickBot="1">
      <c r="A48" s="2202" t="s">
        <v>471</v>
      </c>
      <c r="B48" s="2203">
        <f>B47/(1+N47)</f>
        <v>275.19025476197027</v>
      </c>
      <c r="C48" s="2254">
        <v>232</v>
      </c>
      <c r="D48" s="2254">
        <f t="shared" si="246"/>
        <v>232</v>
      </c>
      <c r="E48" s="2203">
        <f t="shared" si="257"/>
        <v>375.65990977608692</v>
      </c>
      <c r="F48" s="2203">
        <f t="shared" si="257"/>
        <v>214.12518283971252</v>
      </c>
      <c r="G48" s="3894"/>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8" thickBot="1">
      <c r="A49" s="2202" t="s">
        <v>472</v>
      </c>
      <c r="B49" s="2217">
        <v>275</v>
      </c>
      <c r="C49" s="2217">
        <v>232</v>
      </c>
      <c r="D49" s="2217">
        <f t="shared" si="246"/>
        <v>232</v>
      </c>
      <c r="E49" s="2217">
        <v>376</v>
      </c>
      <c r="F49" s="2218">
        <v>213</v>
      </c>
      <c r="G49" s="3892">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473</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93">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474</v>
      </c>
      <c r="B51" s="2203">
        <f t="shared" si="258"/>
        <v>275.19335084830601</v>
      </c>
      <c r="C51" s="2203">
        <f t="shared" si="258"/>
        <v>230.18088050139744</v>
      </c>
      <c r="D51" s="2203">
        <f t="shared" si="246"/>
        <v>230.18088050139744</v>
      </c>
      <c r="E51" s="2203">
        <f t="shared" si="259"/>
        <v>377.58482925212331</v>
      </c>
      <c r="F51" s="2203">
        <f t="shared" si="259"/>
        <v>210.90687997847917</v>
      </c>
      <c r="G51" s="3893">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8" thickBot="1">
      <c r="A52" s="2202" t="s">
        <v>475</v>
      </c>
      <c r="B52" s="2203">
        <f t="shared" si="258"/>
        <v>276.29854502841971</v>
      </c>
      <c r="C52" s="2203">
        <f t="shared" si="258"/>
        <v>229.79023709833027</v>
      </c>
      <c r="D52" s="2203">
        <f t="shared" si="246"/>
        <v>229.79023709833027</v>
      </c>
      <c r="E52" s="2203">
        <f t="shared" si="259"/>
        <v>379.78759731655936</v>
      </c>
      <c r="F52" s="2203">
        <f t="shared" si="259"/>
        <v>211.32953905659235</v>
      </c>
      <c r="G52" s="3894">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8" thickBot="1">
      <c r="A53" s="2202" t="s">
        <v>476</v>
      </c>
      <c r="B53" s="2217">
        <v>269</v>
      </c>
      <c r="C53" s="2217">
        <v>221</v>
      </c>
      <c r="D53" s="2217">
        <f t="shared" si="246"/>
        <v>221</v>
      </c>
      <c r="E53" s="2217">
        <v>373</v>
      </c>
      <c r="F53" s="2218">
        <v>196</v>
      </c>
      <c r="G53" s="3892">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477</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93">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478</v>
      </c>
      <c r="B55" s="2203">
        <f t="shared" si="260"/>
        <v>242.95398227588385</v>
      </c>
      <c r="C55" s="2203">
        <f t="shared" si="260"/>
        <v>199.59137053614126</v>
      </c>
      <c r="D55" s="2203">
        <f t="shared" si="246"/>
        <v>199.59137053614126</v>
      </c>
      <c r="E55" s="2203">
        <f t="shared" si="261"/>
        <v>335.92189522342125</v>
      </c>
      <c r="F55" s="2203">
        <f t="shared" si="261"/>
        <v>183.10139991109489</v>
      </c>
      <c r="G55" s="3893">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8" thickBot="1">
      <c r="A56" s="2202" t="s">
        <v>479</v>
      </c>
      <c r="B56" s="2203">
        <f t="shared" si="260"/>
        <v>232.06990378821649</v>
      </c>
      <c r="C56" s="2203">
        <f t="shared" si="260"/>
        <v>192.74878854286936</v>
      </c>
      <c r="D56" s="2203">
        <f t="shared" si="246"/>
        <v>192.74878854286936</v>
      </c>
      <c r="E56" s="2203">
        <f t="shared" si="261"/>
        <v>319.71247284992984</v>
      </c>
      <c r="F56" s="2203">
        <f t="shared" si="261"/>
        <v>175.67053622862409</v>
      </c>
      <c r="G56" s="3894">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8" thickBot="1">
      <c r="A57" s="2202" t="s">
        <v>480</v>
      </c>
      <c r="B57" s="2217">
        <v>220</v>
      </c>
      <c r="C57" s="2217">
        <v>187</v>
      </c>
      <c r="D57" s="2217">
        <f t="shared" si="246"/>
        <v>187</v>
      </c>
      <c r="E57" s="2217">
        <v>301</v>
      </c>
      <c r="F57" s="2218">
        <v>168</v>
      </c>
      <c r="G57" s="3892">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481</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93">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482</v>
      </c>
      <c r="B59" s="2203">
        <f t="shared" si="262"/>
        <v>210.630522469011</v>
      </c>
      <c r="C59" s="2203">
        <f t="shared" si="262"/>
        <v>181.69567812247232</v>
      </c>
      <c r="D59" s="2203">
        <f t="shared" si="246"/>
        <v>181.69567812247232</v>
      </c>
      <c r="E59" s="2203">
        <f t="shared" si="263"/>
        <v>286.13517466736738</v>
      </c>
      <c r="F59" s="2203">
        <f t="shared" si="263"/>
        <v>165.47535084591149</v>
      </c>
      <c r="G59" s="3893">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483</v>
      </c>
      <c r="B60" s="2203">
        <f t="shared" si="262"/>
        <v>208.83454537875372</v>
      </c>
      <c r="C60" s="2203">
        <f t="shared" si="262"/>
        <v>183.77230517090351</v>
      </c>
      <c r="D60" s="2203">
        <f t="shared" si="246"/>
        <v>183.77230517090351</v>
      </c>
      <c r="E60" s="2203">
        <f t="shared" si="263"/>
        <v>281.10342338870947</v>
      </c>
      <c r="F60" s="2203">
        <f t="shared" si="263"/>
        <v>168.97309388942256</v>
      </c>
      <c r="G60" s="3894">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8" thickBot="1">
      <c r="A61" s="2202" t="s">
        <v>484</v>
      </c>
      <c r="B61" s="2252">
        <v>214</v>
      </c>
      <c r="C61" s="2252">
        <v>188</v>
      </c>
      <c r="D61" s="2252">
        <f t="shared" si="246"/>
        <v>188</v>
      </c>
      <c r="E61" s="2252">
        <v>289</v>
      </c>
      <c r="F61" s="2253">
        <v>166</v>
      </c>
      <c r="G61" s="3892">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485</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93">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486</v>
      </c>
      <c r="B63" s="2203">
        <f t="shared" si="264"/>
        <v>206.31694671589116</v>
      </c>
      <c r="C63" s="2203">
        <f t="shared" si="264"/>
        <v>183.61041121036101</v>
      </c>
      <c r="D63" s="2203">
        <f t="shared" si="246"/>
        <v>183.61041121036101</v>
      </c>
      <c r="E63" s="2203">
        <f t="shared" si="265"/>
        <v>276.66850301795557</v>
      </c>
      <c r="F63" s="2203">
        <f t="shared" si="265"/>
        <v>165.1360938278614</v>
      </c>
      <c r="G63" s="3893">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8" thickBot="1">
      <c r="A64" s="2202" t="s">
        <v>487</v>
      </c>
      <c r="B64" s="2255">
        <f t="shared" si="264"/>
        <v>196.62341248059772</v>
      </c>
      <c r="C64" s="2255">
        <f t="shared" si="264"/>
        <v>170.99125648199012</v>
      </c>
      <c r="D64" s="2255">
        <f t="shared" si="246"/>
        <v>170.99125648199012</v>
      </c>
      <c r="E64" s="2255">
        <f t="shared" si="265"/>
        <v>266.07857570490052</v>
      </c>
      <c r="F64" s="2255">
        <f t="shared" si="265"/>
        <v>154.53499328828505</v>
      </c>
      <c r="G64" s="3894">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8" thickBot="1">
      <c r="A65" s="2202" t="s">
        <v>488</v>
      </c>
      <c r="B65" s="2217">
        <v>188</v>
      </c>
      <c r="C65" s="2217">
        <v>165</v>
      </c>
      <c r="D65" s="2217">
        <f t="shared" si="246"/>
        <v>165</v>
      </c>
      <c r="E65" s="2217">
        <v>254</v>
      </c>
      <c r="F65" s="2218">
        <v>148</v>
      </c>
      <c r="G65" s="3892">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489</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93">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490</v>
      </c>
      <c r="B67" s="2203">
        <f t="shared" si="268"/>
        <v>168.82017748715555</v>
      </c>
      <c r="C67" s="2203">
        <f t="shared" si="268"/>
        <v>148.06267029972753</v>
      </c>
      <c r="D67" s="2203">
        <f t="shared" si="246"/>
        <v>148.06267029972753</v>
      </c>
      <c r="E67" s="2203">
        <f t="shared" si="269"/>
        <v>216.46288379323747</v>
      </c>
      <c r="F67" s="2203">
        <f t="shared" si="269"/>
        <v>134.23529411764704</v>
      </c>
      <c r="G67" s="3893">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491</v>
      </c>
      <c r="B68" s="2203">
        <f t="shared" si="268"/>
        <v>163.84913591779542</v>
      </c>
      <c r="C68" s="2203">
        <f t="shared" si="268"/>
        <v>145.0283378746594</v>
      </c>
      <c r="D68" s="2203">
        <f t="shared" si="246"/>
        <v>145.0283378746594</v>
      </c>
      <c r="E68" s="2203">
        <f t="shared" si="269"/>
        <v>204.95180722891567</v>
      </c>
      <c r="F68" s="2203">
        <f t="shared" si="269"/>
        <v>125.95920303605313</v>
      </c>
      <c r="G68" s="3894">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8" thickBot="1">
      <c r="A69" s="2202" t="s">
        <v>492</v>
      </c>
      <c r="B69" s="2231">
        <v>159</v>
      </c>
      <c r="C69" s="2231">
        <v>141</v>
      </c>
      <c r="D69" s="2231">
        <f t="shared" si="246"/>
        <v>141</v>
      </c>
      <c r="E69" s="2231">
        <v>195</v>
      </c>
      <c r="F69" s="2232">
        <v>122</v>
      </c>
      <c r="G69" s="3892">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493</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93">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494</v>
      </c>
      <c r="B71" s="2203">
        <f t="shared" si="272"/>
        <v>146.57412060301507</v>
      </c>
      <c r="C71" s="2203">
        <f t="shared" si="272"/>
        <v>136.46831955922866</v>
      </c>
      <c r="D71" s="2203">
        <f t="shared" si="246"/>
        <v>136.46831955922866</v>
      </c>
      <c r="E71" s="2203">
        <f t="shared" si="273"/>
        <v>166.73864894795128</v>
      </c>
      <c r="F71" s="2203">
        <f t="shared" si="273"/>
        <v>115.05882352941177</v>
      </c>
      <c r="G71" s="3893">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495</v>
      </c>
      <c r="B72" s="2203">
        <f t="shared" si="272"/>
        <v>144.04145728643215</v>
      </c>
      <c r="C72" s="2203">
        <f t="shared" si="272"/>
        <v>136.12396694214877</v>
      </c>
      <c r="D72" s="2203">
        <f t="shared" si="246"/>
        <v>136.12396694214877</v>
      </c>
      <c r="E72" s="2203">
        <f t="shared" si="273"/>
        <v>158.32225913621264</v>
      </c>
      <c r="F72" s="2203">
        <f t="shared" si="273"/>
        <v>114.04278074866311</v>
      </c>
      <c r="G72" s="3894">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8" thickBot="1">
      <c r="A73" s="2202" t="s">
        <v>496</v>
      </c>
      <c r="B73" s="2231">
        <v>138</v>
      </c>
      <c r="C73" s="2231">
        <v>131</v>
      </c>
      <c r="D73" s="2231">
        <f t="shared" si="246"/>
        <v>131</v>
      </c>
      <c r="E73" s="2231">
        <v>155</v>
      </c>
      <c r="F73" s="2232">
        <v>114</v>
      </c>
      <c r="G73" s="3892">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497</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93">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498</v>
      </c>
      <c r="B75" s="2203">
        <f t="shared" si="276"/>
        <v>124.29032258064517</v>
      </c>
      <c r="C75" s="2203">
        <f t="shared" si="276"/>
        <v>123.8968609865471</v>
      </c>
      <c r="D75" s="2203">
        <f t="shared" si="246"/>
        <v>123.8968609865471</v>
      </c>
      <c r="E75" s="2203">
        <f t="shared" si="277"/>
        <v>138.00507614213197</v>
      </c>
      <c r="F75" s="2203">
        <f t="shared" si="277"/>
        <v>107.96106557377048</v>
      </c>
      <c r="G75" s="3893">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499</v>
      </c>
      <c r="B76" s="2203">
        <f t="shared" si="276"/>
        <v>122.57204301075269</v>
      </c>
      <c r="C76" s="2203">
        <f t="shared" si="276"/>
        <v>123.4932735426009</v>
      </c>
      <c r="D76" s="2203">
        <f t="shared" si="246"/>
        <v>123.4932735426009</v>
      </c>
      <c r="E76" s="2203">
        <f t="shared" si="277"/>
        <v>129.82233502538071</v>
      </c>
      <c r="F76" s="2203">
        <f t="shared" si="277"/>
        <v>107.39446721311475</v>
      </c>
      <c r="G76" s="3894">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8" thickBot="1">
      <c r="A77" s="2202" t="s">
        <v>500</v>
      </c>
      <c r="B77" s="2252">
        <v>121</v>
      </c>
      <c r="C77" s="2252">
        <v>122</v>
      </c>
      <c r="D77" s="2252">
        <f t="shared" si="246"/>
        <v>122</v>
      </c>
      <c r="E77" s="2252">
        <v>124</v>
      </c>
      <c r="F77" s="2253">
        <v>107</v>
      </c>
      <c r="G77" s="3892">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501</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93">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502</v>
      </c>
      <c r="B79" s="2203">
        <f t="shared" si="280"/>
        <v>116.99099099099099</v>
      </c>
      <c r="C79" s="2203">
        <f t="shared" si="280"/>
        <v>118.84848484848486</v>
      </c>
      <c r="D79" s="2203">
        <f t="shared" si="246"/>
        <v>118.84848484848486</v>
      </c>
      <c r="E79" s="2203">
        <f t="shared" si="281"/>
        <v>117.60960960960961</v>
      </c>
      <c r="F79" s="2203">
        <f t="shared" si="281"/>
        <v>104</v>
      </c>
      <c r="G79" s="3893">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8" thickBot="1">
      <c r="A80" s="2202" t="s">
        <v>503</v>
      </c>
      <c r="B80" s="2255">
        <f t="shared" si="280"/>
        <v>112.48648648648648</v>
      </c>
      <c r="C80" s="2255">
        <f t="shared" si="280"/>
        <v>115.21212121212122</v>
      </c>
      <c r="D80" s="2255">
        <f t="shared" si="246"/>
        <v>115.21212121212122</v>
      </c>
      <c r="E80" s="2255">
        <f t="shared" si="281"/>
        <v>110.4024024024024</v>
      </c>
      <c r="F80" s="2255">
        <f t="shared" si="281"/>
        <v>104</v>
      </c>
      <c r="G80" s="3894">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8" thickBot="1">
      <c r="A81" s="2202" t="s">
        <v>504</v>
      </c>
      <c r="B81" s="2272">
        <v>111</v>
      </c>
      <c r="C81" s="2272">
        <v>114</v>
      </c>
      <c r="D81" s="2272">
        <f t="shared" si="246"/>
        <v>114</v>
      </c>
      <c r="E81" s="2272">
        <v>108</v>
      </c>
      <c r="F81" s="2273">
        <v>104</v>
      </c>
      <c r="G81" s="3892">
        <v>2003</v>
      </c>
      <c r="H81" s="2262">
        <v>4</v>
      </c>
      <c r="I81" s="2274"/>
      <c r="J81" s="2274"/>
      <c r="K81" s="2274"/>
      <c r="L81" s="2274"/>
      <c r="N81" s="2275"/>
      <c r="O81" s="2274"/>
      <c r="P81" s="2274"/>
      <c r="Q81" s="2274"/>
      <c r="S81" s="2275"/>
      <c r="T81" s="2274"/>
      <c r="U81" s="2274"/>
      <c r="V81" s="2274"/>
      <c r="X81" s="2266"/>
      <c r="Y81" s="2266"/>
      <c r="Z81" s="2266"/>
    </row>
    <row r="82" spans="1:26">
      <c r="A82" s="2202" t="s">
        <v>505</v>
      </c>
      <c r="B82" s="2276">
        <f t="shared" ref="B82:C84" si="282">B83+(B$81-B$85)/4</f>
        <v>109.75</v>
      </c>
      <c r="C82" s="2276">
        <f t="shared" si="282"/>
        <v>112.25</v>
      </c>
      <c r="D82" s="2276">
        <f t="shared" si="246"/>
        <v>112.25</v>
      </c>
      <c r="E82" s="2276">
        <f t="shared" ref="E82:F84" si="283">E83+(E$81-E$85)/4</f>
        <v>107.25</v>
      </c>
      <c r="F82" s="2276">
        <f t="shared" si="283"/>
        <v>103.5</v>
      </c>
      <c r="G82" s="3893">
        <v>2003</v>
      </c>
      <c r="H82" s="2228">
        <v>3</v>
      </c>
      <c r="I82" s="2274"/>
      <c r="J82" s="2274"/>
      <c r="K82" s="2274"/>
      <c r="L82" s="2274"/>
      <c r="X82" s="2266"/>
      <c r="Y82" s="2266"/>
      <c r="Z82" s="2266"/>
    </row>
    <row r="83" spans="1:26">
      <c r="A83" s="2202" t="s">
        <v>506</v>
      </c>
      <c r="B83" s="2276">
        <f t="shared" si="282"/>
        <v>108.5</v>
      </c>
      <c r="C83" s="2276">
        <f t="shared" si="282"/>
        <v>110.5</v>
      </c>
      <c r="D83" s="2276">
        <f t="shared" si="246"/>
        <v>110.5</v>
      </c>
      <c r="E83" s="2276">
        <f t="shared" si="283"/>
        <v>106.5</v>
      </c>
      <c r="F83" s="2276">
        <f t="shared" si="283"/>
        <v>103</v>
      </c>
      <c r="G83" s="3893">
        <v>2003</v>
      </c>
      <c r="H83" s="2215">
        <v>2</v>
      </c>
      <c r="I83" s="2274"/>
      <c r="J83" s="2274"/>
      <c r="K83" s="2274"/>
      <c r="L83" s="2274"/>
      <c r="X83" s="2266"/>
      <c r="Y83" s="2266"/>
      <c r="Z83" s="2266"/>
    </row>
    <row r="84" spans="1:26" ht="13.8" thickBot="1">
      <c r="A84" s="2202" t="s">
        <v>507</v>
      </c>
      <c r="B84" s="2276">
        <f t="shared" si="282"/>
        <v>107.25</v>
      </c>
      <c r="C84" s="2276">
        <f t="shared" si="282"/>
        <v>108.75</v>
      </c>
      <c r="D84" s="2276">
        <f t="shared" si="246"/>
        <v>108.75</v>
      </c>
      <c r="E84" s="2276">
        <f t="shared" si="283"/>
        <v>105.75</v>
      </c>
      <c r="F84" s="2276">
        <f t="shared" si="283"/>
        <v>102.5</v>
      </c>
      <c r="G84" s="3894">
        <v>2003</v>
      </c>
      <c r="H84" s="2277">
        <v>1</v>
      </c>
      <c r="I84" s="2274"/>
      <c r="J84" s="2274"/>
      <c r="K84" s="2274"/>
      <c r="L84" s="2274"/>
      <c r="S84" s="2205"/>
      <c r="T84" s="2190"/>
      <c r="U84" s="2190"/>
      <c r="X84" s="2266"/>
      <c r="Y84" s="2266"/>
      <c r="Z84" s="2266"/>
    </row>
    <row r="85" spans="1:26" ht="13.8" thickBot="1">
      <c r="A85" s="2202" t="s">
        <v>508</v>
      </c>
      <c r="B85" s="2278">
        <v>106</v>
      </c>
      <c r="C85" s="2278">
        <v>107</v>
      </c>
      <c r="D85" s="2278">
        <f t="shared" si="246"/>
        <v>107</v>
      </c>
      <c r="E85" s="2278">
        <v>105</v>
      </c>
      <c r="F85" s="2279">
        <v>102</v>
      </c>
      <c r="G85" s="3892">
        <v>2002</v>
      </c>
      <c r="H85" s="2223">
        <v>4</v>
      </c>
      <c r="I85" s="2274"/>
      <c r="J85" s="2274"/>
      <c r="K85" s="2274"/>
      <c r="L85" s="2274"/>
      <c r="N85" s="2275"/>
      <c r="O85" s="2274"/>
      <c r="P85" s="2274"/>
      <c r="Q85" s="2274"/>
      <c r="S85" s="2275"/>
      <c r="T85" s="2274"/>
      <c r="U85" s="2274"/>
      <c r="V85" s="2274"/>
      <c r="X85" s="2266"/>
      <c r="Y85" s="2266"/>
      <c r="Z85" s="2266"/>
    </row>
    <row r="86" spans="1:26">
      <c r="A86" s="2202" t="s">
        <v>509</v>
      </c>
      <c r="B86" s="2276">
        <f t="shared" ref="B86:C88" si="284">B87+(B$85-B$89)/4</f>
        <v>105</v>
      </c>
      <c r="C86" s="2276">
        <f t="shared" si="284"/>
        <v>106</v>
      </c>
      <c r="D86" s="2276">
        <f t="shared" si="246"/>
        <v>106</v>
      </c>
      <c r="E86" s="2276">
        <f t="shared" ref="E86:F88" si="285">E87+(E$85-E$89)/4</f>
        <v>104.5</v>
      </c>
      <c r="F86" s="2276">
        <f t="shared" si="285"/>
        <v>101.5</v>
      </c>
      <c r="G86" s="3893">
        <v>2002</v>
      </c>
      <c r="H86" s="2228">
        <v>3</v>
      </c>
      <c r="I86" s="2274"/>
      <c r="J86" s="2274"/>
      <c r="K86" s="2274"/>
      <c r="L86" s="2274"/>
      <c r="X86" s="2266"/>
      <c r="Y86" s="2266"/>
      <c r="Z86" s="2266"/>
    </row>
    <row r="87" spans="1:26">
      <c r="A87" s="2202" t="s">
        <v>510</v>
      </c>
      <c r="B87" s="2276">
        <f t="shared" si="284"/>
        <v>104</v>
      </c>
      <c r="C87" s="2276">
        <f t="shared" si="284"/>
        <v>105</v>
      </c>
      <c r="D87" s="2276">
        <f t="shared" si="246"/>
        <v>105</v>
      </c>
      <c r="E87" s="2276">
        <f t="shared" si="285"/>
        <v>104</v>
      </c>
      <c r="F87" s="2276">
        <f t="shared" si="285"/>
        <v>101</v>
      </c>
      <c r="G87" s="3893">
        <v>2002</v>
      </c>
      <c r="H87" s="2215">
        <v>2</v>
      </c>
      <c r="I87" s="2274"/>
      <c r="J87" s="2274"/>
      <c r="K87" s="2274"/>
      <c r="L87" s="2274"/>
      <c r="X87" s="2266"/>
      <c r="Y87" s="2266"/>
      <c r="Z87" s="2266"/>
    </row>
    <row r="88" spans="1:26" s="2239" customFormat="1" ht="13.8" thickBot="1">
      <c r="A88" s="2235" t="s">
        <v>511</v>
      </c>
      <c r="B88" s="2242">
        <f t="shared" si="284"/>
        <v>103</v>
      </c>
      <c r="C88" s="2242">
        <f t="shared" si="284"/>
        <v>104</v>
      </c>
      <c r="D88" s="2242">
        <f t="shared" si="246"/>
        <v>104</v>
      </c>
      <c r="E88" s="2242">
        <f t="shared" si="285"/>
        <v>103.5</v>
      </c>
      <c r="F88" s="2242">
        <f t="shared" si="285"/>
        <v>100.5</v>
      </c>
      <c r="G88" s="3894">
        <v>2002</v>
      </c>
      <c r="H88" s="2280">
        <v>1</v>
      </c>
      <c r="I88" s="2281"/>
      <c r="J88" s="2281"/>
      <c r="K88" s="2281"/>
      <c r="L88" s="2281"/>
      <c r="N88" s="2282"/>
      <c r="S88" s="2282"/>
      <c r="X88" s="2283"/>
      <c r="Y88" s="2283"/>
      <c r="Z88" s="2283"/>
    </row>
    <row r="89" spans="1:26" ht="13.8"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512</v>
      </c>
      <c r="G91" s="2289"/>
      <c r="N91" s="2289"/>
      <c r="S91" s="2289"/>
    </row>
    <row r="92" spans="1:26" s="2288" customFormat="1">
      <c r="A92" s="2288" t="s">
        <v>513</v>
      </c>
      <c r="G92" s="2289"/>
      <c r="N92" s="2289"/>
      <c r="S92" s="2289"/>
    </row>
    <row r="93" spans="1:26" s="2288" customFormat="1">
      <c r="A93" s="2288" t="s">
        <v>514</v>
      </c>
      <c r="G93" s="2289"/>
      <c r="I93" s="2290"/>
      <c r="J93" s="2290"/>
      <c r="K93" s="2290"/>
      <c r="L93" s="2290"/>
      <c r="N93" s="2291"/>
      <c r="O93" s="2290"/>
      <c r="P93" s="2290"/>
      <c r="Q93" s="2290"/>
      <c r="S93" s="2291"/>
      <c r="T93" s="2290"/>
      <c r="U93" s="2290"/>
      <c r="V93" s="2290"/>
    </row>
    <row r="94" spans="1:26" s="2288" customFormat="1">
      <c r="A94" s="2288" t="s">
        <v>515</v>
      </c>
      <c r="G94" s="2289"/>
      <c r="N94" s="2289"/>
      <c r="S94" s="2289"/>
    </row>
    <row r="101" spans="7:22" ht="13.8" thickBot="1"/>
    <row r="102" spans="7:22">
      <c r="G102" s="2189"/>
      <c r="S102" s="2292" t="s">
        <v>516</v>
      </c>
      <c r="T102" s="2293" t="s">
        <v>517</v>
      </c>
      <c r="U102" s="2293" t="s">
        <v>518</v>
      </c>
      <c r="V102" s="2293" t="s">
        <v>519</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8"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4" customWidth="1"/>
    <col min="2" max="9" width="12.109375" style="1474" customWidth="1"/>
    <col min="10" max="16384" width="9" style="1474"/>
  </cols>
  <sheetData>
    <row r="1" spans="1:9" ht="18" thickBot="1">
      <c r="A1" s="3580" t="str">
        <f>IF(项目基本情况!B9="房地产市场价值","估价结果一览表","结果表-2")</f>
        <v>结果表-2</v>
      </c>
      <c r="B1" s="3580"/>
      <c r="C1" s="3580"/>
      <c r="D1" s="3580"/>
      <c r="E1" s="3580"/>
      <c r="F1" s="3580"/>
      <c r="G1" s="3580"/>
      <c r="H1" s="3580"/>
      <c r="I1" s="3580"/>
    </row>
    <row r="2" spans="1:9" ht="30" customHeight="1" thickTop="1">
      <c r="A2" s="3581" t="s">
        <v>927</v>
      </c>
      <c r="B2" s="3581" t="s">
        <v>928</v>
      </c>
      <c r="C2" s="3581" t="s">
        <v>929</v>
      </c>
      <c r="D2" s="3581" t="str">
        <f>结果表!D116</f>
        <v>出让国有建设用地使用权价值</v>
      </c>
      <c r="E2" s="3581"/>
      <c r="F2" s="3581" t="str">
        <f>结果表!F116</f>
        <v>在建建筑物价值</v>
      </c>
      <c r="G2" s="3581"/>
      <c r="H2" s="3581" t="str">
        <f>IF(项目基本情况!B9="房地产市场价值","房地产市场价值","房地产价值")</f>
        <v>房地产价值</v>
      </c>
      <c r="I2" s="3581"/>
    </row>
    <row r="3" spans="1:9" ht="15.6">
      <c r="A3" s="3576"/>
      <c r="B3" s="3576"/>
      <c r="C3" s="3576"/>
      <c r="D3" s="851" t="s">
        <v>924</v>
      </c>
      <c r="E3" s="851" t="s">
        <v>930</v>
      </c>
      <c r="F3" s="851" t="s">
        <v>924</v>
      </c>
      <c r="G3" s="851" t="s">
        <v>925</v>
      </c>
      <c r="H3" s="851" t="s">
        <v>924</v>
      </c>
      <c r="I3" s="851" t="s">
        <v>925</v>
      </c>
    </row>
    <row r="4" spans="1:9" ht="30">
      <c r="A4" s="1502" t="str">
        <f>项目基本情况!S2</f>
        <v>北京市海淀区魏公村路6号院1号楼房地产</v>
      </c>
      <c r="B4" s="851">
        <f>项目基本情况!C17</f>
        <v>112144.47999999998</v>
      </c>
      <c r="C4" s="851">
        <f>项目基本情况!C18</f>
        <v>10426.780000000001</v>
      </c>
      <c r="D4" s="851">
        <f ca="1">结果表!D118</f>
        <v>338079</v>
      </c>
      <c r="E4" s="851">
        <f ca="1">结果表!E118</f>
        <v>30146</v>
      </c>
      <c r="F4" s="851">
        <f ca="1">结果表!F118</f>
        <v>110897</v>
      </c>
      <c r="G4" s="851">
        <f ca="1">结果表!G118</f>
        <v>9889</v>
      </c>
      <c r="H4" s="851">
        <f ca="1">结果表!H118</f>
        <v>448976</v>
      </c>
      <c r="I4" s="851">
        <f ca="1">结果表!I118</f>
        <v>40035</v>
      </c>
    </row>
    <row r="5" spans="1:9" ht="30" customHeight="1">
      <c r="A5" s="3576" t="s">
        <v>926</v>
      </c>
      <c r="B5" s="3576"/>
      <c r="C5" s="3576"/>
      <c r="D5" s="3576" t="str">
        <f ca="1">结果表!D119</f>
        <v>叁拾叁亿捌仟零柒拾玖万元整</v>
      </c>
      <c r="E5" s="3576"/>
      <c r="F5" s="3576" t="str">
        <f ca="1">结果表!F119</f>
        <v>壹拾壹亿零捌佰玖拾柒万元整</v>
      </c>
      <c r="G5" s="3576"/>
      <c r="H5" s="3576" t="str">
        <f ca="1">结果表!H119</f>
        <v>肆拾肆亿捌仟玖佰柒拾陆万元整</v>
      </c>
      <c r="I5" s="3576"/>
    </row>
    <row r="6" spans="1:9" ht="15.6">
      <c r="A6" s="3575" t="str">
        <f>结果表!A120</f>
        <v>估价师知悉的法定优先受偿款</v>
      </c>
      <c r="B6" s="3575"/>
      <c r="C6" s="3575"/>
      <c r="D6" s="3575">
        <f>结果表!D120</f>
        <v>0</v>
      </c>
      <c r="E6" s="3575"/>
      <c r="F6" s="3575"/>
      <c r="G6" s="3575"/>
      <c r="H6" s="3575"/>
      <c r="I6" s="3575"/>
    </row>
    <row r="7" spans="1:9" ht="15">
      <c r="A7" s="3576" t="s">
        <v>926</v>
      </c>
      <c r="B7" s="3576"/>
      <c r="C7" s="3576"/>
      <c r="D7" s="3577" t="str">
        <f>结果表!D121</f>
        <v>零元整</v>
      </c>
      <c r="E7" s="3578"/>
      <c r="F7" s="3578"/>
      <c r="G7" s="3578"/>
      <c r="H7" s="3578"/>
      <c r="I7" s="3579"/>
    </row>
    <row r="8" spans="1:9" ht="15.6">
      <c r="A8" s="3575" t="str">
        <f>结果表!A122</f>
        <v>房地产抵押价值</v>
      </c>
      <c r="B8" s="3575"/>
      <c r="C8" s="3575"/>
      <c r="D8" s="3575">
        <f ca="1">结果表!D122</f>
        <v>448976</v>
      </c>
      <c r="E8" s="3575"/>
      <c r="F8" s="3575"/>
      <c r="G8" s="3575"/>
      <c r="H8" s="3575"/>
      <c r="I8" s="3575"/>
    </row>
    <row r="9" spans="1:9" ht="15">
      <c r="A9" s="3576" t="s">
        <v>926</v>
      </c>
      <c r="B9" s="3576"/>
      <c r="C9" s="3576"/>
      <c r="D9" s="3576" t="str">
        <f ca="1">结果表!D123</f>
        <v>肆拾肆亿捌仟玖佰柒拾陆万元整</v>
      </c>
      <c r="E9" s="3576"/>
      <c r="F9" s="3576"/>
      <c r="G9" s="3576"/>
      <c r="H9" s="3576"/>
      <c r="I9" s="3576"/>
    </row>
    <row r="10" spans="1:9" ht="15.6">
      <c r="A10" s="3575" t="str">
        <f>结果表!A124</f>
        <v/>
      </c>
      <c r="B10" s="3575"/>
      <c r="C10" s="3575"/>
      <c r="D10" s="3575" t="str">
        <f>结果表!D124</f>
        <v>——</v>
      </c>
      <c r="E10" s="3575"/>
      <c r="F10" s="3575"/>
      <c r="G10" s="3575"/>
      <c r="H10" s="3575"/>
      <c r="I10" s="3575"/>
    </row>
    <row r="11" spans="1:9" ht="15">
      <c r="A11" s="3576" t="s">
        <v>926</v>
      </c>
      <c r="B11" s="3576"/>
      <c r="C11" s="3576"/>
      <c r="D11" s="3576" t="e">
        <f>结果表!D125</f>
        <v>#VALUE!</v>
      </c>
      <c r="E11" s="3576"/>
      <c r="F11" s="3576"/>
      <c r="G11" s="3576"/>
      <c r="H11" s="3576"/>
      <c r="I11" s="3576"/>
    </row>
    <row r="12" spans="1:9" ht="15.6">
      <c r="A12" s="3575" t="str">
        <f>结果表!A126</f>
        <v>抵押净值</v>
      </c>
      <c r="B12" s="3575"/>
      <c r="C12" s="3575"/>
      <c r="D12" s="3575">
        <f ca="1">结果表!D126</f>
        <v>398807</v>
      </c>
      <c r="E12" s="3575"/>
      <c r="F12" s="3575"/>
      <c r="G12" s="3575"/>
      <c r="H12" s="3575"/>
      <c r="I12" s="3575"/>
    </row>
    <row r="13" spans="1:9" ht="15.6" thickBot="1">
      <c r="A13" s="3573" t="s">
        <v>926</v>
      </c>
      <c r="B13" s="3573"/>
      <c r="C13" s="3573"/>
      <c r="D13" s="3573" t="str">
        <f ca="1">结果表!D127</f>
        <v>叁拾玖亿捌仟捌佰零柒万元整</v>
      </c>
      <c r="E13" s="3573"/>
      <c r="F13" s="3573"/>
      <c r="G13" s="3573"/>
      <c r="H13" s="3573"/>
      <c r="I13" s="3573"/>
    </row>
    <row r="14" spans="1:9" ht="14.4" thickTop="1">
      <c r="A14" s="3574" t="s">
        <v>931</v>
      </c>
      <c r="B14" s="3574"/>
      <c r="C14" s="3574"/>
      <c r="D14" s="3574"/>
      <c r="E14" s="3574"/>
      <c r="F14" s="3574"/>
      <c r="G14" s="3574"/>
      <c r="H14" s="3574"/>
      <c r="I14" s="3574"/>
    </row>
    <row r="16" spans="1:9" ht="17.399999999999999">
      <c r="A16" s="1503" t="s">
        <v>914</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9" customWidth="1"/>
    <col min="2" max="2" width="13.21875" style="1245" customWidth="1"/>
    <col min="3" max="3" width="15.6640625" style="1245" customWidth="1"/>
    <col min="4" max="4" width="9.33203125" style="1245" bestFit="1" customWidth="1"/>
    <col min="5" max="5" width="13.44140625" style="1245" customWidth="1"/>
    <col min="6" max="6" width="9" style="1245"/>
    <col min="7" max="7" width="9.33203125" style="1245" bestFit="1" customWidth="1"/>
    <col min="8" max="8" width="12.21875" style="1245" customWidth="1"/>
    <col min="9" max="9" width="9" style="1245"/>
    <col min="10" max="10" width="9.33203125" style="1245" bestFit="1" customWidth="1"/>
    <col min="11" max="11" width="4" style="1239" customWidth="1"/>
    <col min="12" max="12" width="5.109375" style="1245" customWidth="1"/>
    <col min="13" max="13" width="13.77734375" style="1245" customWidth="1"/>
    <col min="14" max="256" width="9" style="1245"/>
    <col min="257" max="257" width="4.88671875" style="1236" customWidth="1"/>
    <col min="258" max="258" width="13.21875" style="1236" customWidth="1"/>
    <col min="259" max="259" width="15.6640625" style="1236" customWidth="1"/>
    <col min="260" max="260" width="9.33203125" style="1236" bestFit="1" customWidth="1"/>
    <col min="261" max="261" width="13.44140625" style="1236" customWidth="1"/>
    <col min="262" max="262" width="9" style="1236"/>
    <col min="263" max="263" width="9.33203125" style="1236" bestFit="1" customWidth="1"/>
    <col min="264" max="265" width="9" style="1236"/>
    <col min="266" max="266" width="9.33203125" style="1236" bestFit="1" customWidth="1"/>
    <col min="267" max="267" width="4" style="1236" customWidth="1"/>
    <col min="268" max="268" width="5.109375" style="1236" customWidth="1"/>
    <col min="269" max="269" width="13.77734375" style="1236" customWidth="1"/>
    <col min="270" max="512" width="9" style="1236"/>
    <col min="513" max="513" width="4.88671875" style="1236" customWidth="1"/>
    <col min="514" max="514" width="13.21875" style="1236" customWidth="1"/>
    <col min="515" max="515" width="15.6640625" style="1236" customWidth="1"/>
    <col min="516" max="516" width="9.33203125" style="1236" bestFit="1" customWidth="1"/>
    <col min="517" max="517" width="13.44140625" style="1236" customWidth="1"/>
    <col min="518" max="518" width="9" style="1236"/>
    <col min="519" max="519" width="9.33203125" style="1236" bestFit="1" customWidth="1"/>
    <col min="520" max="521" width="9" style="1236"/>
    <col min="522" max="522" width="9.33203125" style="1236" bestFit="1" customWidth="1"/>
    <col min="523" max="523" width="4" style="1236" customWidth="1"/>
    <col min="524" max="524" width="5.109375" style="1236" customWidth="1"/>
    <col min="525" max="525" width="13.77734375" style="1236" customWidth="1"/>
    <col min="526" max="768" width="9" style="1236"/>
    <col min="769" max="769" width="4.88671875" style="1236" customWidth="1"/>
    <col min="770" max="770" width="13.21875" style="1236" customWidth="1"/>
    <col min="771" max="771" width="15.6640625" style="1236" customWidth="1"/>
    <col min="772" max="772" width="9.33203125" style="1236" bestFit="1" customWidth="1"/>
    <col min="773" max="773" width="13.44140625" style="1236" customWidth="1"/>
    <col min="774" max="774" width="9" style="1236"/>
    <col min="775" max="775" width="9.33203125" style="1236" bestFit="1" customWidth="1"/>
    <col min="776" max="777" width="9" style="1236"/>
    <col min="778" max="778" width="9.33203125" style="1236" bestFit="1" customWidth="1"/>
    <col min="779" max="779" width="4" style="1236" customWidth="1"/>
    <col min="780" max="780" width="5.109375" style="1236" customWidth="1"/>
    <col min="781" max="781" width="13.77734375" style="1236" customWidth="1"/>
    <col min="782" max="1024" width="9" style="1236"/>
    <col min="1025" max="1025" width="4.88671875" style="1236" customWidth="1"/>
    <col min="1026" max="1026" width="13.21875" style="1236" customWidth="1"/>
    <col min="1027" max="1027" width="15.6640625" style="1236" customWidth="1"/>
    <col min="1028" max="1028" width="9.33203125" style="1236" bestFit="1" customWidth="1"/>
    <col min="1029" max="1029" width="13.44140625" style="1236" customWidth="1"/>
    <col min="1030" max="1030" width="9" style="1236"/>
    <col min="1031" max="1031" width="9.33203125" style="1236" bestFit="1" customWidth="1"/>
    <col min="1032" max="1033" width="9" style="1236"/>
    <col min="1034" max="1034" width="9.33203125" style="1236" bestFit="1" customWidth="1"/>
    <col min="1035" max="1035" width="4" style="1236" customWidth="1"/>
    <col min="1036" max="1036" width="5.109375" style="1236" customWidth="1"/>
    <col min="1037" max="1037" width="13.77734375" style="1236" customWidth="1"/>
    <col min="1038" max="1280" width="9" style="1236"/>
    <col min="1281" max="1281" width="4.88671875" style="1236" customWidth="1"/>
    <col min="1282" max="1282" width="13.21875" style="1236" customWidth="1"/>
    <col min="1283" max="1283" width="15.6640625" style="1236" customWidth="1"/>
    <col min="1284" max="1284" width="9.33203125" style="1236" bestFit="1" customWidth="1"/>
    <col min="1285" max="1285" width="13.44140625" style="1236" customWidth="1"/>
    <col min="1286" max="1286" width="9" style="1236"/>
    <col min="1287" max="1287" width="9.33203125" style="1236" bestFit="1" customWidth="1"/>
    <col min="1288" max="1289" width="9" style="1236"/>
    <col min="1290" max="1290" width="9.33203125" style="1236" bestFit="1" customWidth="1"/>
    <col min="1291" max="1291" width="4" style="1236" customWidth="1"/>
    <col min="1292" max="1292" width="5.109375" style="1236" customWidth="1"/>
    <col min="1293" max="1293" width="13.77734375" style="1236" customWidth="1"/>
    <col min="1294" max="1536" width="9" style="1236"/>
    <col min="1537" max="1537" width="4.88671875" style="1236" customWidth="1"/>
    <col min="1538" max="1538" width="13.21875" style="1236" customWidth="1"/>
    <col min="1539" max="1539" width="15.6640625" style="1236" customWidth="1"/>
    <col min="1540" max="1540" width="9.33203125" style="1236" bestFit="1" customWidth="1"/>
    <col min="1541" max="1541" width="13.44140625" style="1236" customWidth="1"/>
    <col min="1542" max="1542" width="9" style="1236"/>
    <col min="1543" max="1543" width="9.33203125" style="1236" bestFit="1" customWidth="1"/>
    <col min="1544" max="1545" width="9" style="1236"/>
    <col min="1546" max="1546" width="9.33203125" style="1236" bestFit="1" customWidth="1"/>
    <col min="1547" max="1547" width="4" style="1236" customWidth="1"/>
    <col min="1548" max="1548" width="5.109375" style="1236" customWidth="1"/>
    <col min="1549" max="1549" width="13.77734375" style="1236" customWidth="1"/>
    <col min="1550" max="1792" width="9" style="1236"/>
    <col min="1793" max="1793" width="4.88671875" style="1236" customWidth="1"/>
    <col min="1794" max="1794" width="13.21875" style="1236" customWidth="1"/>
    <col min="1795" max="1795" width="15.6640625" style="1236" customWidth="1"/>
    <col min="1796" max="1796" width="9.33203125" style="1236" bestFit="1" customWidth="1"/>
    <col min="1797" max="1797" width="13.44140625" style="1236" customWidth="1"/>
    <col min="1798" max="1798" width="9" style="1236"/>
    <col min="1799" max="1799" width="9.33203125" style="1236" bestFit="1" customWidth="1"/>
    <col min="1800" max="1801" width="9" style="1236"/>
    <col min="1802" max="1802" width="9.33203125" style="1236" bestFit="1" customWidth="1"/>
    <col min="1803" max="1803" width="4" style="1236" customWidth="1"/>
    <col min="1804" max="1804" width="5.109375" style="1236" customWidth="1"/>
    <col min="1805" max="1805" width="13.77734375" style="1236" customWidth="1"/>
    <col min="1806" max="2048" width="9" style="1236"/>
    <col min="2049" max="2049" width="4.88671875" style="1236" customWidth="1"/>
    <col min="2050" max="2050" width="13.21875" style="1236" customWidth="1"/>
    <col min="2051" max="2051" width="15.6640625" style="1236" customWidth="1"/>
    <col min="2052" max="2052" width="9.33203125" style="1236" bestFit="1" customWidth="1"/>
    <col min="2053" max="2053" width="13.44140625" style="1236" customWidth="1"/>
    <col min="2054" max="2054" width="9" style="1236"/>
    <col min="2055" max="2055" width="9.33203125" style="1236" bestFit="1" customWidth="1"/>
    <col min="2056" max="2057" width="9" style="1236"/>
    <col min="2058" max="2058" width="9.33203125" style="1236" bestFit="1" customWidth="1"/>
    <col min="2059" max="2059" width="4" style="1236" customWidth="1"/>
    <col min="2060" max="2060" width="5.109375" style="1236" customWidth="1"/>
    <col min="2061" max="2061" width="13.77734375" style="1236" customWidth="1"/>
    <col min="2062" max="2304" width="9" style="1236"/>
    <col min="2305" max="2305" width="4.88671875" style="1236" customWidth="1"/>
    <col min="2306" max="2306" width="13.21875" style="1236" customWidth="1"/>
    <col min="2307" max="2307" width="15.6640625" style="1236" customWidth="1"/>
    <col min="2308" max="2308" width="9.33203125" style="1236" bestFit="1" customWidth="1"/>
    <col min="2309" max="2309" width="13.44140625" style="1236" customWidth="1"/>
    <col min="2310" max="2310" width="9" style="1236"/>
    <col min="2311" max="2311" width="9.33203125" style="1236" bestFit="1" customWidth="1"/>
    <col min="2312" max="2313" width="9" style="1236"/>
    <col min="2314" max="2314" width="9.33203125" style="1236" bestFit="1" customWidth="1"/>
    <col min="2315" max="2315" width="4" style="1236" customWidth="1"/>
    <col min="2316" max="2316" width="5.109375" style="1236" customWidth="1"/>
    <col min="2317" max="2317" width="13.77734375" style="1236" customWidth="1"/>
    <col min="2318" max="2560" width="9" style="1236"/>
    <col min="2561" max="2561" width="4.88671875" style="1236" customWidth="1"/>
    <col min="2562" max="2562" width="13.21875" style="1236" customWidth="1"/>
    <col min="2563" max="2563" width="15.6640625" style="1236" customWidth="1"/>
    <col min="2564" max="2564" width="9.33203125" style="1236" bestFit="1" customWidth="1"/>
    <col min="2565" max="2565" width="13.44140625" style="1236" customWidth="1"/>
    <col min="2566" max="2566" width="9" style="1236"/>
    <col min="2567" max="2567" width="9.33203125" style="1236" bestFit="1" customWidth="1"/>
    <col min="2568" max="2569" width="9" style="1236"/>
    <col min="2570" max="2570" width="9.33203125" style="1236" bestFit="1" customWidth="1"/>
    <col min="2571" max="2571" width="4" style="1236" customWidth="1"/>
    <col min="2572" max="2572" width="5.109375" style="1236" customWidth="1"/>
    <col min="2573" max="2573" width="13.77734375" style="1236" customWidth="1"/>
    <col min="2574" max="2816" width="9" style="1236"/>
    <col min="2817" max="2817" width="4.88671875" style="1236" customWidth="1"/>
    <col min="2818" max="2818" width="13.21875" style="1236" customWidth="1"/>
    <col min="2819" max="2819" width="15.6640625" style="1236" customWidth="1"/>
    <col min="2820" max="2820" width="9.33203125" style="1236" bestFit="1" customWidth="1"/>
    <col min="2821" max="2821" width="13.44140625" style="1236" customWidth="1"/>
    <col min="2822" max="2822" width="9" style="1236"/>
    <col min="2823" max="2823" width="9.33203125" style="1236" bestFit="1" customWidth="1"/>
    <col min="2824" max="2825" width="9" style="1236"/>
    <col min="2826" max="2826" width="9.33203125" style="1236" bestFit="1" customWidth="1"/>
    <col min="2827" max="2827" width="4" style="1236" customWidth="1"/>
    <col min="2828" max="2828" width="5.109375" style="1236" customWidth="1"/>
    <col min="2829" max="2829" width="13.77734375" style="1236" customWidth="1"/>
    <col min="2830" max="3072" width="9" style="1236"/>
    <col min="3073" max="3073" width="4.88671875" style="1236" customWidth="1"/>
    <col min="3074" max="3074" width="13.21875" style="1236" customWidth="1"/>
    <col min="3075" max="3075" width="15.6640625" style="1236" customWidth="1"/>
    <col min="3076" max="3076" width="9.33203125" style="1236" bestFit="1" customWidth="1"/>
    <col min="3077" max="3077" width="13.44140625" style="1236" customWidth="1"/>
    <col min="3078" max="3078" width="9" style="1236"/>
    <col min="3079" max="3079" width="9.33203125" style="1236" bestFit="1" customWidth="1"/>
    <col min="3080" max="3081" width="9" style="1236"/>
    <col min="3082" max="3082" width="9.33203125" style="1236" bestFit="1" customWidth="1"/>
    <col min="3083" max="3083" width="4" style="1236" customWidth="1"/>
    <col min="3084" max="3084" width="5.109375" style="1236" customWidth="1"/>
    <col min="3085" max="3085" width="13.77734375" style="1236" customWidth="1"/>
    <col min="3086" max="3328" width="9" style="1236"/>
    <col min="3329" max="3329" width="4.88671875" style="1236" customWidth="1"/>
    <col min="3330" max="3330" width="13.21875" style="1236" customWidth="1"/>
    <col min="3331" max="3331" width="15.6640625" style="1236" customWidth="1"/>
    <col min="3332" max="3332" width="9.33203125" style="1236" bestFit="1" customWidth="1"/>
    <col min="3333" max="3333" width="13.44140625" style="1236" customWidth="1"/>
    <col min="3334" max="3334" width="9" style="1236"/>
    <col min="3335" max="3335" width="9.33203125" style="1236" bestFit="1" customWidth="1"/>
    <col min="3336" max="3337" width="9" style="1236"/>
    <col min="3338" max="3338" width="9.33203125" style="1236" bestFit="1" customWidth="1"/>
    <col min="3339" max="3339" width="4" style="1236" customWidth="1"/>
    <col min="3340" max="3340" width="5.109375" style="1236" customWidth="1"/>
    <col min="3341" max="3341" width="13.77734375" style="1236" customWidth="1"/>
    <col min="3342" max="3584" width="9" style="1236"/>
    <col min="3585" max="3585" width="4.88671875" style="1236" customWidth="1"/>
    <col min="3586" max="3586" width="13.21875" style="1236" customWidth="1"/>
    <col min="3587" max="3587" width="15.6640625" style="1236" customWidth="1"/>
    <col min="3588" max="3588" width="9.33203125" style="1236" bestFit="1" customWidth="1"/>
    <col min="3589" max="3589" width="13.44140625" style="1236" customWidth="1"/>
    <col min="3590" max="3590" width="9" style="1236"/>
    <col min="3591" max="3591" width="9.33203125" style="1236" bestFit="1" customWidth="1"/>
    <col min="3592" max="3593" width="9" style="1236"/>
    <col min="3594" max="3594" width="9.33203125" style="1236" bestFit="1" customWidth="1"/>
    <col min="3595" max="3595" width="4" style="1236" customWidth="1"/>
    <col min="3596" max="3596" width="5.109375" style="1236" customWidth="1"/>
    <col min="3597" max="3597" width="13.77734375" style="1236" customWidth="1"/>
    <col min="3598" max="3840" width="9" style="1236"/>
    <col min="3841" max="3841" width="4.88671875" style="1236" customWidth="1"/>
    <col min="3842" max="3842" width="13.21875" style="1236" customWidth="1"/>
    <col min="3843" max="3843" width="15.6640625" style="1236" customWidth="1"/>
    <col min="3844" max="3844" width="9.33203125" style="1236" bestFit="1" customWidth="1"/>
    <col min="3845" max="3845" width="13.44140625" style="1236" customWidth="1"/>
    <col min="3846" max="3846" width="9" style="1236"/>
    <col min="3847" max="3847" width="9.33203125" style="1236" bestFit="1" customWidth="1"/>
    <col min="3848" max="3849" width="9" style="1236"/>
    <col min="3850" max="3850" width="9.33203125" style="1236" bestFit="1" customWidth="1"/>
    <col min="3851" max="3851" width="4" style="1236" customWidth="1"/>
    <col min="3852" max="3852" width="5.109375" style="1236" customWidth="1"/>
    <col min="3853" max="3853" width="13.77734375" style="1236" customWidth="1"/>
    <col min="3854" max="4096" width="9" style="1236"/>
    <col min="4097" max="4097" width="4.88671875" style="1236" customWidth="1"/>
    <col min="4098" max="4098" width="13.21875" style="1236" customWidth="1"/>
    <col min="4099" max="4099" width="15.6640625" style="1236" customWidth="1"/>
    <col min="4100" max="4100" width="9.33203125" style="1236" bestFit="1" customWidth="1"/>
    <col min="4101" max="4101" width="13.44140625" style="1236" customWidth="1"/>
    <col min="4102" max="4102" width="9" style="1236"/>
    <col min="4103" max="4103" width="9.33203125" style="1236" bestFit="1" customWidth="1"/>
    <col min="4104" max="4105" width="9" style="1236"/>
    <col min="4106" max="4106" width="9.33203125" style="1236" bestFit="1" customWidth="1"/>
    <col min="4107" max="4107" width="4" style="1236" customWidth="1"/>
    <col min="4108" max="4108" width="5.109375" style="1236" customWidth="1"/>
    <col min="4109" max="4109" width="13.77734375" style="1236" customWidth="1"/>
    <col min="4110" max="4352" width="9" style="1236"/>
    <col min="4353" max="4353" width="4.88671875" style="1236" customWidth="1"/>
    <col min="4354" max="4354" width="13.21875" style="1236" customWidth="1"/>
    <col min="4355" max="4355" width="15.6640625" style="1236" customWidth="1"/>
    <col min="4356" max="4356" width="9.33203125" style="1236" bestFit="1" customWidth="1"/>
    <col min="4357" max="4357" width="13.44140625" style="1236" customWidth="1"/>
    <col min="4358" max="4358" width="9" style="1236"/>
    <col min="4359" max="4359" width="9.33203125" style="1236" bestFit="1" customWidth="1"/>
    <col min="4360" max="4361" width="9" style="1236"/>
    <col min="4362" max="4362" width="9.33203125" style="1236" bestFit="1" customWidth="1"/>
    <col min="4363" max="4363" width="4" style="1236" customWidth="1"/>
    <col min="4364" max="4364" width="5.109375" style="1236" customWidth="1"/>
    <col min="4365" max="4365" width="13.77734375" style="1236" customWidth="1"/>
    <col min="4366" max="4608" width="9" style="1236"/>
    <col min="4609" max="4609" width="4.88671875" style="1236" customWidth="1"/>
    <col min="4610" max="4610" width="13.21875" style="1236" customWidth="1"/>
    <col min="4611" max="4611" width="15.6640625" style="1236" customWidth="1"/>
    <col min="4612" max="4612" width="9.33203125" style="1236" bestFit="1" customWidth="1"/>
    <col min="4613" max="4613" width="13.44140625" style="1236" customWidth="1"/>
    <col min="4614" max="4614" width="9" style="1236"/>
    <col min="4615" max="4615" width="9.33203125" style="1236" bestFit="1" customWidth="1"/>
    <col min="4616" max="4617" width="9" style="1236"/>
    <col min="4618" max="4618" width="9.33203125" style="1236" bestFit="1" customWidth="1"/>
    <col min="4619" max="4619" width="4" style="1236" customWidth="1"/>
    <col min="4620" max="4620" width="5.109375" style="1236" customWidth="1"/>
    <col min="4621" max="4621" width="13.77734375" style="1236" customWidth="1"/>
    <col min="4622" max="4864" width="9" style="1236"/>
    <col min="4865" max="4865" width="4.88671875" style="1236" customWidth="1"/>
    <col min="4866" max="4866" width="13.21875" style="1236" customWidth="1"/>
    <col min="4867" max="4867" width="15.6640625" style="1236" customWidth="1"/>
    <col min="4868" max="4868" width="9.33203125" style="1236" bestFit="1" customWidth="1"/>
    <col min="4869" max="4869" width="13.44140625" style="1236" customWidth="1"/>
    <col min="4870" max="4870" width="9" style="1236"/>
    <col min="4871" max="4871" width="9.33203125" style="1236" bestFit="1" customWidth="1"/>
    <col min="4872" max="4873" width="9" style="1236"/>
    <col min="4874" max="4874" width="9.33203125" style="1236" bestFit="1" customWidth="1"/>
    <col min="4875" max="4875" width="4" style="1236" customWidth="1"/>
    <col min="4876" max="4876" width="5.109375" style="1236" customWidth="1"/>
    <col min="4877" max="4877" width="13.77734375" style="1236" customWidth="1"/>
    <col min="4878" max="5120" width="9" style="1236"/>
    <col min="5121" max="5121" width="4.88671875" style="1236" customWidth="1"/>
    <col min="5122" max="5122" width="13.21875" style="1236" customWidth="1"/>
    <col min="5123" max="5123" width="15.6640625" style="1236" customWidth="1"/>
    <col min="5124" max="5124" width="9.33203125" style="1236" bestFit="1" customWidth="1"/>
    <col min="5125" max="5125" width="13.44140625" style="1236" customWidth="1"/>
    <col min="5126" max="5126" width="9" style="1236"/>
    <col min="5127" max="5127" width="9.33203125" style="1236" bestFit="1" customWidth="1"/>
    <col min="5128" max="5129" width="9" style="1236"/>
    <col min="5130" max="5130" width="9.33203125" style="1236" bestFit="1" customWidth="1"/>
    <col min="5131" max="5131" width="4" style="1236" customWidth="1"/>
    <col min="5132" max="5132" width="5.109375" style="1236" customWidth="1"/>
    <col min="5133" max="5133" width="13.77734375" style="1236" customWidth="1"/>
    <col min="5134" max="5376" width="9" style="1236"/>
    <col min="5377" max="5377" width="4.88671875" style="1236" customWidth="1"/>
    <col min="5378" max="5378" width="13.21875" style="1236" customWidth="1"/>
    <col min="5379" max="5379" width="15.6640625" style="1236" customWidth="1"/>
    <col min="5380" max="5380" width="9.33203125" style="1236" bestFit="1" customWidth="1"/>
    <col min="5381" max="5381" width="13.44140625" style="1236" customWidth="1"/>
    <col min="5382" max="5382" width="9" style="1236"/>
    <col min="5383" max="5383" width="9.33203125" style="1236" bestFit="1" customWidth="1"/>
    <col min="5384" max="5385" width="9" style="1236"/>
    <col min="5386" max="5386" width="9.33203125" style="1236" bestFit="1" customWidth="1"/>
    <col min="5387" max="5387" width="4" style="1236" customWidth="1"/>
    <col min="5388" max="5388" width="5.109375" style="1236" customWidth="1"/>
    <col min="5389" max="5389" width="13.77734375" style="1236" customWidth="1"/>
    <col min="5390" max="5632" width="9" style="1236"/>
    <col min="5633" max="5633" width="4.88671875" style="1236" customWidth="1"/>
    <col min="5634" max="5634" width="13.21875" style="1236" customWidth="1"/>
    <col min="5635" max="5635" width="15.6640625" style="1236" customWidth="1"/>
    <col min="5636" max="5636" width="9.33203125" style="1236" bestFit="1" customWidth="1"/>
    <col min="5637" max="5637" width="13.44140625" style="1236" customWidth="1"/>
    <col min="5638" max="5638" width="9" style="1236"/>
    <col min="5639" max="5639" width="9.33203125" style="1236" bestFit="1" customWidth="1"/>
    <col min="5640" max="5641" width="9" style="1236"/>
    <col min="5642" max="5642" width="9.33203125" style="1236" bestFit="1" customWidth="1"/>
    <col min="5643" max="5643" width="4" style="1236" customWidth="1"/>
    <col min="5644" max="5644" width="5.109375" style="1236" customWidth="1"/>
    <col min="5645" max="5645" width="13.77734375" style="1236" customWidth="1"/>
    <col min="5646" max="5888" width="9" style="1236"/>
    <col min="5889" max="5889" width="4.88671875" style="1236" customWidth="1"/>
    <col min="5890" max="5890" width="13.21875" style="1236" customWidth="1"/>
    <col min="5891" max="5891" width="15.6640625" style="1236" customWidth="1"/>
    <col min="5892" max="5892" width="9.33203125" style="1236" bestFit="1" customWidth="1"/>
    <col min="5893" max="5893" width="13.44140625" style="1236" customWidth="1"/>
    <col min="5894" max="5894" width="9" style="1236"/>
    <col min="5895" max="5895" width="9.33203125" style="1236" bestFit="1" customWidth="1"/>
    <col min="5896" max="5897" width="9" style="1236"/>
    <col min="5898" max="5898" width="9.33203125" style="1236" bestFit="1" customWidth="1"/>
    <col min="5899" max="5899" width="4" style="1236" customWidth="1"/>
    <col min="5900" max="5900" width="5.109375" style="1236" customWidth="1"/>
    <col min="5901" max="5901" width="13.77734375" style="1236" customWidth="1"/>
    <col min="5902" max="6144" width="9" style="1236"/>
    <col min="6145" max="6145" width="4.88671875" style="1236" customWidth="1"/>
    <col min="6146" max="6146" width="13.21875" style="1236" customWidth="1"/>
    <col min="6147" max="6147" width="15.6640625" style="1236" customWidth="1"/>
    <col min="6148" max="6148" width="9.33203125" style="1236" bestFit="1" customWidth="1"/>
    <col min="6149" max="6149" width="13.44140625" style="1236" customWidth="1"/>
    <col min="6150" max="6150" width="9" style="1236"/>
    <col min="6151" max="6151" width="9.33203125" style="1236" bestFit="1" customWidth="1"/>
    <col min="6152" max="6153" width="9" style="1236"/>
    <col min="6154" max="6154" width="9.33203125" style="1236" bestFit="1" customWidth="1"/>
    <col min="6155" max="6155" width="4" style="1236" customWidth="1"/>
    <col min="6156" max="6156" width="5.109375" style="1236" customWidth="1"/>
    <col min="6157" max="6157" width="13.77734375" style="1236" customWidth="1"/>
    <col min="6158" max="6400" width="9" style="1236"/>
    <col min="6401" max="6401" width="4.88671875" style="1236" customWidth="1"/>
    <col min="6402" max="6402" width="13.21875" style="1236" customWidth="1"/>
    <col min="6403" max="6403" width="15.6640625" style="1236" customWidth="1"/>
    <col min="6404" max="6404" width="9.33203125" style="1236" bestFit="1" customWidth="1"/>
    <col min="6405" max="6405" width="13.44140625" style="1236" customWidth="1"/>
    <col min="6406" max="6406" width="9" style="1236"/>
    <col min="6407" max="6407" width="9.33203125" style="1236" bestFit="1" customWidth="1"/>
    <col min="6408" max="6409" width="9" style="1236"/>
    <col min="6410" max="6410" width="9.33203125" style="1236" bestFit="1" customWidth="1"/>
    <col min="6411" max="6411" width="4" style="1236" customWidth="1"/>
    <col min="6412" max="6412" width="5.109375" style="1236" customWidth="1"/>
    <col min="6413" max="6413" width="13.77734375" style="1236" customWidth="1"/>
    <col min="6414" max="6656" width="9" style="1236"/>
    <col min="6657" max="6657" width="4.88671875" style="1236" customWidth="1"/>
    <col min="6658" max="6658" width="13.21875" style="1236" customWidth="1"/>
    <col min="6659" max="6659" width="15.6640625" style="1236" customWidth="1"/>
    <col min="6660" max="6660" width="9.33203125" style="1236" bestFit="1" customWidth="1"/>
    <col min="6661" max="6661" width="13.44140625" style="1236" customWidth="1"/>
    <col min="6662" max="6662" width="9" style="1236"/>
    <col min="6663" max="6663" width="9.33203125" style="1236" bestFit="1" customWidth="1"/>
    <col min="6664" max="6665" width="9" style="1236"/>
    <col min="6666" max="6666" width="9.33203125" style="1236" bestFit="1" customWidth="1"/>
    <col min="6667" max="6667" width="4" style="1236" customWidth="1"/>
    <col min="6668" max="6668" width="5.109375" style="1236" customWidth="1"/>
    <col min="6669" max="6669" width="13.77734375" style="1236" customWidth="1"/>
    <col min="6670" max="6912" width="9" style="1236"/>
    <col min="6913" max="6913" width="4.88671875" style="1236" customWidth="1"/>
    <col min="6914" max="6914" width="13.21875" style="1236" customWidth="1"/>
    <col min="6915" max="6915" width="15.6640625" style="1236" customWidth="1"/>
    <col min="6916" max="6916" width="9.33203125" style="1236" bestFit="1" customWidth="1"/>
    <col min="6917" max="6917" width="13.44140625" style="1236" customWidth="1"/>
    <col min="6918" max="6918" width="9" style="1236"/>
    <col min="6919" max="6919" width="9.33203125" style="1236" bestFit="1" customWidth="1"/>
    <col min="6920" max="6921" width="9" style="1236"/>
    <col min="6922" max="6922" width="9.33203125" style="1236" bestFit="1" customWidth="1"/>
    <col min="6923" max="6923" width="4" style="1236" customWidth="1"/>
    <col min="6924" max="6924" width="5.109375" style="1236" customWidth="1"/>
    <col min="6925" max="6925" width="13.77734375" style="1236" customWidth="1"/>
    <col min="6926" max="7168" width="9" style="1236"/>
    <col min="7169" max="7169" width="4.88671875" style="1236" customWidth="1"/>
    <col min="7170" max="7170" width="13.21875" style="1236" customWidth="1"/>
    <col min="7171" max="7171" width="15.6640625" style="1236" customWidth="1"/>
    <col min="7172" max="7172" width="9.33203125" style="1236" bestFit="1" customWidth="1"/>
    <col min="7173" max="7173" width="13.44140625" style="1236" customWidth="1"/>
    <col min="7174" max="7174" width="9" style="1236"/>
    <col min="7175" max="7175" width="9.33203125" style="1236" bestFit="1" customWidth="1"/>
    <col min="7176" max="7177" width="9" style="1236"/>
    <col min="7178" max="7178" width="9.33203125" style="1236" bestFit="1" customWidth="1"/>
    <col min="7179" max="7179" width="4" style="1236" customWidth="1"/>
    <col min="7180" max="7180" width="5.109375" style="1236" customWidth="1"/>
    <col min="7181" max="7181" width="13.77734375" style="1236" customWidth="1"/>
    <col min="7182" max="7424" width="9" style="1236"/>
    <col min="7425" max="7425" width="4.88671875" style="1236" customWidth="1"/>
    <col min="7426" max="7426" width="13.21875" style="1236" customWidth="1"/>
    <col min="7427" max="7427" width="15.6640625" style="1236" customWidth="1"/>
    <col min="7428" max="7428" width="9.33203125" style="1236" bestFit="1" customWidth="1"/>
    <col min="7429" max="7429" width="13.44140625" style="1236" customWidth="1"/>
    <col min="7430" max="7430" width="9" style="1236"/>
    <col min="7431" max="7431" width="9.33203125" style="1236" bestFit="1" customWidth="1"/>
    <col min="7432" max="7433" width="9" style="1236"/>
    <col min="7434" max="7434" width="9.33203125" style="1236" bestFit="1" customWidth="1"/>
    <col min="7435" max="7435" width="4" style="1236" customWidth="1"/>
    <col min="7436" max="7436" width="5.109375" style="1236" customWidth="1"/>
    <col min="7437" max="7437" width="13.77734375" style="1236" customWidth="1"/>
    <col min="7438" max="7680" width="9" style="1236"/>
    <col min="7681" max="7681" width="4.88671875" style="1236" customWidth="1"/>
    <col min="7682" max="7682" width="13.21875" style="1236" customWidth="1"/>
    <col min="7683" max="7683" width="15.6640625" style="1236" customWidth="1"/>
    <col min="7684" max="7684" width="9.33203125" style="1236" bestFit="1" customWidth="1"/>
    <col min="7685" max="7685" width="13.44140625" style="1236" customWidth="1"/>
    <col min="7686" max="7686" width="9" style="1236"/>
    <col min="7687" max="7687" width="9.33203125" style="1236" bestFit="1" customWidth="1"/>
    <col min="7688" max="7689" width="9" style="1236"/>
    <col min="7690" max="7690" width="9.33203125" style="1236" bestFit="1" customWidth="1"/>
    <col min="7691" max="7691" width="4" style="1236" customWidth="1"/>
    <col min="7692" max="7692" width="5.109375" style="1236" customWidth="1"/>
    <col min="7693" max="7693" width="13.77734375" style="1236" customWidth="1"/>
    <col min="7694" max="7936" width="9" style="1236"/>
    <col min="7937" max="7937" width="4.88671875" style="1236" customWidth="1"/>
    <col min="7938" max="7938" width="13.21875" style="1236" customWidth="1"/>
    <col min="7939" max="7939" width="15.6640625" style="1236" customWidth="1"/>
    <col min="7940" max="7940" width="9.33203125" style="1236" bestFit="1" customWidth="1"/>
    <col min="7941" max="7941" width="13.44140625" style="1236" customWidth="1"/>
    <col min="7942" max="7942" width="9" style="1236"/>
    <col min="7943" max="7943" width="9.33203125" style="1236" bestFit="1" customWidth="1"/>
    <col min="7944" max="7945" width="9" style="1236"/>
    <col min="7946" max="7946" width="9.33203125" style="1236" bestFit="1" customWidth="1"/>
    <col min="7947" max="7947" width="4" style="1236" customWidth="1"/>
    <col min="7948" max="7948" width="5.109375" style="1236" customWidth="1"/>
    <col min="7949" max="7949" width="13.77734375" style="1236" customWidth="1"/>
    <col min="7950" max="8192" width="9" style="1236"/>
    <col min="8193" max="8193" width="4.88671875" style="1236" customWidth="1"/>
    <col min="8194" max="8194" width="13.21875" style="1236" customWidth="1"/>
    <col min="8195" max="8195" width="15.6640625" style="1236" customWidth="1"/>
    <col min="8196" max="8196" width="9.33203125" style="1236" bestFit="1" customWidth="1"/>
    <col min="8197" max="8197" width="13.44140625" style="1236" customWidth="1"/>
    <col min="8198" max="8198" width="9" style="1236"/>
    <col min="8199" max="8199" width="9.33203125" style="1236" bestFit="1" customWidth="1"/>
    <col min="8200" max="8201" width="9" style="1236"/>
    <col min="8202" max="8202" width="9.33203125" style="1236" bestFit="1" customWidth="1"/>
    <col min="8203" max="8203" width="4" style="1236" customWidth="1"/>
    <col min="8204" max="8204" width="5.109375" style="1236" customWidth="1"/>
    <col min="8205" max="8205" width="13.77734375" style="1236" customWidth="1"/>
    <col min="8206" max="8448" width="9" style="1236"/>
    <col min="8449" max="8449" width="4.88671875" style="1236" customWidth="1"/>
    <col min="8450" max="8450" width="13.21875" style="1236" customWidth="1"/>
    <col min="8451" max="8451" width="15.6640625" style="1236" customWidth="1"/>
    <col min="8452" max="8452" width="9.33203125" style="1236" bestFit="1" customWidth="1"/>
    <col min="8453" max="8453" width="13.44140625" style="1236" customWidth="1"/>
    <col min="8454" max="8454" width="9" style="1236"/>
    <col min="8455" max="8455" width="9.33203125" style="1236" bestFit="1" customWidth="1"/>
    <col min="8456" max="8457" width="9" style="1236"/>
    <col min="8458" max="8458" width="9.33203125" style="1236" bestFit="1" customWidth="1"/>
    <col min="8459" max="8459" width="4" style="1236" customWidth="1"/>
    <col min="8460" max="8460" width="5.109375" style="1236" customWidth="1"/>
    <col min="8461" max="8461" width="13.77734375" style="1236" customWidth="1"/>
    <col min="8462" max="8704" width="9" style="1236"/>
    <col min="8705" max="8705" width="4.88671875" style="1236" customWidth="1"/>
    <col min="8706" max="8706" width="13.21875" style="1236" customWidth="1"/>
    <col min="8707" max="8707" width="15.6640625" style="1236" customWidth="1"/>
    <col min="8708" max="8708" width="9.33203125" style="1236" bestFit="1" customWidth="1"/>
    <col min="8709" max="8709" width="13.44140625" style="1236" customWidth="1"/>
    <col min="8710" max="8710" width="9" style="1236"/>
    <col min="8711" max="8711" width="9.33203125" style="1236" bestFit="1" customWidth="1"/>
    <col min="8712" max="8713" width="9" style="1236"/>
    <col min="8714" max="8714" width="9.33203125" style="1236" bestFit="1" customWidth="1"/>
    <col min="8715" max="8715" width="4" style="1236" customWidth="1"/>
    <col min="8716" max="8716" width="5.109375" style="1236" customWidth="1"/>
    <col min="8717" max="8717" width="13.77734375" style="1236" customWidth="1"/>
    <col min="8718" max="8960" width="9" style="1236"/>
    <col min="8961" max="8961" width="4.88671875" style="1236" customWidth="1"/>
    <col min="8962" max="8962" width="13.21875" style="1236" customWidth="1"/>
    <col min="8963" max="8963" width="15.6640625" style="1236" customWidth="1"/>
    <col min="8964" max="8964" width="9.33203125" style="1236" bestFit="1" customWidth="1"/>
    <col min="8965" max="8965" width="13.44140625" style="1236" customWidth="1"/>
    <col min="8966" max="8966" width="9" style="1236"/>
    <col min="8967" max="8967" width="9.33203125" style="1236" bestFit="1" customWidth="1"/>
    <col min="8968" max="8969" width="9" style="1236"/>
    <col min="8970" max="8970" width="9.33203125" style="1236" bestFit="1" customWidth="1"/>
    <col min="8971" max="8971" width="4" style="1236" customWidth="1"/>
    <col min="8972" max="8972" width="5.109375" style="1236" customWidth="1"/>
    <col min="8973" max="8973" width="13.77734375" style="1236" customWidth="1"/>
    <col min="8974" max="9216" width="9" style="1236"/>
    <col min="9217" max="9217" width="4.88671875" style="1236" customWidth="1"/>
    <col min="9218" max="9218" width="13.21875" style="1236" customWidth="1"/>
    <col min="9219" max="9219" width="15.6640625" style="1236" customWidth="1"/>
    <col min="9220" max="9220" width="9.33203125" style="1236" bestFit="1" customWidth="1"/>
    <col min="9221" max="9221" width="13.44140625" style="1236" customWidth="1"/>
    <col min="9222" max="9222" width="9" style="1236"/>
    <col min="9223" max="9223" width="9.33203125" style="1236" bestFit="1" customWidth="1"/>
    <col min="9224" max="9225" width="9" style="1236"/>
    <col min="9226" max="9226" width="9.33203125" style="1236" bestFit="1" customWidth="1"/>
    <col min="9227" max="9227" width="4" style="1236" customWidth="1"/>
    <col min="9228" max="9228" width="5.109375" style="1236" customWidth="1"/>
    <col min="9229" max="9229" width="13.77734375" style="1236" customWidth="1"/>
    <col min="9230" max="9472" width="9" style="1236"/>
    <col min="9473" max="9473" width="4.88671875" style="1236" customWidth="1"/>
    <col min="9474" max="9474" width="13.21875" style="1236" customWidth="1"/>
    <col min="9475" max="9475" width="15.6640625" style="1236" customWidth="1"/>
    <col min="9476" max="9476" width="9.33203125" style="1236" bestFit="1" customWidth="1"/>
    <col min="9477" max="9477" width="13.44140625" style="1236" customWidth="1"/>
    <col min="9478" max="9478" width="9" style="1236"/>
    <col min="9479" max="9479" width="9.33203125" style="1236" bestFit="1" customWidth="1"/>
    <col min="9480" max="9481" width="9" style="1236"/>
    <col min="9482" max="9482" width="9.33203125" style="1236" bestFit="1" customWidth="1"/>
    <col min="9483" max="9483" width="4" style="1236" customWidth="1"/>
    <col min="9484" max="9484" width="5.109375" style="1236" customWidth="1"/>
    <col min="9485" max="9485" width="13.77734375" style="1236" customWidth="1"/>
    <col min="9486" max="9728" width="9" style="1236"/>
    <col min="9729" max="9729" width="4.88671875" style="1236" customWidth="1"/>
    <col min="9730" max="9730" width="13.21875" style="1236" customWidth="1"/>
    <col min="9731" max="9731" width="15.6640625" style="1236" customWidth="1"/>
    <col min="9732" max="9732" width="9.33203125" style="1236" bestFit="1" customWidth="1"/>
    <col min="9733" max="9733" width="13.44140625" style="1236" customWidth="1"/>
    <col min="9734" max="9734" width="9" style="1236"/>
    <col min="9735" max="9735" width="9.33203125" style="1236" bestFit="1" customWidth="1"/>
    <col min="9736" max="9737" width="9" style="1236"/>
    <col min="9738" max="9738" width="9.33203125" style="1236" bestFit="1" customWidth="1"/>
    <col min="9739" max="9739" width="4" style="1236" customWidth="1"/>
    <col min="9740" max="9740" width="5.109375" style="1236" customWidth="1"/>
    <col min="9741" max="9741" width="13.77734375" style="1236" customWidth="1"/>
    <col min="9742" max="9984" width="9" style="1236"/>
    <col min="9985" max="9985" width="4.88671875" style="1236" customWidth="1"/>
    <col min="9986" max="9986" width="13.21875" style="1236" customWidth="1"/>
    <col min="9987" max="9987" width="15.6640625" style="1236" customWidth="1"/>
    <col min="9988" max="9988" width="9.33203125" style="1236" bestFit="1" customWidth="1"/>
    <col min="9989" max="9989" width="13.44140625" style="1236" customWidth="1"/>
    <col min="9990" max="9990" width="9" style="1236"/>
    <col min="9991" max="9991" width="9.33203125" style="1236" bestFit="1" customWidth="1"/>
    <col min="9992" max="9993" width="9" style="1236"/>
    <col min="9994" max="9994" width="9.33203125" style="1236" bestFit="1" customWidth="1"/>
    <col min="9995" max="9995" width="4" style="1236" customWidth="1"/>
    <col min="9996" max="9996" width="5.109375" style="1236" customWidth="1"/>
    <col min="9997" max="9997" width="13.77734375" style="1236" customWidth="1"/>
    <col min="9998" max="10240" width="9" style="1236"/>
    <col min="10241" max="10241" width="4.88671875" style="1236" customWidth="1"/>
    <col min="10242" max="10242" width="13.21875" style="1236" customWidth="1"/>
    <col min="10243" max="10243" width="15.6640625" style="1236" customWidth="1"/>
    <col min="10244" max="10244" width="9.33203125" style="1236" bestFit="1" customWidth="1"/>
    <col min="10245" max="10245" width="13.44140625" style="1236" customWidth="1"/>
    <col min="10246" max="10246" width="9" style="1236"/>
    <col min="10247" max="10247" width="9.33203125" style="1236" bestFit="1" customWidth="1"/>
    <col min="10248" max="10249" width="9" style="1236"/>
    <col min="10250" max="10250" width="9.33203125" style="1236" bestFit="1" customWidth="1"/>
    <col min="10251" max="10251" width="4" style="1236" customWidth="1"/>
    <col min="10252" max="10252" width="5.109375" style="1236" customWidth="1"/>
    <col min="10253" max="10253" width="13.77734375" style="1236" customWidth="1"/>
    <col min="10254" max="10496" width="9" style="1236"/>
    <col min="10497" max="10497" width="4.88671875" style="1236" customWidth="1"/>
    <col min="10498" max="10498" width="13.21875" style="1236" customWidth="1"/>
    <col min="10499" max="10499" width="15.6640625" style="1236" customWidth="1"/>
    <col min="10500" max="10500" width="9.33203125" style="1236" bestFit="1" customWidth="1"/>
    <col min="10501" max="10501" width="13.44140625" style="1236" customWidth="1"/>
    <col min="10502" max="10502" width="9" style="1236"/>
    <col min="10503" max="10503" width="9.33203125" style="1236" bestFit="1" customWidth="1"/>
    <col min="10504" max="10505" width="9" style="1236"/>
    <col min="10506" max="10506" width="9.33203125" style="1236" bestFit="1" customWidth="1"/>
    <col min="10507" max="10507" width="4" style="1236" customWidth="1"/>
    <col min="10508" max="10508" width="5.109375" style="1236" customWidth="1"/>
    <col min="10509" max="10509" width="13.77734375" style="1236" customWidth="1"/>
    <col min="10510" max="10752" width="9" style="1236"/>
    <col min="10753" max="10753" width="4.88671875" style="1236" customWidth="1"/>
    <col min="10754" max="10754" width="13.21875" style="1236" customWidth="1"/>
    <col min="10755" max="10755" width="15.6640625" style="1236" customWidth="1"/>
    <col min="10756" max="10756" width="9.33203125" style="1236" bestFit="1" customWidth="1"/>
    <col min="10757" max="10757" width="13.44140625" style="1236" customWidth="1"/>
    <col min="10758" max="10758" width="9" style="1236"/>
    <col min="10759" max="10759" width="9.33203125" style="1236" bestFit="1" customWidth="1"/>
    <col min="10760" max="10761" width="9" style="1236"/>
    <col min="10762" max="10762" width="9.33203125" style="1236" bestFit="1" customWidth="1"/>
    <col min="10763" max="10763" width="4" style="1236" customWidth="1"/>
    <col min="10764" max="10764" width="5.109375" style="1236" customWidth="1"/>
    <col min="10765" max="10765" width="13.77734375" style="1236" customWidth="1"/>
    <col min="10766" max="11008" width="9" style="1236"/>
    <col min="11009" max="11009" width="4.88671875" style="1236" customWidth="1"/>
    <col min="11010" max="11010" width="13.21875" style="1236" customWidth="1"/>
    <col min="11011" max="11011" width="15.6640625" style="1236" customWidth="1"/>
    <col min="11012" max="11012" width="9.33203125" style="1236" bestFit="1" customWidth="1"/>
    <col min="11013" max="11013" width="13.44140625" style="1236" customWidth="1"/>
    <col min="11014" max="11014" width="9" style="1236"/>
    <col min="11015" max="11015" width="9.33203125" style="1236" bestFit="1" customWidth="1"/>
    <col min="11016" max="11017" width="9" style="1236"/>
    <col min="11018" max="11018" width="9.33203125" style="1236" bestFit="1" customWidth="1"/>
    <col min="11019" max="11019" width="4" style="1236" customWidth="1"/>
    <col min="11020" max="11020" width="5.109375" style="1236" customWidth="1"/>
    <col min="11021" max="11021" width="13.77734375" style="1236" customWidth="1"/>
    <col min="11022" max="11264" width="9" style="1236"/>
    <col min="11265" max="11265" width="4.88671875" style="1236" customWidth="1"/>
    <col min="11266" max="11266" width="13.21875" style="1236" customWidth="1"/>
    <col min="11267" max="11267" width="15.6640625" style="1236" customWidth="1"/>
    <col min="11268" max="11268" width="9.33203125" style="1236" bestFit="1" customWidth="1"/>
    <col min="11269" max="11269" width="13.44140625" style="1236" customWidth="1"/>
    <col min="11270" max="11270" width="9" style="1236"/>
    <col min="11271" max="11271" width="9.33203125" style="1236" bestFit="1" customWidth="1"/>
    <col min="11272" max="11273" width="9" style="1236"/>
    <col min="11274" max="11274" width="9.33203125" style="1236" bestFit="1" customWidth="1"/>
    <col min="11275" max="11275" width="4" style="1236" customWidth="1"/>
    <col min="11276" max="11276" width="5.109375" style="1236" customWidth="1"/>
    <col min="11277" max="11277" width="13.77734375" style="1236" customWidth="1"/>
    <col min="11278" max="11520" width="9" style="1236"/>
    <col min="11521" max="11521" width="4.88671875" style="1236" customWidth="1"/>
    <col min="11522" max="11522" width="13.21875" style="1236" customWidth="1"/>
    <col min="11523" max="11523" width="15.6640625" style="1236" customWidth="1"/>
    <col min="11524" max="11524" width="9.33203125" style="1236" bestFit="1" customWidth="1"/>
    <col min="11525" max="11525" width="13.44140625" style="1236" customWidth="1"/>
    <col min="11526" max="11526" width="9" style="1236"/>
    <col min="11527" max="11527" width="9.33203125" style="1236" bestFit="1" customWidth="1"/>
    <col min="11528" max="11529" width="9" style="1236"/>
    <col min="11530" max="11530" width="9.33203125" style="1236" bestFit="1" customWidth="1"/>
    <col min="11531" max="11531" width="4" style="1236" customWidth="1"/>
    <col min="11532" max="11532" width="5.109375" style="1236" customWidth="1"/>
    <col min="11533" max="11533" width="13.77734375" style="1236" customWidth="1"/>
    <col min="11534" max="11776" width="9" style="1236"/>
    <col min="11777" max="11777" width="4.88671875" style="1236" customWidth="1"/>
    <col min="11778" max="11778" width="13.21875" style="1236" customWidth="1"/>
    <col min="11779" max="11779" width="15.6640625" style="1236" customWidth="1"/>
    <col min="11780" max="11780" width="9.33203125" style="1236" bestFit="1" customWidth="1"/>
    <col min="11781" max="11781" width="13.44140625" style="1236" customWidth="1"/>
    <col min="11782" max="11782" width="9" style="1236"/>
    <col min="11783" max="11783" width="9.33203125" style="1236" bestFit="1" customWidth="1"/>
    <col min="11784" max="11785" width="9" style="1236"/>
    <col min="11786" max="11786" width="9.33203125" style="1236" bestFit="1" customWidth="1"/>
    <col min="11787" max="11787" width="4" style="1236" customWidth="1"/>
    <col min="11788" max="11788" width="5.109375" style="1236" customWidth="1"/>
    <col min="11789" max="11789" width="13.77734375" style="1236" customWidth="1"/>
    <col min="11790" max="12032" width="9" style="1236"/>
    <col min="12033" max="12033" width="4.88671875" style="1236" customWidth="1"/>
    <col min="12034" max="12034" width="13.21875" style="1236" customWidth="1"/>
    <col min="12035" max="12035" width="15.6640625" style="1236" customWidth="1"/>
    <col min="12036" max="12036" width="9.33203125" style="1236" bestFit="1" customWidth="1"/>
    <col min="12037" max="12037" width="13.44140625" style="1236" customWidth="1"/>
    <col min="12038" max="12038" width="9" style="1236"/>
    <col min="12039" max="12039" width="9.33203125" style="1236" bestFit="1" customWidth="1"/>
    <col min="12040" max="12041" width="9" style="1236"/>
    <col min="12042" max="12042" width="9.33203125" style="1236" bestFit="1" customWidth="1"/>
    <col min="12043" max="12043" width="4" style="1236" customWidth="1"/>
    <col min="12044" max="12044" width="5.109375" style="1236" customWidth="1"/>
    <col min="12045" max="12045" width="13.77734375" style="1236" customWidth="1"/>
    <col min="12046" max="12288" width="9" style="1236"/>
    <col min="12289" max="12289" width="4.88671875" style="1236" customWidth="1"/>
    <col min="12290" max="12290" width="13.21875" style="1236" customWidth="1"/>
    <col min="12291" max="12291" width="15.6640625" style="1236" customWidth="1"/>
    <col min="12292" max="12292" width="9.33203125" style="1236" bestFit="1" customWidth="1"/>
    <col min="12293" max="12293" width="13.44140625" style="1236" customWidth="1"/>
    <col min="12294" max="12294" width="9" style="1236"/>
    <col min="12295" max="12295" width="9.33203125" style="1236" bestFit="1" customWidth="1"/>
    <col min="12296" max="12297" width="9" style="1236"/>
    <col min="12298" max="12298" width="9.33203125" style="1236" bestFit="1" customWidth="1"/>
    <col min="12299" max="12299" width="4" style="1236" customWidth="1"/>
    <col min="12300" max="12300" width="5.109375" style="1236" customWidth="1"/>
    <col min="12301" max="12301" width="13.77734375" style="1236" customWidth="1"/>
    <col min="12302" max="12544" width="9" style="1236"/>
    <col min="12545" max="12545" width="4.88671875" style="1236" customWidth="1"/>
    <col min="12546" max="12546" width="13.21875" style="1236" customWidth="1"/>
    <col min="12547" max="12547" width="15.6640625" style="1236" customWidth="1"/>
    <col min="12548" max="12548" width="9.33203125" style="1236" bestFit="1" customWidth="1"/>
    <col min="12549" max="12549" width="13.44140625" style="1236" customWidth="1"/>
    <col min="12550" max="12550" width="9" style="1236"/>
    <col min="12551" max="12551" width="9.33203125" style="1236" bestFit="1" customWidth="1"/>
    <col min="12552" max="12553" width="9" style="1236"/>
    <col min="12554" max="12554" width="9.33203125" style="1236" bestFit="1" customWidth="1"/>
    <col min="12555" max="12555" width="4" style="1236" customWidth="1"/>
    <col min="12556" max="12556" width="5.109375" style="1236" customWidth="1"/>
    <col min="12557" max="12557" width="13.77734375" style="1236" customWidth="1"/>
    <col min="12558" max="12800" width="9" style="1236"/>
    <col min="12801" max="12801" width="4.88671875" style="1236" customWidth="1"/>
    <col min="12802" max="12802" width="13.21875" style="1236" customWidth="1"/>
    <col min="12803" max="12803" width="15.6640625" style="1236" customWidth="1"/>
    <col min="12804" max="12804" width="9.33203125" style="1236" bestFit="1" customWidth="1"/>
    <col min="12805" max="12805" width="13.44140625" style="1236" customWidth="1"/>
    <col min="12806" max="12806" width="9" style="1236"/>
    <col min="12807" max="12807" width="9.33203125" style="1236" bestFit="1" customWidth="1"/>
    <col min="12808" max="12809" width="9" style="1236"/>
    <col min="12810" max="12810" width="9.33203125" style="1236" bestFit="1" customWidth="1"/>
    <col min="12811" max="12811" width="4" style="1236" customWidth="1"/>
    <col min="12812" max="12812" width="5.109375" style="1236" customWidth="1"/>
    <col min="12813" max="12813" width="13.77734375" style="1236" customWidth="1"/>
    <col min="12814" max="13056" width="9" style="1236"/>
    <col min="13057" max="13057" width="4.88671875" style="1236" customWidth="1"/>
    <col min="13058" max="13058" width="13.21875" style="1236" customWidth="1"/>
    <col min="13059" max="13059" width="15.6640625" style="1236" customWidth="1"/>
    <col min="13060" max="13060" width="9.33203125" style="1236" bestFit="1" customWidth="1"/>
    <col min="13061" max="13061" width="13.44140625" style="1236" customWidth="1"/>
    <col min="13062" max="13062" width="9" style="1236"/>
    <col min="13063" max="13063" width="9.33203125" style="1236" bestFit="1" customWidth="1"/>
    <col min="13064" max="13065" width="9" style="1236"/>
    <col min="13066" max="13066" width="9.33203125" style="1236" bestFit="1" customWidth="1"/>
    <col min="13067" max="13067" width="4" style="1236" customWidth="1"/>
    <col min="13068" max="13068" width="5.109375" style="1236" customWidth="1"/>
    <col min="13069" max="13069" width="13.77734375" style="1236" customWidth="1"/>
    <col min="13070" max="13312" width="9" style="1236"/>
    <col min="13313" max="13313" width="4.88671875" style="1236" customWidth="1"/>
    <col min="13314" max="13314" width="13.21875" style="1236" customWidth="1"/>
    <col min="13315" max="13315" width="15.6640625" style="1236" customWidth="1"/>
    <col min="13316" max="13316" width="9.33203125" style="1236" bestFit="1" customWidth="1"/>
    <col min="13317" max="13317" width="13.44140625" style="1236" customWidth="1"/>
    <col min="13318" max="13318" width="9" style="1236"/>
    <col min="13319" max="13319" width="9.33203125" style="1236" bestFit="1" customWidth="1"/>
    <col min="13320" max="13321" width="9" style="1236"/>
    <col min="13322" max="13322" width="9.33203125" style="1236" bestFit="1" customWidth="1"/>
    <col min="13323" max="13323" width="4" style="1236" customWidth="1"/>
    <col min="13324" max="13324" width="5.109375" style="1236" customWidth="1"/>
    <col min="13325" max="13325" width="13.77734375" style="1236" customWidth="1"/>
    <col min="13326" max="13568" width="9" style="1236"/>
    <col min="13569" max="13569" width="4.88671875" style="1236" customWidth="1"/>
    <col min="13570" max="13570" width="13.21875" style="1236" customWidth="1"/>
    <col min="13571" max="13571" width="15.6640625" style="1236" customWidth="1"/>
    <col min="13572" max="13572" width="9.33203125" style="1236" bestFit="1" customWidth="1"/>
    <col min="13573" max="13573" width="13.44140625" style="1236" customWidth="1"/>
    <col min="13574" max="13574" width="9" style="1236"/>
    <col min="13575" max="13575" width="9.33203125" style="1236" bestFit="1" customWidth="1"/>
    <col min="13576" max="13577" width="9" style="1236"/>
    <col min="13578" max="13578" width="9.33203125" style="1236" bestFit="1" customWidth="1"/>
    <col min="13579" max="13579" width="4" style="1236" customWidth="1"/>
    <col min="13580" max="13580" width="5.109375" style="1236" customWidth="1"/>
    <col min="13581" max="13581" width="13.77734375" style="1236" customWidth="1"/>
    <col min="13582" max="13824" width="9" style="1236"/>
    <col min="13825" max="13825" width="4.88671875" style="1236" customWidth="1"/>
    <col min="13826" max="13826" width="13.21875" style="1236" customWidth="1"/>
    <col min="13827" max="13827" width="15.6640625" style="1236" customWidth="1"/>
    <col min="13828" max="13828" width="9.33203125" style="1236" bestFit="1" customWidth="1"/>
    <col min="13829" max="13829" width="13.44140625" style="1236" customWidth="1"/>
    <col min="13830" max="13830" width="9" style="1236"/>
    <col min="13831" max="13831" width="9.33203125" style="1236" bestFit="1" customWidth="1"/>
    <col min="13832" max="13833" width="9" style="1236"/>
    <col min="13834" max="13834" width="9.33203125" style="1236" bestFit="1" customWidth="1"/>
    <col min="13835" max="13835" width="4" style="1236" customWidth="1"/>
    <col min="13836" max="13836" width="5.109375" style="1236" customWidth="1"/>
    <col min="13837" max="13837" width="13.77734375" style="1236" customWidth="1"/>
    <col min="13838" max="14080" width="9" style="1236"/>
    <col min="14081" max="14081" width="4.88671875" style="1236" customWidth="1"/>
    <col min="14082" max="14082" width="13.21875" style="1236" customWidth="1"/>
    <col min="14083" max="14083" width="15.6640625" style="1236" customWidth="1"/>
    <col min="14084" max="14084" width="9.33203125" style="1236" bestFit="1" customWidth="1"/>
    <col min="14085" max="14085" width="13.44140625" style="1236" customWidth="1"/>
    <col min="14086" max="14086" width="9" style="1236"/>
    <col min="14087" max="14087" width="9.33203125" style="1236" bestFit="1" customWidth="1"/>
    <col min="14088" max="14089" width="9" style="1236"/>
    <col min="14090" max="14090" width="9.33203125" style="1236" bestFit="1" customWidth="1"/>
    <col min="14091" max="14091" width="4" style="1236" customWidth="1"/>
    <col min="14092" max="14092" width="5.109375" style="1236" customWidth="1"/>
    <col min="14093" max="14093" width="13.77734375" style="1236" customWidth="1"/>
    <col min="14094" max="14336" width="9" style="1236"/>
    <col min="14337" max="14337" width="4.88671875" style="1236" customWidth="1"/>
    <col min="14338" max="14338" width="13.21875" style="1236" customWidth="1"/>
    <col min="14339" max="14339" width="15.6640625" style="1236" customWidth="1"/>
    <col min="14340" max="14340" width="9.33203125" style="1236" bestFit="1" customWidth="1"/>
    <col min="14341" max="14341" width="13.44140625" style="1236" customWidth="1"/>
    <col min="14342" max="14342" width="9" style="1236"/>
    <col min="14343" max="14343" width="9.33203125" style="1236" bestFit="1" customWidth="1"/>
    <col min="14344" max="14345" width="9" style="1236"/>
    <col min="14346" max="14346" width="9.33203125" style="1236" bestFit="1" customWidth="1"/>
    <col min="14347" max="14347" width="4" style="1236" customWidth="1"/>
    <col min="14348" max="14348" width="5.109375" style="1236" customWidth="1"/>
    <col min="14349" max="14349" width="13.77734375" style="1236" customWidth="1"/>
    <col min="14350" max="14592" width="9" style="1236"/>
    <col min="14593" max="14593" width="4.88671875" style="1236" customWidth="1"/>
    <col min="14594" max="14594" width="13.21875" style="1236" customWidth="1"/>
    <col min="14595" max="14595" width="15.6640625" style="1236" customWidth="1"/>
    <col min="14596" max="14596" width="9.33203125" style="1236" bestFit="1" customWidth="1"/>
    <col min="14597" max="14597" width="13.44140625" style="1236" customWidth="1"/>
    <col min="14598" max="14598" width="9" style="1236"/>
    <col min="14599" max="14599" width="9.33203125" style="1236" bestFit="1" customWidth="1"/>
    <col min="14600" max="14601" width="9" style="1236"/>
    <col min="14602" max="14602" width="9.33203125" style="1236" bestFit="1" customWidth="1"/>
    <col min="14603" max="14603" width="4" style="1236" customWidth="1"/>
    <col min="14604" max="14604" width="5.109375" style="1236" customWidth="1"/>
    <col min="14605" max="14605" width="13.77734375" style="1236" customWidth="1"/>
    <col min="14606" max="14848" width="9" style="1236"/>
    <col min="14849" max="14849" width="4.88671875" style="1236" customWidth="1"/>
    <col min="14850" max="14850" width="13.21875" style="1236" customWidth="1"/>
    <col min="14851" max="14851" width="15.6640625" style="1236" customWidth="1"/>
    <col min="14852" max="14852" width="9.33203125" style="1236" bestFit="1" customWidth="1"/>
    <col min="14853" max="14853" width="13.44140625" style="1236" customWidth="1"/>
    <col min="14854" max="14854" width="9" style="1236"/>
    <col min="14855" max="14855" width="9.33203125" style="1236" bestFit="1" customWidth="1"/>
    <col min="14856" max="14857" width="9" style="1236"/>
    <col min="14858" max="14858" width="9.33203125" style="1236" bestFit="1" customWidth="1"/>
    <col min="14859" max="14859" width="4" style="1236" customWidth="1"/>
    <col min="14860" max="14860" width="5.109375" style="1236" customWidth="1"/>
    <col min="14861" max="14861" width="13.77734375" style="1236" customWidth="1"/>
    <col min="14862" max="15104" width="9" style="1236"/>
    <col min="15105" max="15105" width="4.88671875" style="1236" customWidth="1"/>
    <col min="15106" max="15106" width="13.21875" style="1236" customWidth="1"/>
    <col min="15107" max="15107" width="15.6640625" style="1236" customWidth="1"/>
    <col min="15108" max="15108" width="9.33203125" style="1236" bestFit="1" customWidth="1"/>
    <col min="15109" max="15109" width="13.44140625" style="1236" customWidth="1"/>
    <col min="15110" max="15110" width="9" style="1236"/>
    <col min="15111" max="15111" width="9.33203125" style="1236" bestFit="1" customWidth="1"/>
    <col min="15112" max="15113" width="9" style="1236"/>
    <col min="15114" max="15114" width="9.33203125" style="1236" bestFit="1" customWidth="1"/>
    <col min="15115" max="15115" width="4" style="1236" customWidth="1"/>
    <col min="15116" max="15116" width="5.109375" style="1236" customWidth="1"/>
    <col min="15117" max="15117" width="13.77734375" style="1236" customWidth="1"/>
    <col min="15118" max="15360" width="9" style="1236"/>
    <col min="15361" max="15361" width="4.88671875" style="1236" customWidth="1"/>
    <col min="15362" max="15362" width="13.21875" style="1236" customWidth="1"/>
    <col min="15363" max="15363" width="15.6640625" style="1236" customWidth="1"/>
    <col min="15364" max="15364" width="9.33203125" style="1236" bestFit="1" customWidth="1"/>
    <col min="15365" max="15365" width="13.44140625" style="1236" customWidth="1"/>
    <col min="15366" max="15366" width="9" style="1236"/>
    <col min="15367" max="15367" width="9.33203125" style="1236" bestFit="1" customWidth="1"/>
    <col min="15368" max="15369" width="9" style="1236"/>
    <col min="15370" max="15370" width="9.33203125" style="1236" bestFit="1" customWidth="1"/>
    <col min="15371" max="15371" width="4" style="1236" customWidth="1"/>
    <col min="15372" max="15372" width="5.109375" style="1236" customWidth="1"/>
    <col min="15373" max="15373" width="13.77734375" style="1236" customWidth="1"/>
    <col min="15374" max="15616" width="9" style="1236"/>
    <col min="15617" max="15617" width="4.88671875" style="1236" customWidth="1"/>
    <col min="15618" max="15618" width="13.21875" style="1236" customWidth="1"/>
    <col min="15619" max="15619" width="15.6640625" style="1236" customWidth="1"/>
    <col min="15620" max="15620" width="9.33203125" style="1236" bestFit="1" customWidth="1"/>
    <col min="15621" max="15621" width="13.44140625" style="1236" customWidth="1"/>
    <col min="15622" max="15622" width="9" style="1236"/>
    <col min="15623" max="15623" width="9.33203125" style="1236" bestFit="1" customWidth="1"/>
    <col min="15624" max="15625" width="9" style="1236"/>
    <col min="15626" max="15626" width="9.33203125" style="1236" bestFit="1" customWidth="1"/>
    <col min="15627" max="15627" width="4" style="1236" customWidth="1"/>
    <col min="15628" max="15628" width="5.109375" style="1236" customWidth="1"/>
    <col min="15629" max="15629" width="13.77734375" style="1236" customWidth="1"/>
    <col min="15630" max="15872" width="9" style="1236"/>
    <col min="15873" max="15873" width="4.88671875" style="1236" customWidth="1"/>
    <col min="15874" max="15874" width="13.21875" style="1236" customWidth="1"/>
    <col min="15875" max="15875" width="15.6640625" style="1236" customWidth="1"/>
    <col min="15876" max="15876" width="9.33203125" style="1236" bestFit="1" customWidth="1"/>
    <col min="15877" max="15877" width="13.44140625" style="1236" customWidth="1"/>
    <col min="15878" max="15878" width="9" style="1236"/>
    <col min="15879" max="15879" width="9.33203125" style="1236" bestFit="1" customWidth="1"/>
    <col min="15880" max="15881" width="9" style="1236"/>
    <col min="15882" max="15882" width="9.33203125" style="1236" bestFit="1" customWidth="1"/>
    <col min="15883" max="15883" width="4" style="1236" customWidth="1"/>
    <col min="15884" max="15884" width="5.109375" style="1236" customWidth="1"/>
    <col min="15885" max="15885" width="13.77734375" style="1236" customWidth="1"/>
    <col min="15886" max="16128" width="9" style="1236"/>
    <col min="16129" max="16129" width="4.88671875" style="1236" customWidth="1"/>
    <col min="16130" max="16130" width="13.21875" style="1236" customWidth="1"/>
    <col min="16131" max="16131" width="15.6640625" style="1236" customWidth="1"/>
    <col min="16132" max="16132" width="9.33203125" style="1236" bestFit="1" customWidth="1"/>
    <col min="16133" max="16133" width="13.44140625" style="1236" customWidth="1"/>
    <col min="16134" max="16134" width="9" style="1236"/>
    <col min="16135" max="16135" width="9.33203125" style="1236" bestFit="1" customWidth="1"/>
    <col min="16136" max="16137" width="9" style="1236"/>
    <col min="16138" max="16138" width="9.33203125" style="1236" bestFit="1" customWidth="1"/>
    <col min="16139" max="16139" width="4" style="1236" customWidth="1"/>
    <col min="16140" max="16140" width="5.109375" style="1236" customWidth="1"/>
    <col min="16141" max="16141" width="13.77734375" style="1236" customWidth="1"/>
    <col min="16142" max="16384" width="9" style="1236"/>
  </cols>
  <sheetData>
    <row r="1" spans="1:257" s="1298" customFormat="1" ht="15" thickBot="1">
      <c r="A1" s="1292"/>
      <c r="B1" s="1299" t="s">
        <v>601</v>
      </c>
      <c r="C1" s="1293">
        <f>项目基本情况!D3</f>
        <v>45295</v>
      </c>
      <c r="D1" s="1299" t="s">
        <v>602</v>
      </c>
      <c r="E1" s="1294">
        <f>'数据-取费表'!B22</f>
        <v>3</v>
      </c>
      <c r="F1" s="1299" t="s">
        <v>603</v>
      </c>
      <c r="G1" s="1295">
        <f ca="1">INDIRECT("d"&amp;$K$1)/100</f>
        <v>3.4500000000000003E-2</v>
      </c>
      <c r="H1" s="1299" t="s">
        <v>633</v>
      </c>
      <c r="I1" s="1295">
        <f ca="1">F4/100</f>
        <v>1.4999999999999999E-2</v>
      </c>
      <c r="J1" s="1300">
        <f>IF(C1&gt;C13,0,MATCH(C1,C$13:C$111,-1))+IF(SUMIF(C13:C111,C1,D13:D111)=0,13,12)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6" thickTop="1" thickBot="1">
      <c r="A2" s="1237"/>
      <c r="B2" s="1237"/>
      <c r="C2" s="1237"/>
      <c r="D2" s="1237" t="s">
        <v>604</v>
      </c>
      <c r="E2" s="1237"/>
      <c r="F2" s="1237" t="s">
        <v>605</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606</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607</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608</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609</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5" thickBot="1">
      <c r="B7" s="1251" t="s">
        <v>610</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399999999999999">
      <c r="A9" s="1259"/>
      <c r="B9" s="1260" t="s">
        <v>611</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2">
      <c r="A10" s="1265"/>
      <c r="B10" s="1266" t="s">
        <v>612</v>
      </c>
      <c r="C10" s="1265"/>
      <c r="D10" s="1265"/>
      <c r="E10" s="1265"/>
      <c r="F10" s="1265"/>
      <c r="G10" s="1265"/>
      <c r="H10" s="1265"/>
      <c r="I10" s="1239"/>
      <c r="J10" s="1239"/>
      <c r="K10" s="1265"/>
      <c r="L10" s="1266" t="s">
        <v>613</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614</v>
      </c>
      <c r="C11" s="1270" t="s">
        <v>615</v>
      </c>
      <c r="D11" s="1271" t="s">
        <v>616</v>
      </c>
      <c r="E11" s="1272"/>
      <c r="F11" s="1271" t="s">
        <v>617</v>
      </c>
      <c r="G11" s="1273"/>
      <c r="H11" s="1272"/>
      <c r="I11" s="1271" t="s">
        <v>618</v>
      </c>
      <c r="J11" s="1272"/>
      <c r="K11" s="1268"/>
      <c r="L11" s="1269" t="s">
        <v>614</v>
      </c>
      <c r="M11" s="1270" t="s">
        <v>615</v>
      </c>
      <c r="N11" s="1269" t="s">
        <v>619</v>
      </c>
      <c r="O11" s="1271" t="s">
        <v>620</v>
      </c>
      <c r="P11" s="1273"/>
      <c r="Q11" s="1273"/>
      <c r="R11" s="1273"/>
      <c r="S11" s="1273"/>
      <c r="T11" s="1272"/>
      <c r="U11" s="1271" t="s">
        <v>621</v>
      </c>
      <c r="V11" s="1273"/>
      <c r="W11" s="1272"/>
      <c r="X11" s="1269" t="s">
        <v>622</v>
      </c>
      <c r="Y11" s="1269" t="s">
        <v>623</v>
      </c>
      <c r="Z11" s="1269" t="s">
        <v>624</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625</v>
      </c>
      <c r="E12" s="1278" t="s">
        <v>626</v>
      </c>
      <c r="F12" s="1278" t="s">
        <v>627</v>
      </c>
      <c r="G12" s="1278" t="s">
        <v>628</v>
      </c>
      <c r="H12" s="1278" t="s">
        <v>610</v>
      </c>
      <c r="I12" s="1279" t="s">
        <v>629</v>
      </c>
      <c r="J12" s="1279" t="s">
        <v>629</v>
      </c>
      <c r="K12" s="1275"/>
      <c r="L12" s="1276"/>
      <c r="M12" s="1277"/>
      <c r="N12" s="1276"/>
      <c r="O12" s="1279" t="s">
        <v>630</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31.2">
      <c r="A13" s="1281"/>
      <c r="B13" s="1282" t="s">
        <v>631</v>
      </c>
      <c r="C13" s="2818">
        <v>45159</v>
      </c>
      <c r="D13" s="2819">
        <v>3.45</v>
      </c>
      <c r="E13" s="2819">
        <f>D13</f>
        <v>3.45</v>
      </c>
      <c r="F13" s="2819">
        <f>D13</f>
        <v>3.45</v>
      </c>
      <c r="G13" s="2819">
        <f>D13</f>
        <v>3.45</v>
      </c>
      <c r="H13" s="2819">
        <v>4.2</v>
      </c>
      <c r="I13" s="1283"/>
      <c r="J13" s="1283"/>
      <c r="K13" s="1281"/>
      <c r="L13" s="1282" t="s">
        <v>631</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5.6">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5.6">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5.6">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5.6">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6.8">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5.6">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5.6">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5.6">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5.6">
      <c r="A23" s="2820"/>
      <c r="B23" s="2813" t="s">
        <v>2310</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5.6">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632</v>
      </c>
      <c r="Y42" s="1287" t="s">
        <v>632</v>
      </c>
      <c r="Z42" s="1287" t="s">
        <v>632</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632</v>
      </c>
      <c r="Y43" s="1287" t="s">
        <v>632</v>
      </c>
      <c r="Z43" s="1287" t="s">
        <v>632</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632</v>
      </c>
      <c r="Y44" s="1287" t="s">
        <v>632</v>
      </c>
      <c r="Z44" s="1287" t="s">
        <v>632</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632</v>
      </c>
      <c r="Y45" s="1287" t="s">
        <v>632</v>
      </c>
      <c r="Z45" s="1287" t="s">
        <v>632</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632</v>
      </c>
      <c r="Y46" s="1287" t="s">
        <v>632</v>
      </c>
      <c r="Z46" s="1287" t="s">
        <v>632</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632</v>
      </c>
      <c r="Y47" s="1287" t="s">
        <v>632</v>
      </c>
      <c r="Z47" s="1287" t="s">
        <v>632</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632</v>
      </c>
      <c r="Y48" s="1287" t="s">
        <v>632</v>
      </c>
      <c r="Z48" s="1287" t="s">
        <v>632</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632</v>
      </c>
      <c r="Y49" s="1287" t="s">
        <v>632</v>
      </c>
      <c r="Z49" s="1287" t="s">
        <v>632</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632</v>
      </c>
      <c r="Y50" s="1287" t="s">
        <v>632</v>
      </c>
      <c r="Z50" s="1287" t="s">
        <v>632</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632</v>
      </c>
      <c r="V51" s="1287" t="s">
        <v>632</v>
      </c>
      <c r="W51" s="1287" t="s">
        <v>632</v>
      </c>
      <c r="X51" s="1287" t="s">
        <v>632</v>
      </c>
      <c r="Y51" s="1287" t="s">
        <v>632</v>
      </c>
      <c r="Z51" s="1287" t="s">
        <v>632</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632</v>
      </c>
      <c r="J66" s="1287" t="s">
        <v>632</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D40" sqref="D40"/>
    </sheetView>
  </sheetViews>
  <sheetFormatPr defaultColWidth="12" defaultRowHeight="13.2"/>
  <cols>
    <col min="1" max="1" width="9.77734375" style="2050" customWidth="1"/>
    <col min="2" max="2" width="22.44140625" style="2141" customWidth="1"/>
    <col min="3" max="3" width="12" style="1995"/>
    <col min="4" max="4" width="14.88671875" style="1995" customWidth="1"/>
    <col min="5" max="5" width="14.6640625" style="1995" customWidth="1"/>
    <col min="6" max="8" width="12" style="1995"/>
    <col min="9" max="9" width="12.21875" style="1995" bestFit="1" customWidth="1"/>
    <col min="10" max="10" width="12" style="1995"/>
    <col min="11" max="11" width="8.109375" style="2046" customWidth="1"/>
    <col min="12" max="12" width="19.44140625" style="1995" customWidth="1"/>
    <col min="13" max="13" width="8.44140625" style="1995" customWidth="1"/>
    <col min="14" max="14" width="9.77734375" style="1995" customWidth="1"/>
    <col min="15" max="25" width="12" style="1995"/>
    <col min="26" max="26" width="9.33203125" style="2050" customWidth="1"/>
    <col min="27" max="32" width="9.33203125" style="1118" customWidth="1"/>
    <col min="33" max="36" width="9.33203125" style="2050" customWidth="1"/>
    <col min="37" max="38" width="9.33203125" style="1995" customWidth="1"/>
    <col min="39" max="16384" width="12" style="1995"/>
  </cols>
  <sheetData>
    <row r="1" spans="1:36" ht="31.2">
      <c r="A1" s="3501" t="s">
        <v>1924</v>
      </c>
      <c r="B1" s="3502"/>
      <c r="C1" s="3503" t="s">
        <v>1925</v>
      </c>
      <c r="D1" s="342">
        <f>SUM(D33:D34,D37:D42)</f>
        <v>25296.050000000003</v>
      </c>
      <c r="E1" s="1992"/>
      <c r="F1" s="1992"/>
      <c r="G1" s="1992"/>
      <c r="H1" s="1992"/>
      <c r="I1" s="1992"/>
      <c r="J1" s="1992"/>
      <c r="K1" s="1116"/>
      <c r="L1" s="1993" t="s">
        <v>1926</v>
      </c>
      <c r="M1" s="860">
        <f>SUMPRODUCT((区片价!B5:B9=I2)*(区片价!C3:G3=E2)*(区片价!C5:G9))</f>
        <v>0</v>
      </c>
      <c r="N1" s="863">
        <f>SUMPRODUCT((因素修正幅度!B5:B9=I2)*(因素修正幅度!C3:G3=E2)*(因素修正幅度!C5:G9))</f>
        <v>0</v>
      </c>
      <c r="O1" s="1994"/>
      <c r="P1" s="1994"/>
      <c r="Q1" s="1116"/>
      <c r="R1" s="3510" t="s">
        <v>1927</v>
      </c>
      <c r="S1" s="3510" t="s">
        <v>1928</v>
      </c>
      <c r="T1" s="3510" t="s">
        <v>1929</v>
      </c>
      <c r="U1" s="3510" t="s">
        <v>1930</v>
      </c>
      <c r="V1" s="3510" t="s">
        <v>1931</v>
      </c>
      <c r="W1" s="3514"/>
      <c r="X1" s="3514"/>
      <c r="Y1" s="3514"/>
      <c r="Z1" s="3514"/>
      <c r="AA1" s="3514"/>
      <c r="AB1" s="3514"/>
      <c r="AC1" s="3515"/>
      <c r="AD1" s="3516"/>
      <c r="AE1" s="3516"/>
      <c r="AF1" s="3516"/>
      <c r="AG1" s="3516"/>
      <c r="AH1" s="3516"/>
      <c r="AI1" s="3516"/>
      <c r="AJ1" s="3517"/>
    </row>
    <row r="2" spans="1:36" ht="15.6">
      <c r="A2" s="3503" t="s">
        <v>1932</v>
      </c>
      <c r="B2" s="3505">
        <f>C30</f>
        <v>48065</v>
      </c>
      <c r="C2" s="3522" t="s">
        <v>1933</v>
      </c>
      <c r="D2" s="1997" t="s">
        <v>1934</v>
      </c>
      <c r="E2" s="3419" t="s">
        <v>672</v>
      </c>
      <c r="F2" s="1997" t="s">
        <v>1935</v>
      </c>
      <c r="G2" s="1998" t="str">
        <f>IF(E2="商业",项目基本情况!B37,IF(E2="办公",项目基本情况!C37,IF(E2="住宅",项目基本情况!D37,IF(E2="工业",项目基本情况!E37,项目基本情况!F37))))</f>
        <v>三级</v>
      </c>
      <c r="H2" s="1997" t="s">
        <v>1936</v>
      </c>
      <c r="I2" s="1998" t="str">
        <f>IF(E2="商业",项目基本情况!B38,IF(E2="办公",项目基本情况!C38,IF(E2="住宅",项目基本情况!D38,IF(E2="工业",项目基本情况!E38,项目基本情况!F38))))</f>
        <v>Ⅲ—03</v>
      </c>
      <c r="J2" s="1999"/>
      <c r="K2" s="1116"/>
      <c r="L2" s="2000" t="s">
        <v>1937</v>
      </c>
      <c r="M2" s="861">
        <f>SUMPRODUCT((区片价!B10:B29=I2)*(区片价!C3:G3=E2)*(区片价!C10:G29))</f>
        <v>0</v>
      </c>
      <c r="N2" s="863">
        <f>SUMPRODUCT((因素修正幅度!B10:B29=I2)*(因素修正幅度!C3:G3=E2)*(因素修正幅度!C10:G29))</f>
        <v>0</v>
      </c>
      <c r="O2" s="1116"/>
      <c r="P2" s="1116"/>
      <c r="Q2" s="1116"/>
      <c r="R2" s="3510">
        <v>1</v>
      </c>
      <c r="S2" s="3538">
        <f>ROUND(SUMPRODUCT((B106:B110=R2)*(C105:N105=G2)*(C106:N110)),4)</f>
        <v>1.5019</v>
      </c>
      <c r="T2" s="3538">
        <f t="shared" ref="T2:T16" si="0">ROUND($C$5*$C$22*$C$23*$C$24*S2*$C$28,0)</f>
        <v>32904</v>
      </c>
      <c r="U2" s="3511">
        <f>'数据-取费表'!V21</f>
        <v>1706.53</v>
      </c>
      <c r="V2" s="3538">
        <f>ROUND(T2*U2/10000,0)</f>
        <v>5615</v>
      </c>
      <c r="W2" s="3514"/>
      <c r="X2" s="3514"/>
      <c r="Y2" s="3514"/>
      <c r="Z2" s="3514"/>
      <c r="AA2" s="3514"/>
      <c r="AB2" s="3514"/>
      <c r="AC2" s="3515"/>
      <c r="AD2" s="3516"/>
      <c r="AE2" s="3516"/>
      <c r="AF2" s="3516"/>
      <c r="AG2" s="3516"/>
      <c r="AH2" s="3516"/>
      <c r="AI2" s="3516"/>
      <c r="AJ2" s="3517"/>
    </row>
    <row r="3" spans="1:36" ht="15.6">
      <c r="A3" s="3504" t="s">
        <v>1938</v>
      </c>
      <c r="B3" s="3505">
        <f>ROUND(B2*10000/D1,0)</f>
        <v>19001</v>
      </c>
      <c r="C3" s="3522" t="s">
        <v>1939</v>
      </c>
      <c r="D3" s="1997" t="s">
        <v>1940</v>
      </c>
      <c r="E3" s="3417" t="s">
        <v>2440</v>
      </c>
      <c r="F3" s="2001" t="s">
        <v>3466</v>
      </c>
      <c r="G3" s="749">
        <f>IF(F3="宗地容积率",'数据-汇总表'!I4,IF(F3="估价对象容积率",'数据-汇总表'!I6,'数据-汇总表'!I7))</f>
        <v>6.39</v>
      </c>
      <c r="H3" s="170" t="s">
        <v>1941</v>
      </c>
      <c r="I3" s="772">
        <v>3</v>
      </c>
      <c r="J3" s="1999" t="s">
        <v>1942</v>
      </c>
      <c r="K3" s="1116"/>
      <c r="L3" s="2000" t="s">
        <v>1943</v>
      </c>
      <c r="M3" s="861">
        <f>SUMPRODUCT((区片价!B30:B54=I2)*(区片价!C3:G3=E2)*(区片价!C30:G54))</f>
        <v>27210</v>
      </c>
      <c r="N3" s="863">
        <f>SUMPRODUCT((因素修正幅度!B30:B54=I2)*(因素修正幅度!C3:G3=E2)*(因素修正幅度!C30:G54))</f>
        <v>8.2000000000000003E-2</v>
      </c>
      <c r="O3" s="1116"/>
      <c r="P3" s="1116"/>
      <c r="Q3" s="1116"/>
      <c r="R3" s="3510">
        <v>2</v>
      </c>
      <c r="S3" s="3538">
        <f>ROUND(SUMPRODUCT((B106:B110=R3)*(C105:N105=G2)*(C106:N110)),4)</f>
        <v>1.1838</v>
      </c>
      <c r="T3" s="3538">
        <f t="shared" si="0"/>
        <v>25935</v>
      </c>
      <c r="U3" s="3511">
        <f>'数据-取费表'!V20</f>
        <v>3225.25</v>
      </c>
      <c r="V3" s="3538">
        <f t="shared" ref="V3:V16" si="1">ROUND(T3*U3/10000,0)</f>
        <v>8365</v>
      </c>
      <c r="W3" s="3514"/>
      <c r="X3" s="3514"/>
      <c r="Y3" s="3514"/>
      <c r="Z3" s="3514"/>
      <c r="AA3" s="3514"/>
      <c r="AB3" s="3514"/>
      <c r="AC3" s="3515"/>
      <c r="AD3" s="3516"/>
      <c r="AE3" s="3516"/>
      <c r="AF3" s="3516"/>
      <c r="AG3" s="3516"/>
      <c r="AH3" s="3516"/>
      <c r="AI3" s="3516"/>
      <c r="AJ3" s="3517"/>
    </row>
    <row r="4" spans="1:36" ht="15.6">
      <c r="A4" s="3859"/>
      <c r="B4" s="3860"/>
      <c r="C4" s="3860"/>
      <c r="D4" s="3861"/>
      <c r="E4" s="3861"/>
      <c r="F4" s="3861"/>
      <c r="G4" s="3861"/>
      <c r="H4" s="3861"/>
      <c r="I4" s="3861"/>
      <c r="J4" s="3862"/>
      <c r="K4" s="1116"/>
      <c r="L4" s="2000" t="s">
        <v>1944</v>
      </c>
      <c r="M4" s="861">
        <f>SUMPRODUCT((区片价!B55:B86=I2)*(区片价!C3:G3=E2)*(区片价!C55:G86))</f>
        <v>0</v>
      </c>
      <c r="N4" s="863">
        <f>SUMPRODUCT((因素修正幅度!B55:B86=I2)*(因素修正幅度!C3:G3=E2)*(因素修正幅度!C55:G86))</f>
        <v>0</v>
      </c>
      <c r="O4" s="1116"/>
      <c r="P4" s="1116"/>
      <c r="Q4" s="1116"/>
      <c r="R4" s="3510">
        <v>3</v>
      </c>
      <c r="S4" s="3538">
        <f>ROUND(SUMPRODUCT((B106:B110=R4)*(C105:N105=G2)*(C106:N110)),4)</f>
        <v>1.0004999999999999</v>
      </c>
      <c r="T4" s="3538">
        <f t="shared" si="0"/>
        <v>21919</v>
      </c>
      <c r="U4" s="3511">
        <f>'数据-取费表'!V19</f>
        <v>3895.81</v>
      </c>
      <c r="V4" s="3538">
        <f t="shared" si="1"/>
        <v>8539</v>
      </c>
      <c r="W4" s="3514"/>
      <c r="X4" s="3514"/>
      <c r="Y4" s="3514"/>
      <c r="Z4" s="3514"/>
      <c r="AA4" s="3514"/>
      <c r="AB4" s="3514"/>
      <c r="AC4" s="3515"/>
      <c r="AD4" s="3516"/>
      <c r="AE4" s="3516"/>
      <c r="AF4" s="3516"/>
      <c r="AG4" s="3516"/>
      <c r="AH4" s="3516"/>
      <c r="AI4" s="3516"/>
      <c r="AJ4" s="3517"/>
    </row>
    <row r="5" spans="1:36" s="2011" customFormat="1" ht="15.6" thickBot="1">
      <c r="A5" s="2002" t="s">
        <v>361</v>
      </c>
      <c r="B5" s="2003" t="s">
        <v>1945</v>
      </c>
      <c r="C5" s="750">
        <f>ROUND(IF(E2="商业",C6*C7*C17+C20,(IF(E2="住宅",C6*C13*C17+C20,IF(E2="办公",C6*C12*C17+C20,C6+C20)))),0)</f>
        <v>27190</v>
      </c>
      <c r="D5" s="1336">
        <f>ROUND(C6*C17+C20,0)</f>
        <v>27190</v>
      </c>
      <c r="E5" s="1336"/>
      <c r="F5" s="2004"/>
      <c r="G5" s="2005"/>
      <c r="H5" s="2005"/>
      <c r="I5" s="2005"/>
      <c r="J5" s="2006"/>
      <c r="K5" s="2007"/>
      <c r="L5" s="2000" t="s">
        <v>1946</v>
      </c>
      <c r="M5" s="861">
        <f>SUMPRODUCT((区片价!B87:B126=I2)*(区片价!C3:G3=E2)*(区片价!C87:G126))</f>
        <v>0</v>
      </c>
      <c r="N5" s="863">
        <f>SUMPRODUCT((因素修正幅度!B87:B126=I2)*(因素修正幅度!C3:G3=E2)*(因素修正幅度!C87:G126))</f>
        <v>0</v>
      </c>
      <c r="O5" s="1116"/>
      <c r="P5" s="1116"/>
      <c r="Q5" s="1116"/>
      <c r="R5" s="3510">
        <v>4</v>
      </c>
      <c r="S5" s="3538">
        <f>ROUND(SUMPRODUCT((B106:B110=R5)*(C105:N105=G2)*(C106:N110)),4)</f>
        <v>0.88239999999999996</v>
      </c>
      <c r="T5" s="3538">
        <f t="shared" si="0"/>
        <v>19332</v>
      </c>
      <c r="U5" s="3511"/>
      <c r="V5" s="3538">
        <f t="shared" si="1"/>
        <v>0</v>
      </c>
      <c r="W5" s="3514"/>
      <c r="X5" s="3514"/>
      <c r="Y5" s="3514"/>
      <c r="Z5" s="3514"/>
      <c r="AA5" s="3514"/>
      <c r="AB5" s="3514"/>
      <c r="AC5" s="3523"/>
      <c r="AD5" s="3524"/>
      <c r="AE5" s="3524"/>
      <c r="AF5" s="3524"/>
      <c r="AG5" s="3524"/>
      <c r="AH5" s="3524"/>
      <c r="AI5" s="3524"/>
      <c r="AJ5" s="3525"/>
    </row>
    <row r="6" spans="1:36" ht="15.6" thickBot="1">
      <c r="A6" s="2012" t="s">
        <v>1947</v>
      </c>
      <c r="B6" s="2013" t="s">
        <v>1948</v>
      </c>
      <c r="C6" s="751">
        <f>SUMIF(L1:L12,G2,M1:M12)</f>
        <v>27210</v>
      </c>
      <c r="D6" s="2014"/>
      <c r="E6" s="2015"/>
      <c r="F6" s="2015"/>
      <c r="G6" s="2016"/>
      <c r="H6" s="2016"/>
      <c r="I6" s="2016"/>
      <c r="J6" s="2017"/>
      <c r="K6" s="1381"/>
      <c r="L6" s="2000" t="s">
        <v>1949</v>
      </c>
      <c r="M6" s="861">
        <f>SUMPRODUCT((区片价!B127:B189=I2)*(区片价!C3:G3=E2)*(区片价!C127:G189))</f>
        <v>0</v>
      </c>
      <c r="N6" s="863">
        <f>SUMPRODUCT((因素修正幅度!B127:B189=I2)*(因素修正幅度!C3:G3=E2)*(因素修正幅度!C127:G189))</f>
        <v>0</v>
      </c>
      <c r="O6" s="1116"/>
      <c r="P6" s="1116"/>
      <c r="Q6" s="1116"/>
      <c r="R6" s="3510">
        <v>5</v>
      </c>
      <c r="S6" s="3538">
        <f>ROUND(SUMPRODUCT((B106:B110=R6)*(C105:N105=G2)*(C106:N110)),4)</f>
        <v>0.84799999999999998</v>
      </c>
      <c r="T6" s="3538">
        <f t="shared" si="0"/>
        <v>18578</v>
      </c>
      <c r="U6" s="3511"/>
      <c r="V6" s="3538">
        <f t="shared" si="1"/>
        <v>0</v>
      </c>
      <c r="W6" s="3514"/>
      <c r="X6" s="3514"/>
      <c r="Y6" s="3514"/>
      <c r="Z6" s="3514"/>
      <c r="AA6" s="3514"/>
      <c r="AB6" s="3514"/>
      <c r="AC6" s="3523"/>
      <c r="AD6" s="3524"/>
      <c r="AE6" s="3524"/>
      <c r="AF6" s="3524"/>
      <c r="AG6" s="3524"/>
      <c r="AH6" s="3524"/>
      <c r="AI6" s="3524"/>
      <c r="AJ6" s="3525"/>
    </row>
    <row r="7" spans="1:36" ht="24.6" thickBot="1">
      <c r="A7" s="3301" t="s">
        <v>3238</v>
      </c>
      <c r="B7" s="3484" t="s">
        <v>1950</v>
      </c>
      <c r="C7" s="752">
        <f>IF(C8="不临65条商业街",1,ROUND(1+(1.6*E8+1.2*E9+0.8*E10+0.4*E11)*C9,4))</f>
        <v>1</v>
      </c>
      <c r="D7" s="2019" t="s">
        <v>1951</v>
      </c>
      <c r="E7" s="773"/>
      <c r="F7" s="2020"/>
      <c r="G7" s="2021"/>
      <c r="H7" s="2021"/>
      <c r="I7" s="2021"/>
      <c r="J7" s="2022"/>
      <c r="K7" s="1381"/>
      <c r="L7" s="2000" t="s">
        <v>1952</v>
      </c>
      <c r="M7" s="861">
        <f>SUMPRODUCT((区片价!B190:B233=I2)*(区片价!C3:G3=E2)*(区片价!C190:G233))</f>
        <v>0</v>
      </c>
      <c r="N7" s="863">
        <f>SUMPRODUCT((因素修正幅度!B190:B233=I2)*(因素修正幅度!C3:G3=E2)*(因素修正幅度!C190:G233))</f>
        <v>0</v>
      </c>
      <c r="O7" s="1116"/>
      <c r="P7" s="1116"/>
      <c r="Q7" s="1116"/>
      <c r="R7" s="3510">
        <v>6</v>
      </c>
      <c r="S7" s="3549"/>
      <c r="T7" s="3538">
        <f t="shared" si="0"/>
        <v>0</v>
      </c>
      <c r="U7" s="3511"/>
      <c r="V7" s="3538">
        <f t="shared" si="1"/>
        <v>0</v>
      </c>
      <c r="W7" s="3519" t="s">
        <v>1953</v>
      </c>
      <c r="X7" s="3512" t="str">
        <f>G2</f>
        <v>三级</v>
      </c>
      <c r="Y7" s="3512" t="s">
        <v>1954</v>
      </c>
      <c r="Z7" s="3513">
        <f>G3</f>
        <v>6.39</v>
      </c>
      <c r="AA7" s="3514"/>
      <c r="AB7" s="3514"/>
      <c r="AC7" s="3515"/>
      <c r="AD7" s="3516"/>
      <c r="AE7" s="3516"/>
      <c r="AF7" s="3516"/>
      <c r="AG7" s="3516"/>
      <c r="AH7" s="3516"/>
      <c r="AI7" s="3516"/>
      <c r="AJ7" s="3517"/>
    </row>
    <row r="8" spans="1:36" ht="26.4">
      <c r="A8" s="3296"/>
      <c r="B8" s="170" t="s">
        <v>1955</v>
      </c>
      <c r="C8" s="2023" t="s">
        <v>3467</v>
      </c>
      <c r="D8" s="753" t="s">
        <v>112</v>
      </c>
      <c r="E8" s="754" t="e">
        <f>ROUND(C11/E7,4)</f>
        <v>#DIV/0!</v>
      </c>
      <c r="F8" s="2024" t="s">
        <v>1956</v>
      </c>
      <c r="G8" s="2025"/>
      <c r="H8" s="2025"/>
      <c r="I8" s="2025"/>
      <c r="J8" s="2026"/>
      <c r="K8" s="1116"/>
      <c r="L8" s="2000" t="s">
        <v>1957</v>
      </c>
      <c r="M8" s="861">
        <f>SUMPRODUCT((区片价!B234:B276=I2)*(区片价!C3:G3=E2)*(区片价!C234:G276))</f>
        <v>0</v>
      </c>
      <c r="N8" s="863">
        <f>SUMPRODUCT((因素修正幅度!B234:B276=I2)*(因素修正幅度!C3:G3=E2)*(因素修正幅度!C234:G276))</f>
        <v>0</v>
      </c>
      <c r="O8" s="1116"/>
      <c r="P8" s="1116"/>
      <c r="Q8" s="1116"/>
      <c r="R8" s="3510">
        <v>7</v>
      </c>
      <c r="S8" s="3511"/>
      <c r="T8" s="3538">
        <f t="shared" si="0"/>
        <v>0</v>
      </c>
      <c r="U8" s="3511"/>
      <c r="V8" s="3538">
        <f t="shared" si="1"/>
        <v>0</v>
      </c>
      <c r="W8" s="3856" t="s">
        <v>1958</v>
      </c>
      <c r="X8" s="3857"/>
      <c r="Y8" s="3518" t="s">
        <v>1959</v>
      </c>
      <c r="Z8" s="3518" t="s">
        <v>1960</v>
      </c>
      <c r="AA8" s="3518" t="s">
        <v>1961</v>
      </c>
      <c r="AB8" s="3518" t="s">
        <v>1962</v>
      </c>
      <c r="AC8" s="3518" t="s">
        <v>1963</v>
      </c>
      <c r="AD8" s="3518" t="s">
        <v>1964</v>
      </c>
      <c r="AE8" s="3518" t="s">
        <v>1965</v>
      </c>
      <c r="AF8" s="3518" t="s">
        <v>1966</v>
      </c>
      <c r="AG8" s="3518" t="s">
        <v>1967</v>
      </c>
      <c r="AH8" s="3518" t="s">
        <v>1968</v>
      </c>
      <c r="AI8" s="3518" t="s">
        <v>1969</v>
      </c>
      <c r="AJ8" s="3518" t="s">
        <v>1970</v>
      </c>
    </row>
    <row r="9" spans="1:36" ht="15">
      <c r="A9" s="3296"/>
      <c r="B9" s="170" t="s">
        <v>1971</v>
      </c>
      <c r="C9" s="755">
        <f>SUMIF(修正!C71:C138,C8,修正!E71:E138)</f>
        <v>0</v>
      </c>
      <c r="D9" s="171" t="s">
        <v>113</v>
      </c>
      <c r="E9" s="171" t="e">
        <f>ROUND(C11/E7,4)</f>
        <v>#DIV/0!</v>
      </c>
      <c r="F9" s="2024" t="s">
        <v>1972</v>
      </c>
      <c r="G9" s="2025"/>
      <c r="H9" s="2025"/>
      <c r="I9" s="2025"/>
      <c r="J9" s="2026"/>
      <c r="K9" s="1116"/>
      <c r="L9" s="2000" t="s">
        <v>1973</v>
      </c>
      <c r="M9" s="861">
        <f>SUMPRODUCT((区片价!B277:B326=I2)*(区片价!C3:G3=E2)*(区片价!C277:G326))</f>
        <v>0</v>
      </c>
      <c r="N9" s="863">
        <f>SUMPRODUCT((因素修正幅度!B277:B326=I2)*(因素修正幅度!C3:G3=E2)*(因素修正幅度!C277:G326))</f>
        <v>0</v>
      </c>
      <c r="O9" s="1116"/>
      <c r="P9" s="1116"/>
      <c r="Q9" s="1116"/>
      <c r="R9" s="3510">
        <v>8</v>
      </c>
      <c r="S9" s="3511"/>
      <c r="T9" s="3538">
        <f t="shared" si="0"/>
        <v>0</v>
      </c>
      <c r="U9" s="3511"/>
      <c r="V9" s="3538">
        <f t="shared" si="1"/>
        <v>0</v>
      </c>
      <c r="W9" s="3858"/>
      <c r="X9" s="3539" t="s">
        <v>3269</v>
      </c>
      <c r="Y9" s="3540">
        <v>6</v>
      </c>
      <c r="Z9" s="3541">
        <f>$Y$9</f>
        <v>6</v>
      </c>
      <c r="AA9" s="3541">
        <f t="shared" ref="AA9:AJ9" si="2">$Y$9</f>
        <v>6</v>
      </c>
      <c r="AB9" s="3541">
        <f t="shared" si="2"/>
        <v>6</v>
      </c>
      <c r="AC9" s="3541">
        <f t="shared" si="2"/>
        <v>6</v>
      </c>
      <c r="AD9" s="3541">
        <f t="shared" si="2"/>
        <v>6</v>
      </c>
      <c r="AE9" s="3541">
        <f t="shared" si="2"/>
        <v>6</v>
      </c>
      <c r="AF9" s="3541">
        <f t="shared" si="2"/>
        <v>6</v>
      </c>
      <c r="AG9" s="3541">
        <f t="shared" si="2"/>
        <v>6</v>
      </c>
      <c r="AH9" s="3541">
        <f t="shared" si="2"/>
        <v>6</v>
      </c>
      <c r="AI9" s="3541">
        <f t="shared" si="2"/>
        <v>6</v>
      </c>
      <c r="AJ9" s="3541">
        <f t="shared" si="2"/>
        <v>6</v>
      </c>
    </row>
    <row r="10" spans="1:36" ht="15">
      <c r="A10" s="3296"/>
      <c r="B10" s="170" t="s">
        <v>1974</v>
      </c>
      <c r="C10" s="171">
        <f>SUMIF(修正!C71:C138,C8,修正!F71:F138)</f>
        <v>0</v>
      </c>
      <c r="D10" s="171" t="s">
        <v>114</v>
      </c>
      <c r="E10" s="171" t="e">
        <f>ROUND(C11/E7,4)</f>
        <v>#DIV/0!</v>
      </c>
      <c r="F10" s="2024" t="s">
        <v>1975</v>
      </c>
      <c r="G10" s="2025"/>
      <c r="H10" s="2025"/>
      <c r="I10" s="2025"/>
      <c r="J10" s="2026"/>
      <c r="K10" s="1116"/>
      <c r="L10" s="2000" t="s">
        <v>1976</v>
      </c>
      <c r="M10" s="861">
        <f>SUMPRODUCT((区片价!B327:B357=I2)*(区片价!C3:G3=E2)*(区片价!C327:G357))</f>
        <v>0</v>
      </c>
      <c r="N10" s="863">
        <f>SUMPRODUCT((因素修正幅度!B327:B357=I2)*(因素修正幅度!C3:G3=E2)*(因素修正幅度!C327:G357))</f>
        <v>0</v>
      </c>
      <c r="O10" s="1116"/>
      <c r="P10" s="1116"/>
      <c r="Q10" s="1116"/>
      <c r="R10" s="3510">
        <v>9</v>
      </c>
      <c r="S10" s="3511"/>
      <c r="T10" s="3538">
        <f t="shared" si="0"/>
        <v>0</v>
      </c>
      <c r="U10" s="3511"/>
      <c r="V10" s="3538">
        <f t="shared" si="1"/>
        <v>0</v>
      </c>
      <c r="W10" s="3858"/>
      <c r="X10" s="3539">
        <v>6</v>
      </c>
      <c r="Y10" s="3542">
        <f>ROUND((-0.5556*(Y9^2)-0.2719*Y9+8944)*(10^(-4)),4)</f>
        <v>0.89219999999999999</v>
      </c>
      <c r="Z10" s="3542">
        <f>ROUND((-0.5556*(Z9^2)-0.2719*Z9+8944)*(10^(-4)),4)</f>
        <v>0.89219999999999999</v>
      </c>
      <c r="AA10" s="3542">
        <f>ROUND((-0.7912*(AA9^2)-11.3794*AA9+8482)*(10^(-4)),4)</f>
        <v>0.83850000000000002</v>
      </c>
      <c r="AB10" s="3542">
        <f>ROUND((-0.7912*(AB9^2)-11.3794*AB9+8482)*(10^(-4)),4)</f>
        <v>0.83850000000000002</v>
      </c>
      <c r="AC10" s="3542">
        <f>ROUND((-0.7912*(AC9^2)-11.3794*AC9+8482)*(10^(-4)),4)</f>
        <v>0.83850000000000002</v>
      </c>
      <c r="AD10" s="3542">
        <f>ROUND((-0.7912*(AD9^2)-11.3794*AD9+8482)*(10^(-4)),4)</f>
        <v>0.83850000000000002</v>
      </c>
      <c r="AE10" s="3542">
        <f>ROUND((-0.7912*(AE9^2)-11.3794*AE9+8482)*(10^(-4)),4)</f>
        <v>0.83850000000000002</v>
      </c>
      <c r="AF10" s="3542">
        <f>ROUND((-0.989*(AF9^2)-63.78*AF9+7771)*(10^(-4)),4)</f>
        <v>0.73529999999999995</v>
      </c>
      <c r="AG10" s="3542">
        <f>ROUND((-0.989*(AG9^2)-63.78*AG9+7771)*(10^(-4)),4)</f>
        <v>0.73529999999999995</v>
      </c>
      <c r="AH10" s="3542">
        <f>ROUND((-0.989*(AH9^2)-63.78*AH9+7771)*(10^(-4)),4)</f>
        <v>0.73529999999999995</v>
      </c>
      <c r="AI10" s="3542">
        <f>ROUND((-0.989*(AI9^2)-63.78*AI9+7771)*(10^(-4)),4)</f>
        <v>0.73529999999999995</v>
      </c>
      <c r="AJ10" s="3542">
        <f>ROUND((-0.989*(AJ9^2)-63.78*AJ9+7771)*(10^(-4)),4)</f>
        <v>0.73529999999999995</v>
      </c>
    </row>
    <row r="11" spans="1:36" ht="15.6" thickBot="1">
      <c r="A11" s="3300"/>
      <c r="B11" s="2027" t="s">
        <v>1977</v>
      </c>
      <c r="C11" s="756">
        <f>C10/4</f>
        <v>0</v>
      </c>
      <c r="D11" s="756" t="s">
        <v>115</v>
      </c>
      <c r="E11" s="756" t="e">
        <f>ROUND(C11/E7,4)</f>
        <v>#DIV/0!</v>
      </c>
      <c r="F11" s="2028" t="s">
        <v>1978</v>
      </c>
      <c r="G11" s="2029"/>
      <c r="H11" s="2029"/>
      <c r="I11" s="2029"/>
      <c r="J11" s="2030"/>
      <c r="K11" s="1116"/>
      <c r="L11" s="2000" t="s">
        <v>1979</v>
      </c>
      <c r="M11" s="861">
        <f>SUMPRODUCT((区片价!B358:B377=I2)*(区片价!C3:G3=E2)*(区片价!C358:G377))</f>
        <v>0</v>
      </c>
      <c r="N11" s="863">
        <f>SUMPRODUCT((因素修正幅度!B358:B377=I2)*(因素修正幅度!C3:G3=E2)*(因素修正幅度!C358:G377))</f>
        <v>0</v>
      </c>
      <c r="O11" s="1116"/>
      <c r="P11" s="1116"/>
      <c r="Q11" s="1116"/>
      <c r="R11" s="3510">
        <v>10</v>
      </c>
      <c r="S11" s="3511"/>
      <c r="T11" s="3538">
        <f t="shared" si="0"/>
        <v>0</v>
      </c>
      <c r="U11" s="3511"/>
      <c r="V11" s="3538">
        <f t="shared" si="1"/>
        <v>0</v>
      </c>
      <c r="W11" s="3514"/>
      <c r="X11" s="3514"/>
      <c r="Y11" s="3514"/>
      <c r="Z11" s="3514"/>
      <c r="AA11" s="3514"/>
      <c r="AB11" s="3514"/>
      <c r="AC11" s="3515"/>
      <c r="AD11" s="3535"/>
      <c r="AE11" s="3535"/>
      <c r="AF11" s="3535"/>
      <c r="AG11" s="3535"/>
      <c r="AH11" s="3535"/>
      <c r="AI11" s="3535"/>
      <c r="AJ11" s="3536"/>
    </row>
    <row r="12" spans="1:36" ht="25.8" thickBot="1">
      <c r="A12" s="3301" t="s">
        <v>3239</v>
      </c>
      <c r="B12" s="3302" t="s">
        <v>3240</v>
      </c>
      <c r="C12" s="3303"/>
      <c r="D12" s="3304" t="s">
        <v>3241</v>
      </c>
      <c r="E12" s="3305" t="s">
        <v>3242</v>
      </c>
      <c r="F12" s="3306"/>
      <c r="G12" s="3307"/>
      <c r="H12" s="3307"/>
      <c r="I12" s="3307"/>
      <c r="J12" s="3308"/>
      <c r="K12" s="1116"/>
      <c r="L12" s="2036" t="s">
        <v>1982</v>
      </c>
      <c r="M12" s="862">
        <f>SUMPRODUCT((区片价!B378:B384=I2)*(区片价!C3:G3=E2)*(区片价!C378:G384))</f>
        <v>0</v>
      </c>
      <c r="N12" s="863">
        <f>SUMPRODUCT((因素修正幅度!B378:B384=I2)*(因素修正幅度!C3:G3=E2)*(因素修正幅度!C378:G384))</f>
        <v>0</v>
      </c>
      <c r="O12" s="1116"/>
      <c r="P12" s="1116"/>
      <c r="Q12" s="1116"/>
      <c r="R12" s="3510">
        <v>11</v>
      </c>
      <c r="S12" s="3511"/>
      <c r="T12" s="3538">
        <f t="shared" si="0"/>
        <v>0</v>
      </c>
      <c r="U12" s="3511"/>
      <c r="V12" s="3538">
        <f t="shared" si="1"/>
        <v>0</v>
      </c>
      <c r="W12" s="3514"/>
      <c r="X12" s="3514"/>
      <c r="Y12" s="3514"/>
      <c r="Z12" s="3514"/>
      <c r="AA12" s="3514"/>
      <c r="AB12" s="3514"/>
      <c r="AC12" s="3515"/>
      <c r="AD12" s="3535"/>
      <c r="AE12" s="3535"/>
      <c r="AF12" s="3535"/>
      <c r="AG12" s="3535"/>
      <c r="AH12" s="3535"/>
      <c r="AI12" s="3535"/>
      <c r="AJ12" s="3536"/>
    </row>
    <row r="13" spans="1:36" ht="24.6" thickBot="1">
      <c r="A13" s="3301" t="s">
        <v>3243</v>
      </c>
      <c r="B13" s="2031" t="s">
        <v>1980</v>
      </c>
      <c r="C13" s="752">
        <f>ROUND(C16*D16*E16*F16*G16*H16*I16*J16,4)</f>
        <v>0</v>
      </c>
      <c r="D13" s="2032" t="s">
        <v>1981</v>
      </c>
      <c r="E13" s="2033"/>
      <c r="F13" s="2033"/>
      <c r="G13" s="2034"/>
      <c r="H13" s="2034"/>
      <c r="I13" s="2034"/>
      <c r="J13" s="2035"/>
      <c r="K13" s="1116"/>
      <c r="L13" s="3297"/>
      <c r="M13" s="3298"/>
      <c r="N13" s="3299"/>
      <c r="O13" s="1116"/>
      <c r="P13" s="1116"/>
      <c r="Q13" s="1116"/>
      <c r="R13" s="3510">
        <v>12</v>
      </c>
      <c r="S13" s="3511"/>
      <c r="T13" s="3538">
        <f t="shared" si="0"/>
        <v>0</v>
      </c>
      <c r="U13" s="3511"/>
      <c r="V13" s="3538">
        <f t="shared" si="1"/>
        <v>0</v>
      </c>
      <c r="W13" s="3514"/>
      <c r="X13" s="3514"/>
      <c r="Y13" s="3514"/>
      <c r="Z13" s="3514"/>
      <c r="AA13" s="3514"/>
      <c r="AB13" s="3514"/>
      <c r="AC13" s="3515"/>
      <c r="AD13" s="3535"/>
      <c r="AE13" s="3535"/>
      <c r="AF13" s="3535"/>
      <c r="AG13" s="3535"/>
      <c r="AH13" s="3535"/>
      <c r="AI13" s="3535"/>
      <c r="AJ13" s="3536"/>
    </row>
    <row r="14" spans="1:36" ht="24">
      <c r="A14" s="3295"/>
      <c r="B14" s="3482" t="s">
        <v>1983</v>
      </c>
      <c r="C14" s="2038" t="s">
        <v>1984</v>
      </c>
      <c r="D14" s="1347" t="s">
        <v>1985</v>
      </c>
      <c r="E14" s="27" t="s">
        <v>1986</v>
      </c>
      <c r="F14" s="3309" t="s">
        <v>3244</v>
      </c>
      <c r="G14" s="3309" t="s">
        <v>3244</v>
      </c>
      <c r="H14" s="3309" t="s">
        <v>3244</v>
      </c>
      <c r="I14" s="3309" t="s">
        <v>3244</v>
      </c>
      <c r="J14" s="3309" t="s">
        <v>3244</v>
      </c>
      <c r="K14" s="1116"/>
      <c r="L14" s="1116"/>
      <c r="M14" s="1116"/>
      <c r="N14" s="1116"/>
      <c r="O14" s="1116"/>
      <c r="P14" s="1116"/>
      <c r="Q14" s="1116"/>
      <c r="R14" s="3510">
        <v>13</v>
      </c>
      <c r="S14" s="3511"/>
      <c r="T14" s="3538">
        <f t="shared" si="0"/>
        <v>0</v>
      </c>
      <c r="U14" s="3511"/>
      <c r="V14" s="3538">
        <f t="shared" si="1"/>
        <v>0</v>
      </c>
      <c r="W14" s="3514"/>
      <c r="X14" s="3514"/>
      <c r="Y14" s="3514"/>
      <c r="Z14" s="3514"/>
      <c r="AA14" s="3514"/>
      <c r="AB14" s="3514"/>
      <c r="AC14" s="3515"/>
      <c r="AD14" s="3535"/>
      <c r="AE14" s="3535"/>
      <c r="AF14" s="3535"/>
      <c r="AG14" s="3535"/>
      <c r="AH14" s="3535"/>
      <c r="AI14" s="3535"/>
      <c r="AJ14" s="3536"/>
    </row>
    <row r="15" spans="1:36" ht="15">
      <c r="A15" s="3295"/>
      <c r="B15" s="3483"/>
      <c r="C15" s="2040"/>
      <c r="D15" s="2041"/>
      <c r="E15" s="2042"/>
      <c r="F15" s="3310" t="s">
        <v>3245</v>
      </c>
      <c r="G15" s="3311"/>
      <c r="H15" s="3312"/>
      <c r="I15" s="3313"/>
      <c r="J15" s="3314"/>
      <c r="K15" s="1116"/>
      <c r="L15" s="1116"/>
      <c r="M15" s="1116"/>
      <c r="N15" s="1116"/>
      <c r="O15" s="1116"/>
      <c r="P15" s="1116"/>
      <c r="Q15" s="1116"/>
      <c r="R15" s="3510">
        <v>14</v>
      </c>
      <c r="S15" s="3511"/>
      <c r="T15" s="3538">
        <f t="shared" si="0"/>
        <v>0</v>
      </c>
      <c r="U15" s="3511"/>
      <c r="V15" s="3538">
        <f t="shared" si="1"/>
        <v>0</v>
      </c>
      <c r="W15" s="3514"/>
      <c r="X15" s="3514"/>
      <c r="Y15" s="3514"/>
      <c r="Z15" s="3514"/>
      <c r="AA15" s="3514"/>
      <c r="AB15" s="3514"/>
      <c r="AC15" s="3515"/>
      <c r="AD15" s="3535"/>
      <c r="AE15" s="3535"/>
      <c r="AF15" s="3535"/>
      <c r="AG15" s="3535"/>
      <c r="AH15" s="3535"/>
      <c r="AI15" s="3535"/>
      <c r="AJ15" s="3536"/>
    </row>
    <row r="16" spans="1:36" ht="15.6" thickBot="1">
      <c r="A16" s="3295"/>
      <c r="B16" s="3317" t="s">
        <v>1987</v>
      </c>
      <c r="C16" s="3315"/>
      <c r="D16" s="3315"/>
      <c r="E16" s="3315"/>
      <c r="F16" s="3315">
        <v>1</v>
      </c>
      <c r="G16" s="3315">
        <v>1</v>
      </c>
      <c r="H16" s="3315">
        <v>1</v>
      </c>
      <c r="I16" s="3315">
        <v>1</v>
      </c>
      <c r="J16" s="3316">
        <v>1</v>
      </c>
      <c r="K16" s="1116"/>
      <c r="L16" s="1994"/>
      <c r="M16" s="1994"/>
      <c r="N16" s="1994"/>
      <c r="O16" s="1994"/>
      <c r="P16" s="1994"/>
      <c r="Q16" s="1116"/>
      <c r="R16" s="3510">
        <v>15</v>
      </c>
      <c r="S16" s="3511"/>
      <c r="T16" s="3538">
        <f t="shared" si="0"/>
        <v>0</v>
      </c>
      <c r="U16" s="3511"/>
      <c r="V16" s="3538">
        <f t="shared" si="1"/>
        <v>0</v>
      </c>
      <c r="W16" s="3514"/>
      <c r="X16" s="3514"/>
      <c r="Y16" s="3514"/>
      <c r="Z16" s="3514"/>
      <c r="AA16" s="3514"/>
      <c r="AB16" s="3514"/>
      <c r="AC16" s="3515"/>
      <c r="AD16" s="3535"/>
      <c r="AE16" s="3535"/>
      <c r="AF16" s="3535"/>
      <c r="AG16" s="3535"/>
      <c r="AH16" s="3535"/>
      <c r="AI16" s="3535"/>
      <c r="AJ16" s="3536"/>
    </row>
    <row r="17" spans="1:37" ht="24">
      <c r="A17" s="3327" t="s">
        <v>3246</v>
      </c>
      <c r="B17" s="3318" t="s">
        <v>3247</v>
      </c>
      <c r="C17" s="3328">
        <f>ROUND(IF(OR(E2="工业",E2="公共服务"),1,IF(AND(E18=0,E19=0),1,IF(AND(E18=J24,E19=G19),0.8,IF(E19=0,1+E17*(-0.2),1+E17*G17*(-0.2))))),4)</f>
        <v>1</v>
      </c>
      <c r="D17" s="3319" t="s">
        <v>3248</v>
      </c>
      <c r="E17" s="3328">
        <f>ROUND(G18/I18,2)</f>
        <v>0</v>
      </c>
      <c r="F17" s="3319" t="s">
        <v>3251</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3.8">
      <c r="A18" s="3330"/>
      <c r="B18" s="3481"/>
      <c r="C18" s="3325"/>
      <c r="D18" s="3320" t="s">
        <v>3249</v>
      </c>
      <c r="E18" s="3326"/>
      <c r="F18" s="3321" t="s">
        <v>3252</v>
      </c>
      <c r="G18" s="3325">
        <f>ROUND(1-(1/(POWER(1+G24,E18))),4)</f>
        <v>0</v>
      </c>
      <c r="H18" s="3321" t="s">
        <v>3254</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4.4" thickBot="1">
      <c r="A19" s="3332"/>
      <c r="B19" s="3333"/>
      <c r="C19" s="3334"/>
      <c r="D19" s="3334" t="s">
        <v>3250</v>
      </c>
      <c r="E19" s="3335"/>
      <c r="F19" s="3336" t="s">
        <v>3253</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3.8">
      <c r="A20" s="3863" t="s">
        <v>3255</v>
      </c>
      <c r="B20" s="167" t="s">
        <v>1992</v>
      </c>
      <c r="C20" s="3322">
        <f>ROUND(IF(F21="与级别开发程度一致",0,(G21-E21)/C21),0)</f>
        <v>-20</v>
      </c>
      <c r="D20" s="3338" t="s">
        <v>1996</v>
      </c>
      <c r="E20" s="3339"/>
      <c r="F20" s="3869" t="s">
        <v>1993</v>
      </c>
      <c r="G20" s="3870"/>
      <c r="H20" s="3323" t="s">
        <v>3469</v>
      </c>
      <c r="I20" s="3323" t="s">
        <v>3470</v>
      </c>
      <c r="J20" s="3324" t="s">
        <v>3471</v>
      </c>
      <c r="K20" s="2044" t="s">
        <v>3472</v>
      </c>
      <c r="L20" s="2044" t="s">
        <v>3473</v>
      </c>
      <c r="M20" s="2044" t="s">
        <v>3474</v>
      </c>
      <c r="N20" s="2044" t="s">
        <v>3475</v>
      </c>
      <c r="O20" s="2045"/>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7" thickBot="1">
      <c r="A21" s="3864"/>
      <c r="B21" s="2161" t="s">
        <v>1995</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3468</v>
      </c>
      <c r="G21" s="2154">
        <f>SUM(H21:O21)</f>
        <v>265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40</v>
      </c>
      <c r="N21" s="2162">
        <f>SUMPRODUCT((七通一平=N20)*(修正!B1:M1=G2)*(修正!B8:M16))</f>
        <v>15</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 thickBot="1">
      <c r="A22" s="2155" t="s">
        <v>362</v>
      </c>
      <c r="B22" s="2156" t="s">
        <v>1998</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7" thickBot="1">
      <c r="A23" s="2047" t="s">
        <v>363</v>
      </c>
      <c r="B23" s="2048" t="s">
        <v>1999</v>
      </c>
      <c r="C23" s="75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2000</v>
      </c>
      <c r="E23" s="758">
        <v>44197</v>
      </c>
      <c r="F23" s="2051" t="s">
        <v>2001</v>
      </c>
      <c r="G23" s="759">
        <f>'数据-取费表'!B2</f>
        <v>45295</v>
      </c>
      <c r="H23" s="3537" t="s">
        <v>3257</v>
      </c>
      <c r="I23" s="3341" t="str">
        <f>IF(H23="季度增幅（自定义）",SUMIF(N25:N28,E2,O25:O28),"")</f>
        <v/>
      </c>
      <c r="J23" s="3443" t="s">
        <v>3256</v>
      </c>
      <c r="K23" s="1122"/>
      <c r="L23" s="2052" t="s">
        <v>2002</v>
      </c>
      <c r="M23" s="1325">
        <f>ROUND(SUMIF(地价!B2:G2,E2,地价!B16:G16),0)</f>
        <v>350</v>
      </c>
      <c r="N23" s="2053" t="s">
        <v>2003</v>
      </c>
      <c r="O23" s="760">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6" thickBot="1">
      <c r="A24" s="2055" t="s">
        <v>364</v>
      </c>
      <c r="B24" s="2056" t="s">
        <v>2004</v>
      </c>
      <c r="C24" s="761">
        <f>ROUND(POWER(1+G24,J24-I24)*(POWER(1+G24,I24)-1)/(POWER(1+G24,J24)-1),4)</f>
        <v>0.74060000000000004</v>
      </c>
      <c r="D24" s="2057" t="s">
        <v>2005</v>
      </c>
      <c r="E24" s="1332">
        <f>存贷款利率!E24/100</f>
        <v>4.3499999999999997E-2</v>
      </c>
      <c r="F24" s="2057" t="s">
        <v>1997</v>
      </c>
      <c r="G24" s="765">
        <f>SUMIF(M30:Q30,E2,M33:Q33)</f>
        <v>5.5E-2</v>
      </c>
      <c r="H24" s="2057" t="s">
        <v>2006</v>
      </c>
      <c r="I24" s="766">
        <f>SUMIF('数据-取费表'!C6:C15,E2,'数据-取费表'!F6:F15)/COUNTIF('数据-取费表'!C6:C15,E2)</f>
        <v>19.8</v>
      </c>
      <c r="J24" s="767">
        <f>IF(E2="住宅",70,IF(E2="商业",40,50))</f>
        <v>40</v>
      </c>
      <c r="K24" s="1122"/>
      <c r="L24" s="2058" t="s">
        <v>2007</v>
      </c>
      <c r="M24" s="1326">
        <f>ROUND(SUMPRODUCT((地价!A4:A16=YEAR(G23)&amp;"-"&amp;ROUNDUP(MONTH(G23)/3,0))*(地价!B2:G2=E2)*(地价!B4:G16)),0)</f>
        <v>0</v>
      </c>
      <c r="N24" s="3526" t="s">
        <v>2008</v>
      </c>
      <c r="O24" s="3527" t="s">
        <v>2009</v>
      </c>
      <c r="P24" s="3528" t="s">
        <v>2010</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4.4">
      <c r="A25" s="2062" t="s">
        <v>365</v>
      </c>
      <c r="B25" s="2063" t="s">
        <v>3483</v>
      </c>
      <c r="C25" s="3490">
        <f>IF(B25="容积率修正",IF(G3&lt;10,D26,J26),C27)</f>
        <v>1.0004999999999999</v>
      </c>
      <c r="D25" s="2064"/>
      <c r="E25" s="2064"/>
      <c r="F25" s="2064"/>
      <c r="G25" s="2064"/>
      <c r="H25" s="2064"/>
      <c r="I25" s="2064"/>
      <c r="J25" s="2065"/>
      <c r="K25" s="1122"/>
      <c r="L25" s="2785"/>
      <c r="M25" s="2785"/>
      <c r="N25" s="3529" t="s">
        <v>2011</v>
      </c>
      <c r="O25" s="3506"/>
      <c r="P25" s="3507">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4">
      <c r="A26" s="1952" t="s">
        <v>2012</v>
      </c>
      <c r="B26" s="2067" t="s">
        <v>2013</v>
      </c>
      <c r="C26" s="3342" t="s">
        <v>3258</v>
      </c>
      <c r="D26" s="3489">
        <f>IF(E26=G26,F26,IF(G3&lt;10,ROUND(F26+(H26-F26)*(G3-E26)/(G26-E26),4),"——"))</f>
        <v>0.87580000000000002</v>
      </c>
      <c r="E26" s="749">
        <f>ROUNDDOWN(G3,1)</f>
        <v>6.3</v>
      </c>
      <c r="F26" s="34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0.87780000000000002</v>
      </c>
      <c r="G26" s="749">
        <f>ROUNDUP(G3,1)</f>
        <v>6.3999999999999995</v>
      </c>
      <c r="H26" s="34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0.87560000000000004</v>
      </c>
      <c r="I26" s="3342" t="s">
        <v>3259</v>
      </c>
      <c r="J26" s="769" t="str">
        <f>IF(G3&gt;=10,D115,"——")</f>
        <v>——</v>
      </c>
      <c r="K26" s="1122"/>
      <c r="L26" s="2785"/>
      <c r="M26" s="2785"/>
      <c r="N26" s="3529" t="s">
        <v>2014</v>
      </c>
      <c r="O26" s="3506"/>
      <c r="P26" s="3507">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 thickBot="1">
      <c r="A27" s="1952" t="s">
        <v>2015</v>
      </c>
      <c r="B27" s="2068" t="s">
        <v>2016</v>
      </c>
      <c r="C27" s="838">
        <f>ROUND(IF(I3&lt;6,SUMPRODUCT((B106:B110=I3)*(C105:N105=G2)*(C106:N110)),SUMIF(C105:N105,G2,C112:N112)),4)</f>
        <v>1.0004999999999999</v>
      </c>
      <c r="D27" s="2043"/>
      <c r="E27" s="2043"/>
      <c r="F27" s="2069"/>
      <c r="G27" s="2070"/>
      <c r="H27" s="2071"/>
      <c r="I27" s="2072"/>
      <c r="J27" s="2073"/>
      <c r="K27" s="1116"/>
      <c r="L27" s="1994"/>
      <c r="M27" s="1994"/>
      <c r="N27" s="3529" t="s">
        <v>2017</v>
      </c>
      <c r="O27" s="3506"/>
      <c r="P27" s="3507">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 thickBot="1">
      <c r="A28" s="2055" t="s">
        <v>366</v>
      </c>
      <c r="B28" s="2048" t="s">
        <v>2018</v>
      </c>
      <c r="C28" s="757">
        <f>SUMIF(A47:A101,E2,B47:B101)</f>
        <v>1.0414000000000001</v>
      </c>
      <c r="D28" s="2049"/>
      <c r="E28" s="2074"/>
      <c r="F28" s="2074"/>
      <c r="G28" s="2074"/>
      <c r="H28" s="2074"/>
      <c r="I28" s="2074"/>
      <c r="J28" s="2075"/>
      <c r="K28" s="1122"/>
      <c r="L28" s="2785"/>
      <c r="M28" s="2785"/>
      <c r="N28" s="3530" t="s">
        <v>2019</v>
      </c>
      <c r="O28" s="3508"/>
      <c r="P28" s="3509">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 thickBot="1">
      <c r="A29" s="2055" t="s">
        <v>367</v>
      </c>
      <c r="B29" s="2077" t="s">
        <v>2020</v>
      </c>
      <c r="C29" s="762"/>
      <c r="D29" s="2021"/>
      <c r="E29" s="2021"/>
      <c r="F29" s="2078"/>
      <c r="G29" s="2021"/>
      <c r="H29" s="2021"/>
      <c r="I29" s="2021"/>
      <c r="J29" s="2022"/>
      <c r="K29" s="1116"/>
      <c r="L29" s="1994"/>
      <c r="M29" s="1994"/>
      <c r="N29" s="3532" t="s">
        <v>2021</v>
      </c>
      <c r="O29" s="3533"/>
      <c r="P29" s="353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4.4">
      <c r="A30" s="2079"/>
      <c r="B30" s="2067" t="s">
        <v>2022</v>
      </c>
      <c r="C30" s="2318">
        <f>IF(B25="容积率修正",E33+SUM(E37:E42),SUM(V2:V16)+SUM(E37:E42))</f>
        <v>48065</v>
      </c>
      <c r="D30" s="2080"/>
      <c r="E30" s="2043"/>
      <c r="F30" s="2081"/>
      <c r="G30" s="2043"/>
      <c r="H30" s="2043"/>
      <c r="I30" s="2043"/>
      <c r="J30" s="2082"/>
      <c r="K30" s="1116"/>
      <c r="L30" s="3348" t="s">
        <v>1934</v>
      </c>
      <c r="M30" s="3349" t="s">
        <v>1988</v>
      </c>
      <c r="N30" s="3349" t="s">
        <v>1989</v>
      </c>
      <c r="O30" s="3349" t="s">
        <v>1990</v>
      </c>
      <c r="P30" s="3349" t="s">
        <v>1991</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 thickBot="1">
      <c r="A31" s="2079"/>
      <c r="B31" s="2083" t="s">
        <v>2023</v>
      </c>
      <c r="C31" s="763">
        <f>E34+SUM(I37:I42)</f>
        <v>6386</v>
      </c>
      <c r="D31" s="2084"/>
      <c r="E31" s="2085"/>
      <c r="F31" s="2086"/>
      <c r="G31" s="2085"/>
      <c r="H31" s="2085"/>
      <c r="I31" s="2085"/>
      <c r="J31" s="2087"/>
      <c r="K31" s="1116"/>
      <c r="L31" s="3350" t="s">
        <v>1994</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 thickBot="1">
      <c r="A32" s="2088"/>
      <c r="B32" s="2089" t="s">
        <v>2024</v>
      </c>
      <c r="C32" s="2090" t="s">
        <v>2025</v>
      </c>
      <c r="D32" s="2090" t="s">
        <v>2026</v>
      </c>
      <c r="E32" s="2091" t="s">
        <v>2027</v>
      </c>
      <c r="F32" s="2092"/>
      <c r="G32" s="2034"/>
      <c r="H32" s="2034"/>
      <c r="I32" s="2034"/>
      <c r="J32" s="2035"/>
      <c r="K32" s="1116"/>
      <c r="L32" s="3351" t="s">
        <v>1997</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3.8">
      <c r="A33" s="2093"/>
      <c r="B33" s="2094" t="s">
        <v>2028</v>
      </c>
      <c r="C33" s="175">
        <f>ROUND(C5*C22*C23*C24*C25*C28,0)</f>
        <v>21919</v>
      </c>
      <c r="D33" s="2095"/>
      <c r="E33" s="770">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8" thickBot="1">
      <c r="A34" s="2098"/>
      <c r="B34" s="2099" t="s">
        <v>2029</v>
      </c>
      <c r="C34" s="187" t="e">
        <f>ROUND(IF(E2="工业",C33*M42,IF(B25="楼层修正",SUM(V2:V16)*M41*10000/D34,C33*M41)),0)</f>
        <v>#DIV/0!</v>
      </c>
      <c r="D34" s="2100"/>
      <c r="E34" s="770">
        <f>ROUND(IF(B25="楼层修正",SUM(V2:V16)*M40,C34*D34/10000),0)</f>
        <v>0</v>
      </c>
      <c r="F34" s="2101" t="s">
        <v>2030</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2031</v>
      </c>
      <c r="C35" s="3344" t="s">
        <v>3262</v>
      </c>
      <c r="D35" s="2034"/>
      <c r="E35" s="2106"/>
      <c r="F35" s="2106"/>
      <c r="G35" s="2032" t="s">
        <v>2032</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36.6" thickBot="1">
      <c r="A36" s="2093"/>
      <c r="B36" s="2108"/>
      <c r="C36" s="450" t="s">
        <v>2025</v>
      </c>
      <c r="D36" s="447" t="s">
        <v>2026</v>
      </c>
      <c r="E36" s="447" t="s">
        <v>2027</v>
      </c>
      <c r="F36" s="342" t="s">
        <v>2033</v>
      </c>
      <c r="G36" s="2109" t="s">
        <v>2025</v>
      </c>
      <c r="H36" s="2109" t="s">
        <v>2026</v>
      </c>
      <c r="I36" s="2109" t="s">
        <v>2027</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6" thickBot="1">
      <c r="A37" s="3867"/>
      <c r="B37" s="2110" t="s">
        <v>2034</v>
      </c>
      <c r="C37" s="175">
        <f>ROUND(D5*C22*C23*C24*C28*F37,0)</f>
        <v>13145</v>
      </c>
      <c r="D37" s="2095">
        <f>'数据-取费表'!V22</f>
        <v>13573.12</v>
      </c>
      <c r="E37" s="171">
        <f>ROUND(C37*D37/10000,0)</f>
        <v>17842</v>
      </c>
      <c r="F37" s="171">
        <f>SUMIF(修正!A57:A68,G2,修正!B57:B68)</f>
        <v>0.6</v>
      </c>
      <c r="G37" s="171">
        <f>ROUND(IF(E2="工业",C37*$M$42,C37*$M$41),0)</f>
        <v>3286</v>
      </c>
      <c r="H37" s="171">
        <f>D37</f>
        <v>13573.12</v>
      </c>
      <c r="I37" s="171">
        <f>ROUND(G37*H37/10000,0)</f>
        <v>4460</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868"/>
      <c r="B38" s="2038" t="s">
        <v>2035</v>
      </c>
      <c r="C38" s="175">
        <f>ROUND(D5*C22*C23*C24*C28*F38,0)</f>
        <v>6572</v>
      </c>
      <c r="D38" s="2095">
        <f>'数据-取费表'!V23</f>
        <v>11722.93</v>
      </c>
      <c r="E38" s="171">
        <f t="shared" ref="E38:E42" si="4">ROUND(C38*D38/10000,0)</f>
        <v>7704</v>
      </c>
      <c r="F38" s="171">
        <f>SUMIF(修正!A57:A68,G2,修正!C57:C68)</f>
        <v>0.3</v>
      </c>
      <c r="G38" s="171">
        <f>ROUND(IF(E2="工业",C38*$M$42,C38*$M$41),0)</f>
        <v>1643</v>
      </c>
      <c r="H38" s="171">
        <f t="shared" ref="H38:H42" si="5">D38</f>
        <v>11722.93</v>
      </c>
      <c r="I38" s="171">
        <f t="shared" ref="I38:I42" si="6">ROUND(G38*H38/10000,0)</f>
        <v>1926</v>
      </c>
      <c r="J38" s="3496"/>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8" thickBot="1">
      <c r="A39" s="3868"/>
      <c r="B39" s="2038" t="s">
        <v>3260</v>
      </c>
      <c r="C39" s="175">
        <f>ROUND(D5*C22*C23*C24*C28*F39,0)</f>
        <v>5477</v>
      </c>
      <c r="D39" s="2095"/>
      <c r="E39" s="171">
        <f t="shared" si="4"/>
        <v>0</v>
      </c>
      <c r="F39" s="171">
        <f>SUMIF(修正!A57:A68,G2,修正!D57:D68)</f>
        <v>0.25</v>
      </c>
      <c r="G39" s="171">
        <f>ROUND(IF(E2="工业",C39*$M$42,C39*$M$41),0)</f>
        <v>1369</v>
      </c>
      <c r="H39" s="171">
        <f t="shared" si="5"/>
        <v>0</v>
      </c>
      <c r="I39" s="171">
        <f t="shared" si="6"/>
        <v>0</v>
      </c>
      <c r="J39" s="3496"/>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2036</v>
      </c>
      <c r="C40" s="171">
        <f>ROUND(D5*C22*C23*C24*C28*F40,0)</f>
        <v>5477</v>
      </c>
      <c r="D40" s="2095"/>
      <c r="E40" s="171">
        <f t="shared" si="4"/>
        <v>0</v>
      </c>
      <c r="F40" s="175">
        <f>SUMIF(修正!A57:A68,G2,修正!E57:E68)</f>
        <v>0.25</v>
      </c>
      <c r="G40" s="171">
        <f>ROUND(IF(E2="工业",C40*$M$42,C40*$M$41),0)</f>
        <v>1369</v>
      </c>
      <c r="H40" s="171">
        <f t="shared" si="5"/>
        <v>0</v>
      </c>
      <c r="I40" s="171">
        <f t="shared" si="6"/>
        <v>0</v>
      </c>
      <c r="J40" s="2111"/>
      <c r="L40" s="2113" t="s">
        <v>2037</v>
      </c>
      <c r="M40" s="2114"/>
      <c r="Z40" s="1117"/>
      <c r="AA40" s="1117"/>
      <c r="AB40" s="1117"/>
      <c r="AC40" s="1117"/>
      <c r="AD40" s="1117"/>
      <c r="AE40" s="1117"/>
      <c r="AF40" s="1117"/>
      <c r="AG40" s="1117"/>
      <c r="AH40" s="1117"/>
      <c r="AI40" s="1117"/>
      <c r="AJ40" s="1117"/>
    </row>
    <row r="41" spans="1:37" s="1116" customFormat="1">
      <c r="A41" s="2112"/>
      <c r="B41" s="2038" t="s">
        <v>2038</v>
      </c>
      <c r="C41" s="171">
        <f>ROUND(D5*C22*C23*C44*C28*F41,0)</f>
        <v>6332</v>
      </c>
      <c r="D41" s="2095"/>
      <c r="E41" s="171">
        <f t="shared" si="4"/>
        <v>0</v>
      </c>
      <c r="F41" s="175">
        <f>SUMIF(修正!A57:A68,G2,修正!F57:F68)</f>
        <v>0.25</v>
      </c>
      <c r="G41" s="171">
        <f>ROUND(IF(E2="工业",C41*$M$42,C41*$M$41),0)</f>
        <v>1583</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8" thickBot="1">
      <c r="A42" s="2098"/>
      <c r="B42" s="2116" t="s">
        <v>2039</v>
      </c>
      <c r="C42" s="187">
        <f>ROUND(D5*C22*C23*C44*C28*F42,0)</f>
        <v>3799</v>
      </c>
      <c r="D42" s="2100"/>
      <c r="E42" s="187">
        <f t="shared" si="4"/>
        <v>0</v>
      </c>
      <c r="F42" s="764">
        <f>SUMIF(修正!A57:A68,G2,修正!G57:G68)</f>
        <v>0.15</v>
      </c>
      <c r="G42" s="187">
        <f>ROUND(IF(E2="工业",C42*$M$42,C42*$M$41),0)</f>
        <v>950</v>
      </c>
      <c r="H42" s="187">
        <f t="shared" si="5"/>
        <v>0</v>
      </c>
      <c r="I42" s="187">
        <f t="shared" si="6"/>
        <v>0</v>
      </c>
      <c r="J42" s="2117"/>
      <c r="L42" s="2118" t="s">
        <v>1991</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ht="24">
      <c r="A44" s="1117"/>
      <c r="B44" s="2151" t="s">
        <v>2119</v>
      </c>
      <c r="C44" s="342">
        <f>ROUND(POWER(1+E44,H44-G44)*(POWER(1+E44,G44)-1)/(POWER(1+E44,H44)-1),4)</f>
        <v>0.85619999999999996</v>
      </c>
      <c r="D44" s="171" t="s">
        <v>1997</v>
      </c>
      <c r="E44" s="2150">
        <f>G24</f>
        <v>5.5E-2</v>
      </c>
      <c r="F44" s="171" t="s">
        <v>2006</v>
      </c>
      <c r="G44" s="183">
        <f>项目基本情况!F15</f>
        <v>29.81</v>
      </c>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 thickBot="1">
      <c r="A47" s="2121" t="s">
        <v>2040</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4.4">
      <c r="A48" s="2123" t="s">
        <v>2041</v>
      </c>
      <c r="B48" s="2124">
        <f>1+E50</f>
        <v>1.0414000000000001</v>
      </c>
      <c r="C48" s="2125"/>
      <c r="D48" s="738"/>
      <c r="E48" s="739"/>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5.2">
      <c r="A49" s="2127" t="s">
        <v>2042</v>
      </c>
      <c r="B49" s="1348" t="s">
        <v>2043</v>
      </c>
      <c r="C49" s="1348" t="s">
        <v>2044</v>
      </c>
      <c r="D49" s="1348" t="s">
        <v>2045</v>
      </c>
      <c r="E49" s="740" t="s">
        <v>2046</v>
      </c>
      <c r="F49" s="2128" t="s">
        <v>2047</v>
      </c>
      <c r="G49" s="1348" t="s">
        <v>310</v>
      </c>
      <c r="H49" s="2129" t="s">
        <v>2048</v>
      </c>
      <c r="I49" s="1348" t="s">
        <v>2049</v>
      </c>
      <c r="J49" s="552" t="s">
        <v>1719</v>
      </c>
      <c r="K49" s="552" t="s">
        <v>1720</v>
      </c>
      <c r="L49" s="552" t="s">
        <v>1721</v>
      </c>
      <c r="M49" s="552" t="s">
        <v>1722</v>
      </c>
      <c r="N49" s="552" t="s">
        <v>1723</v>
      </c>
      <c r="AA49" s="1117"/>
      <c r="AB49" s="1117"/>
      <c r="AC49" s="1117"/>
      <c r="AD49" s="1117"/>
      <c r="AE49" s="1117"/>
      <c r="AF49" s="1117"/>
      <c r="AG49" s="1117"/>
      <c r="AH49" s="1117"/>
      <c r="AI49" s="1117"/>
      <c r="AJ49" s="1117"/>
      <c r="AK49" s="1117"/>
    </row>
    <row r="50" spans="1:37" s="1116" customFormat="1" ht="39.6">
      <c r="A50" s="2127" t="s">
        <v>2050</v>
      </c>
      <c r="B50" s="2130" t="str">
        <f>估价对象房地状况!C4</f>
        <v>估价对象位于XX商圈，周边商业氛围成熟，人流量大，商业繁华度好</v>
      </c>
      <c r="C50" s="2041" t="s">
        <v>3476</v>
      </c>
      <c r="D50" s="1062">
        <f t="shared" ref="D50:D58" si="7">SUMIF($J$49:$N$49,C50,J50:N50)</f>
        <v>1.23E-2</v>
      </c>
      <c r="E50" s="741">
        <f>ROUND(SUM(D50:D58),4)</f>
        <v>4.1399999999999999E-2</v>
      </c>
      <c r="F50" s="1811">
        <f>IF(E2="商业",SUMIF(L1:L12,G2,N1:N12),"——")</f>
        <v>8.2000000000000003E-2</v>
      </c>
      <c r="G50" s="1060">
        <v>1.23E-2</v>
      </c>
      <c r="H50" s="1063">
        <f t="shared" ref="H50:H58" si="8">IFERROR(ROUNDDOWN($F$50*I50/2,4),"——")</f>
        <v>1.23E-2</v>
      </c>
      <c r="I50" s="3364">
        <v>0.3</v>
      </c>
      <c r="J50" s="1061">
        <f t="shared" ref="J50:J58" si="9">K50+$G50</f>
        <v>2.46E-2</v>
      </c>
      <c r="K50" s="1061">
        <f t="shared" ref="K50:K58" si="10">$L50+$G50</f>
        <v>1.23E-2</v>
      </c>
      <c r="L50" s="1061">
        <v>0</v>
      </c>
      <c r="M50" s="1061">
        <f t="shared" ref="M50:N58" si="11">L50-$G50</f>
        <v>-1.23E-2</v>
      </c>
      <c r="N50" s="1061">
        <f t="shared" si="11"/>
        <v>-2.46E-2</v>
      </c>
      <c r="AA50" s="1117"/>
      <c r="AB50" s="1117"/>
      <c r="AC50" s="1117"/>
      <c r="AD50" s="1117"/>
      <c r="AE50" s="1117"/>
      <c r="AF50" s="1117"/>
      <c r="AG50" s="1117"/>
      <c r="AH50" s="1117"/>
      <c r="AI50" s="1117"/>
      <c r="AJ50" s="1117"/>
      <c r="AK50" s="1117"/>
    </row>
    <row r="51" spans="1:37" s="1116" customFormat="1" ht="52.8">
      <c r="A51" s="2127" t="s">
        <v>2051</v>
      </c>
      <c r="B51" s="2131" t="str">
        <f>估价对象房地状况!C18</f>
        <v>估价对象周边道路状况、公共交通通达情况、停车便捷程度，综合评价交通便捷度较好</v>
      </c>
      <c r="C51" s="2041" t="s">
        <v>3476</v>
      </c>
      <c r="D51" s="1062">
        <f t="shared" si="7"/>
        <v>8.9999999999999993E-3</v>
      </c>
      <c r="E51" s="742"/>
      <c r="F51" s="1811"/>
      <c r="G51" s="1060">
        <v>8.9999999999999993E-3</v>
      </c>
      <c r="H51" s="1063">
        <f t="shared" si="8"/>
        <v>8.9999999999999993E-3</v>
      </c>
      <c r="I51" s="3364">
        <v>0.22</v>
      </c>
      <c r="J51" s="1061">
        <f t="shared" si="9"/>
        <v>1.7999999999999999E-2</v>
      </c>
      <c r="K51" s="1061">
        <f t="shared" si="10"/>
        <v>8.9999999999999993E-3</v>
      </c>
      <c r="L51" s="1061">
        <v>0</v>
      </c>
      <c r="M51" s="1061">
        <f t="shared" si="11"/>
        <v>-8.9999999999999993E-3</v>
      </c>
      <c r="N51" s="1061">
        <f t="shared" si="11"/>
        <v>-1.7999999999999999E-2</v>
      </c>
      <c r="AA51" s="1117"/>
      <c r="AB51" s="1117"/>
      <c r="AC51" s="1117"/>
      <c r="AD51" s="1117"/>
      <c r="AE51" s="1117"/>
      <c r="AF51" s="1117"/>
      <c r="AG51" s="1117"/>
      <c r="AH51" s="1117"/>
      <c r="AI51" s="1117"/>
      <c r="AJ51" s="1117"/>
      <c r="AK51" s="1117"/>
    </row>
    <row r="52" spans="1:37" s="1116" customFormat="1" ht="48">
      <c r="A52" s="3366" t="s">
        <v>3270</v>
      </c>
      <c r="B52" s="2131">
        <f>估价对象房地状况!C19</f>
        <v>0</v>
      </c>
      <c r="C52" s="2041" t="s">
        <v>3476</v>
      </c>
      <c r="D52" s="1062">
        <f t="shared" si="7"/>
        <v>4.8999999999999998E-3</v>
      </c>
      <c r="E52" s="742"/>
      <c r="F52" s="1811"/>
      <c r="G52" s="1060">
        <v>4.8999999999999998E-3</v>
      </c>
      <c r="H52" s="1063">
        <f t="shared" si="8"/>
        <v>4.8999999999999998E-3</v>
      </c>
      <c r="I52" s="3364">
        <v>0.12</v>
      </c>
      <c r="J52" s="1061">
        <f t="shared" si="9"/>
        <v>9.7999999999999997E-3</v>
      </c>
      <c r="K52" s="1061">
        <f t="shared" si="10"/>
        <v>4.8999999999999998E-3</v>
      </c>
      <c r="L52" s="1061">
        <v>0</v>
      </c>
      <c r="M52" s="1061">
        <f t="shared" si="11"/>
        <v>-4.8999999999999998E-3</v>
      </c>
      <c r="N52" s="1061">
        <f t="shared" si="11"/>
        <v>-9.7999999999999997E-3</v>
      </c>
      <c r="AA52" s="1117"/>
      <c r="AB52" s="1117"/>
      <c r="AC52" s="1117"/>
      <c r="AD52" s="1117"/>
      <c r="AE52" s="1117"/>
      <c r="AF52" s="1117"/>
      <c r="AG52" s="1117"/>
      <c r="AH52" s="1117"/>
      <c r="AI52" s="1117"/>
      <c r="AJ52" s="1117"/>
      <c r="AK52" s="1117"/>
    </row>
    <row r="53" spans="1:37" s="1116" customFormat="1" ht="37.200000000000003">
      <c r="A53" s="2127" t="s">
        <v>2052</v>
      </c>
      <c r="B53" s="2132" t="s">
        <v>2053</v>
      </c>
      <c r="C53" s="2041" t="s">
        <v>3476</v>
      </c>
      <c r="D53" s="1062">
        <f t="shared" si="7"/>
        <v>2E-3</v>
      </c>
      <c r="E53" s="742"/>
      <c r="F53" s="1811"/>
      <c r="G53" s="1060">
        <v>2E-3</v>
      </c>
      <c r="H53" s="1063">
        <f t="shared" si="8"/>
        <v>2E-3</v>
      </c>
      <c r="I53" s="3364">
        <v>0.05</v>
      </c>
      <c r="J53" s="1061">
        <f t="shared" si="9"/>
        <v>4.0000000000000001E-3</v>
      </c>
      <c r="K53" s="1061">
        <f t="shared" si="10"/>
        <v>2E-3</v>
      </c>
      <c r="L53" s="1061">
        <v>0</v>
      </c>
      <c r="M53" s="1061">
        <f t="shared" si="11"/>
        <v>-2E-3</v>
      </c>
      <c r="N53" s="1061">
        <f t="shared" si="11"/>
        <v>-4.0000000000000001E-3</v>
      </c>
      <c r="AA53" s="1117"/>
      <c r="AB53" s="1117"/>
      <c r="AC53" s="1117"/>
      <c r="AD53" s="1117"/>
      <c r="AE53" s="1117"/>
      <c r="AF53" s="1117"/>
      <c r="AG53" s="1117"/>
      <c r="AH53" s="1117"/>
      <c r="AI53" s="1117"/>
      <c r="AJ53" s="1117"/>
      <c r="AK53" s="1117"/>
    </row>
    <row r="54" spans="1:37" s="1116" customFormat="1" ht="24">
      <c r="A54" s="2127" t="s">
        <v>2054</v>
      </c>
      <c r="B54" s="2131">
        <f>估价对象房地状况!C24</f>
        <v>0</v>
      </c>
      <c r="C54" s="2041" t="s">
        <v>3477</v>
      </c>
      <c r="D54" s="1062">
        <f t="shared" si="7"/>
        <v>-3.2000000000000002E-3</v>
      </c>
      <c r="E54" s="742"/>
      <c r="F54" s="1811"/>
      <c r="G54" s="1060">
        <v>3.2000000000000002E-3</v>
      </c>
      <c r="H54" s="1063">
        <f t="shared" si="8"/>
        <v>3.2000000000000002E-3</v>
      </c>
      <c r="I54" s="3364">
        <v>0.08</v>
      </c>
      <c r="J54" s="1061">
        <f t="shared" si="9"/>
        <v>6.4000000000000003E-3</v>
      </c>
      <c r="K54" s="1061">
        <f t="shared" si="10"/>
        <v>3.2000000000000002E-3</v>
      </c>
      <c r="L54" s="1061">
        <v>0</v>
      </c>
      <c r="M54" s="1061">
        <f t="shared" si="11"/>
        <v>-3.2000000000000002E-3</v>
      </c>
      <c r="N54" s="1061">
        <f t="shared" si="11"/>
        <v>-6.4000000000000003E-3</v>
      </c>
      <c r="AA54" s="1117"/>
      <c r="AB54" s="1117"/>
      <c r="AC54" s="1117"/>
      <c r="AD54" s="1117"/>
      <c r="AE54" s="1117"/>
      <c r="AF54" s="1117"/>
      <c r="AG54" s="1117"/>
      <c r="AH54" s="1117"/>
      <c r="AI54" s="1117"/>
      <c r="AJ54" s="1117"/>
      <c r="AK54" s="1117"/>
    </row>
    <row r="55" spans="1:37" s="1116" customFormat="1" ht="36">
      <c r="A55" s="2127" t="s">
        <v>2055</v>
      </c>
      <c r="B55" s="2133" t="s">
        <v>2056</v>
      </c>
      <c r="C55" s="2041" t="s">
        <v>3476</v>
      </c>
      <c r="D55" s="1062">
        <f t="shared" si="7"/>
        <v>2E-3</v>
      </c>
      <c r="E55" s="742"/>
      <c r="F55" s="1811"/>
      <c r="G55" s="1060">
        <v>2E-3</v>
      </c>
      <c r="H55" s="1063">
        <f t="shared" si="8"/>
        <v>2E-3</v>
      </c>
      <c r="I55" s="3364">
        <v>0.05</v>
      </c>
      <c r="J55" s="1061">
        <f t="shared" si="9"/>
        <v>4.0000000000000001E-3</v>
      </c>
      <c r="K55" s="1061">
        <f t="shared" si="10"/>
        <v>2E-3</v>
      </c>
      <c r="L55" s="1061">
        <v>0</v>
      </c>
      <c r="M55" s="1061">
        <f t="shared" si="11"/>
        <v>-2E-3</v>
      </c>
      <c r="N55" s="1061">
        <f t="shared" si="11"/>
        <v>-4.0000000000000001E-3</v>
      </c>
      <c r="AA55" s="1117"/>
      <c r="AB55" s="1117"/>
      <c r="AC55" s="1117"/>
      <c r="AD55" s="1117"/>
      <c r="AE55" s="1117"/>
      <c r="AF55" s="1117"/>
      <c r="AG55" s="1117"/>
      <c r="AH55" s="1117"/>
      <c r="AI55" s="1117"/>
      <c r="AJ55" s="1117"/>
      <c r="AK55" s="1117"/>
    </row>
    <row r="56" spans="1:37" s="1116" customFormat="1" ht="26.4">
      <c r="A56" s="2134" t="s">
        <v>2057</v>
      </c>
      <c r="B56" s="1323" t="str">
        <f>估价对象房地状况!C21</f>
        <v>估价对象所在区域公共配套设施齐备情况</v>
      </c>
      <c r="C56" s="2041" t="s">
        <v>3478</v>
      </c>
      <c r="D56" s="1062">
        <f t="shared" si="7"/>
        <v>4.0000000000000001E-3</v>
      </c>
      <c r="E56" s="742"/>
      <c r="F56" s="1811"/>
      <c r="G56" s="1060">
        <v>2E-3</v>
      </c>
      <c r="H56" s="1063">
        <f t="shared" si="8"/>
        <v>2E-3</v>
      </c>
      <c r="I56" s="3364">
        <v>0.05</v>
      </c>
      <c r="J56" s="1061">
        <f t="shared" si="9"/>
        <v>4.0000000000000001E-3</v>
      </c>
      <c r="K56" s="1061">
        <f t="shared" si="10"/>
        <v>2E-3</v>
      </c>
      <c r="L56" s="1061">
        <v>0</v>
      </c>
      <c r="M56" s="1061">
        <f t="shared" si="11"/>
        <v>-2E-3</v>
      </c>
      <c r="N56" s="1061">
        <f t="shared" si="11"/>
        <v>-4.0000000000000001E-3</v>
      </c>
      <c r="AA56" s="1117"/>
      <c r="AB56" s="1117"/>
      <c r="AC56" s="1117"/>
      <c r="AD56" s="1117"/>
      <c r="AE56" s="1117"/>
      <c r="AF56" s="1117"/>
      <c r="AG56" s="1117"/>
      <c r="AH56" s="1117"/>
      <c r="AI56" s="1117"/>
      <c r="AJ56" s="1117"/>
      <c r="AK56" s="1117"/>
    </row>
    <row r="57" spans="1:37" s="1116" customFormat="1" ht="26.4">
      <c r="A57" s="2134" t="s">
        <v>2058</v>
      </c>
      <c r="B57" s="2131" t="str">
        <f>估价对象房地状况!C22</f>
        <v>估价对象所在区域基础设施水平</v>
      </c>
      <c r="C57" s="2041" t="s">
        <v>3478</v>
      </c>
      <c r="D57" s="1062">
        <f t="shared" si="7"/>
        <v>6.4000000000000003E-3</v>
      </c>
      <c r="E57" s="742"/>
      <c r="F57" s="1811"/>
      <c r="G57" s="1060">
        <v>3.2000000000000002E-3</v>
      </c>
      <c r="H57" s="1063">
        <f t="shared" si="8"/>
        <v>3.2000000000000002E-3</v>
      </c>
      <c r="I57" s="3364">
        <v>0.08</v>
      </c>
      <c r="J57" s="1061">
        <f t="shared" si="9"/>
        <v>6.4000000000000003E-3</v>
      </c>
      <c r="K57" s="1061">
        <f t="shared" si="10"/>
        <v>3.2000000000000002E-3</v>
      </c>
      <c r="L57" s="1061">
        <v>0</v>
      </c>
      <c r="M57" s="1061">
        <f t="shared" si="11"/>
        <v>-3.2000000000000002E-3</v>
      </c>
      <c r="N57" s="1061">
        <f t="shared" si="11"/>
        <v>-6.4000000000000003E-3</v>
      </c>
      <c r="AA57" s="1117"/>
      <c r="AB57" s="1117"/>
      <c r="AC57" s="1117"/>
      <c r="AD57" s="1117"/>
      <c r="AE57" s="1117"/>
      <c r="AF57" s="1117"/>
      <c r="AG57" s="1117"/>
      <c r="AH57" s="1117"/>
      <c r="AI57" s="1117"/>
      <c r="AJ57" s="1117"/>
      <c r="AK57" s="1117"/>
    </row>
    <row r="58" spans="1:37" s="1116" customFormat="1" ht="40.200000000000003" thickBot="1">
      <c r="A58" s="2135" t="s">
        <v>2059</v>
      </c>
      <c r="B58" s="2136" t="str">
        <f>估价对象房地状况!C20</f>
        <v>区域自然环境：；人文环境；综合评价环境状况一般</v>
      </c>
      <c r="C58" s="2041" t="s">
        <v>3478</v>
      </c>
      <c r="D58" s="1062">
        <f t="shared" si="7"/>
        <v>4.0000000000000001E-3</v>
      </c>
      <c r="E58" s="743"/>
      <c r="F58" s="1811"/>
      <c r="G58" s="1060">
        <v>2E-3</v>
      </c>
      <c r="H58" s="1063">
        <f t="shared" si="8"/>
        <v>2E-3</v>
      </c>
      <c r="I58" s="3365">
        <v>0.05</v>
      </c>
      <c r="J58" s="1061">
        <f t="shared" si="9"/>
        <v>4.0000000000000001E-3</v>
      </c>
      <c r="K58" s="1061">
        <f t="shared" si="10"/>
        <v>2E-3</v>
      </c>
      <c r="L58" s="1061">
        <v>0</v>
      </c>
      <c r="M58" s="1061">
        <f t="shared" si="11"/>
        <v>-2E-3</v>
      </c>
      <c r="N58" s="1061">
        <f t="shared" si="11"/>
        <v>-4.0000000000000001E-3</v>
      </c>
      <c r="AA58" s="1117"/>
      <c r="AB58" s="1117"/>
      <c r="AC58" s="1117"/>
      <c r="AD58" s="1117"/>
      <c r="AE58" s="1117"/>
      <c r="AF58" s="1117"/>
      <c r="AG58" s="1117"/>
      <c r="AH58" s="1117"/>
      <c r="AI58" s="1117"/>
      <c r="AJ58" s="1117"/>
      <c r="AK58" s="1117"/>
    </row>
    <row r="59" spans="1:37" s="1116" customFormat="1" ht="14.4">
      <c r="A59" s="2123" t="s">
        <v>2060</v>
      </c>
      <c r="B59" s="2124">
        <f>1+E61</f>
        <v>1.0501</v>
      </c>
      <c r="C59" s="738"/>
      <c r="D59" s="738"/>
      <c r="E59" s="739"/>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5.2">
      <c r="A60" s="2127" t="s">
        <v>2042</v>
      </c>
      <c r="B60" s="1348"/>
      <c r="C60" s="1348" t="s">
        <v>2044</v>
      </c>
      <c r="D60" s="1348" t="s">
        <v>2045</v>
      </c>
      <c r="E60" s="740" t="s">
        <v>2046</v>
      </c>
      <c r="F60" s="2128" t="s">
        <v>2061</v>
      </c>
      <c r="G60" s="1348" t="s">
        <v>310</v>
      </c>
      <c r="H60" s="2129" t="s">
        <v>2048</v>
      </c>
      <c r="I60" s="1348" t="s">
        <v>2049</v>
      </c>
      <c r="J60" s="552" t="s">
        <v>1719</v>
      </c>
      <c r="K60" s="552" t="s">
        <v>1720</v>
      </c>
      <c r="L60" s="552" t="s">
        <v>1721</v>
      </c>
      <c r="M60" s="552" t="s">
        <v>1722</v>
      </c>
      <c r="N60" s="552" t="s">
        <v>1723</v>
      </c>
      <c r="AA60" s="1117"/>
      <c r="AB60" s="1117"/>
      <c r="AC60" s="1117"/>
      <c r="AD60" s="1117"/>
      <c r="AE60" s="1117"/>
      <c r="AF60" s="1117"/>
      <c r="AG60" s="1117"/>
      <c r="AH60" s="1117"/>
      <c r="AI60" s="1117"/>
      <c r="AJ60" s="1117"/>
      <c r="AK60" s="1117"/>
    </row>
    <row r="61" spans="1:37" s="1116" customFormat="1" ht="39.6">
      <c r="A61" s="2127" t="s">
        <v>2062</v>
      </c>
      <c r="B61" s="2130" t="str">
        <f>估价对象房地状况!C17</f>
        <v>估价对象位于XX商圈，周边办公楼项目较多，入驻率高，办公集聚程度较好</v>
      </c>
      <c r="C61" s="2041" t="s">
        <v>3476</v>
      </c>
      <c r="D61" s="1062">
        <f t="shared" ref="D61:D69" si="12">SUMIF($J$60:$N$60,C61,J61:N61)</f>
        <v>1.12E-2</v>
      </c>
      <c r="E61" s="741">
        <f>ROUND(SUM(D61:D69),4)</f>
        <v>5.0099999999999999E-2</v>
      </c>
      <c r="F61" s="1811" t="str">
        <f>IF(E2="办公",SUMIF(L1:L12,G2,N1:N12),"——")</f>
        <v>——</v>
      </c>
      <c r="G61" s="1060">
        <v>1.12E-2</v>
      </c>
      <c r="H61" s="1063" t="str">
        <f t="shared" ref="H61:H69" si="13">IFERROR(ROUNDDOWN($F$61*I61/2,4),"——")</f>
        <v>——</v>
      </c>
      <c r="I61" s="3364">
        <v>0.25</v>
      </c>
      <c r="J61" s="1061">
        <f t="shared" ref="J61:J69" si="14">K61+$G61</f>
        <v>2.24E-2</v>
      </c>
      <c r="K61" s="1061">
        <f t="shared" ref="K61:K69" si="15">$L61+$G61</f>
        <v>1.12E-2</v>
      </c>
      <c r="L61" s="1061">
        <v>0</v>
      </c>
      <c r="M61" s="1061">
        <f t="shared" ref="M61:N69" si="16">L61-$G61</f>
        <v>-1.12E-2</v>
      </c>
      <c r="N61" s="1061">
        <f t="shared" si="16"/>
        <v>-2.24E-2</v>
      </c>
      <c r="AA61" s="1117"/>
      <c r="AB61" s="1117"/>
      <c r="AC61" s="1117"/>
      <c r="AD61" s="1117"/>
      <c r="AE61" s="1117"/>
      <c r="AF61" s="1117"/>
      <c r="AG61" s="1117"/>
      <c r="AH61" s="1117"/>
      <c r="AI61" s="1117"/>
      <c r="AJ61" s="1117"/>
      <c r="AK61" s="1117"/>
    </row>
    <row r="62" spans="1:37" s="1116" customFormat="1" ht="52.8">
      <c r="A62" s="2127" t="s">
        <v>2051</v>
      </c>
      <c r="B62" s="2131" t="str">
        <f>估价对象房地状况!C18</f>
        <v>估价对象周边道路状况、公共交通通达情况、停车便捷程度，综合评价交通便捷度较好</v>
      </c>
      <c r="C62" s="2041" t="s">
        <v>3476</v>
      </c>
      <c r="D62" s="1062">
        <f t="shared" si="12"/>
        <v>1.17E-2</v>
      </c>
      <c r="E62" s="742"/>
      <c r="F62" s="1811"/>
      <c r="G62" s="1060">
        <v>1.17E-2</v>
      </c>
      <c r="H62" s="1063" t="str">
        <f t="shared" si="13"/>
        <v>——</v>
      </c>
      <c r="I62" s="3364">
        <v>0.26</v>
      </c>
      <c r="J62" s="1061">
        <f t="shared" si="14"/>
        <v>2.3400000000000001E-2</v>
      </c>
      <c r="K62" s="1061">
        <f t="shared" si="15"/>
        <v>1.17E-2</v>
      </c>
      <c r="L62" s="1061">
        <v>0</v>
      </c>
      <c r="M62" s="1061">
        <f t="shared" si="16"/>
        <v>-1.17E-2</v>
      </c>
      <c r="N62" s="1061">
        <f t="shared" si="16"/>
        <v>-2.3400000000000001E-2</v>
      </c>
      <c r="AA62" s="1117"/>
      <c r="AB62" s="1117"/>
      <c r="AC62" s="1117"/>
      <c r="AD62" s="1117"/>
      <c r="AE62" s="1117"/>
      <c r="AF62" s="1117"/>
      <c r="AG62" s="1117"/>
      <c r="AH62" s="1117"/>
      <c r="AI62" s="1117"/>
      <c r="AJ62" s="1117"/>
      <c r="AK62" s="1117"/>
    </row>
    <row r="63" spans="1:37" s="1116" customFormat="1" ht="48">
      <c r="A63" s="3366" t="s">
        <v>3270</v>
      </c>
      <c r="B63" s="2131">
        <f>估价对象房地状况!C19</f>
        <v>0</v>
      </c>
      <c r="C63" s="2041" t="s">
        <v>3476</v>
      </c>
      <c r="D63" s="1062">
        <f t="shared" si="12"/>
        <v>4.8999999999999998E-3</v>
      </c>
      <c r="E63" s="742"/>
      <c r="F63" s="1811"/>
      <c r="G63" s="1060">
        <v>4.8999999999999998E-3</v>
      </c>
      <c r="H63" s="1063" t="str">
        <f t="shared" si="13"/>
        <v>——</v>
      </c>
      <c r="I63" s="3364">
        <v>0.11</v>
      </c>
      <c r="J63" s="1061">
        <f t="shared" si="14"/>
        <v>9.7999999999999997E-3</v>
      </c>
      <c r="K63" s="1061">
        <f t="shared" si="15"/>
        <v>4.8999999999999998E-3</v>
      </c>
      <c r="L63" s="1061">
        <v>0</v>
      </c>
      <c r="M63" s="1061">
        <f t="shared" si="16"/>
        <v>-4.8999999999999998E-3</v>
      </c>
      <c r="N63" s="1061">
        <f t="shared" si="16"/>
        <v>-9.7999999999999997E-3</v>
      </c>
      <c r="AA63" s="1117"/>
      <c r="AB63" s="1117"/>
      <c r="AC63" s="1117"/>
      <c r="AD63" s="1117"/>
      <c r="AE63" s="1117"/>
      <c r="AF63" s="1117"/>
      <c r="AG63" s="1117"/>
      <c r="AH63" s="1117"/>
      <c r="AI63" s="1117"/>
      <c r="AJ63" s="1117"/>
      <c r="AK63" s="1117"/>
    </row>
    <row r="64" spans="1:37" s="1116" customFormat="1" ht="37.200000000000003">
      <c r="A64" s="2127" t="s">
        <v>2052</v>
      </c>
      <c r="B64" s="2132" t="s">
        <v>2053</v>
      </c>
      <c r="C64" s="2041" t="s">
        <v>3476</v>
      </c>
      <c r="D64" s="1062">
        <f t="shared" si="12"/>
        <v>2.2000000000000001E-3</v>
      </c>
      <c r="E64" s="742"/>
      <c r="F64" s="1811"/>
      <c r="G64" s="1060">
        <v>2.2000000000000001E-3</v>
      </c>
      <c r="H64" s="1063" t="str">
        <f t="shared" si="13"/>
        <v>——</v>
      </c>
      <c r="I64" s="3364">
        <v>0.05</v>
      </c>
      <c r="J64" s="1061">
        <f t="shared" si="14"/>
        <v>4.4000000000000003E-3</v>
      </c>
      <c r="K64" s="1061">
        <f t="shared" si="15"/>
        <v>2.2000000000000001E-3</v>
      </c>
      <c r="L64" s="1061">
        <v>0</v>
      </c>
      <c r="M64" s="1061">
        <f t="shared" si="16"/>
        <v>-2.2000000000000001E-3</v>
      </c>
      <c r="N64" s="1061">
        <f t="shared" si="16"/>
        <v>-4.4000000000000003E-3</v>
      </c>
      <c r="AA64" s="1117"/>
      <c r="AB64" s="1117"/>
      <c r="AC64" s="1117"/>
      <c r="AD64" s="1117"/>
      <c r="AE64" s="1117"/>
      <c r="AF64" s="1117"/>
      <c r="AG64" s="1117"/>
      <c r="AH64" s="1117"/>
      <c r="AI64" s="1117"/>
      <c r="AJ64" s="1117"/>
      <c r="AK64" s="1117"/>
    </row>
    <row r="65" spans="1:37" s="1116" customFormat="1" ht="24">
      <c r="A65" s="2127" t="s">
        <v>2054</v>
      </c>
      <c r="B65" s="2131">
        <f>估价对象房地状况!C24</f>
        <v>0</v>
      </c>
      <c r="C65" s="2041" t="s">
        <v>3477</v>
      </c>
      <c r="D65" s="1062">
        <f t="shared" si="12"/>
        <v>-2.2000000000000001E-3</v>
      </c>
      <c r="E65" s="742"/>
      <c r="F65" s="1811"/>
      <c r="G65" s="1060">
        <v>2.2000000000000001E-3</v>
      </c>
      <c r="H65" s="1063" t="str">
        <f t="shared" si="13"/>
        <v>——</v>
      </c>
      <c r="I65" s="3364">
        <v>0.05</v>
      </c>
      <c r="J65" s="1061">
        <f t="shared" si="14"/>
        <v>4.4000000000000003E-3</v>
      </c>
      <c r="K65" s="1061">
        <f t="shared" si="15"/>
        <v>2.2000000000000001E-3</v>
      </c>
      <c r="L65" s="1061">
        <v>0</v>
      </c>
      <c r="M65" s="1061">
        <f t="shared" si="16"/>
        <v>-2.2000000000000001E-3</v>
      </c>
      <c r="N65" s="1061">
        <f t="shared" si="16"/>
        <v>-4.4000000000000003E-3</v>
      </c>
      <c r="AA65" s="1117"/>
      <c r="AB65" s="1117"/>
      <c r="AC65" s="1117"/>
      <c r="AD65" s="1117"/>
      <c r="AE65" s="1117"/>
      <c r="AF65" s="1117"/>
      <c r="AG65" s="1117"/>
      <c r="AH65" s="1117"/>
      <c r="AI65" s="1117"/>
      <c r="AJ65" s="1117"/>
      <c r="AK65" s="1117"/>
    </row>
    <row r="66" spans="1:37" s="1116" customFormat="1" ht="36">
      <c r="A66" s="2127" t="s">
        <v>2055</v>
      </c>
      <c r="B66" s="2133" t="s">
        <v>2056</v>
      </c>
      <c r="C66" s="2041" t="s">
        <v>3476</v>
      </c>
      <c r="D66" s="1062">
        <f t="shared" si="12"/>
        <v>2.7000000000000001E-3</v>
      </c>
      <c r="E66" s="742"/>
      <c r="F66" s="1811"/>
      <c r="G66" s="1060">
        <v>2.7000000000000001E-3</v>
      </c>
      <c r="H66" s="1063" t="str">
        <f t="shared" si="13"/>
        <v>——</v>
      </c>
      <c r="I66" s="3364">
        <v>0.06</v>
      </c>
      <c r="J66" s="1061">
        <f t="shared" si="14"/>
        <v>5.4000000000000003E-3</v>
      </c>
      <c r="K66" s="1061">
        <f t="shared" si="15"/>
        <v>2.7000000000000001E-3</v>
      </c>
      <c r="L66" s="1061">
        <v>0</v>
      </c>
      <c r="M66" s="1061">
        <f t="shared" si="16"/>
        <v>-2.7000000000000001E-3</v>
      </c>
      <c r="N66" s="1061">
        <f t="shared" si="16"/>
        <v>-5.4000000000000003E-3</v>
      </c>
      <c r="AA66" s="1117"/>
      <c r="AB66" s="1117"/>
      <c r="AC66" s="1117"/>
      <c r="AD66" s="1117"/>
      <c r="AE66" s="1117"/>
      <c r="AF66" s="1117"/>
      <c r="AG66" s="1117"/>
      <c r="AH66" s="1117"/>
      <c r="AI66" s="1117"/>
      <c r="AJ66" s="1117"/>
      <c r="AK66" s="1117"/>
    </row>
    <row r="67" spans="1:37" s="1116" customFormat="1" ht="26.4">
      <c r="A67" s="2127" t="s">
        <v>2057</v>
      </c>
      <c r="B67" s="1323" t="str">
        <f>估价对象房地状况!C21</f>
        <v>估价对象所在区域公共配套设施齐备情况</v>
      </c>
      <c r="C67" s="2041" t="s">
        <v>3478</v>
      </c>
      <c r="D67" s="1062">
        <f t="shared" si="12"/>
        <v>5.4000000000000003E-3</v>
      </c>
      <c r="E67" s="742"/>
      <c r="F67" s="1811"/>
      <c r="G67" s="1060">
        <v>2.7000000000000001E-3</v>
      </c>
      <c r="H67" s="1063" t="str">
        <f t="shared" si="13"/>
        <v>——</v>
      </c>
      <c r="I67" s="3364">
        <v>0.06</v>
      </c>
      <c r="J67" s="1061">
        <f t="shared" si="14"/>
        <v>5.4000000000000003E-3</v>
      </c>
      <c r="K67" s="1061">
        <f t="shared" si="15"/>
        <v>2.7000000000000001E-3</v>
      </c>
      <c r="L67" s="1061">
        <v>0</v>
      </c>
      <c r="M67" s="1061">
        <f t="shared" si="16"/>
        <v>-2.7000000000000001E-3</v>
      </c>
      <c r="N67" s="1061">
        <f t="shared" si="16"/>
        <v>-5.4000000000000003E-3</v>
      </c>
      <c r="AA67" s="1117"/>
      <c r="AB67" s="1117"/>
      <c r="AC67" s="1117"/>
      <c r="AD67" s="1117"/>
      <c r="AE67" s="1117"/>
      <c r="AF67" s="1117"/>
      <c r="AG67" s="1117"/>
      <c r="AH67" s="1117"/>
      <c r="AI67" s="1117"/>
      <c r="AJ67" s="1117"/>
      <c r="AK67" s="1117"/>
    </row>
    <row r="68" spans="1:37" s="1116" customFormat="1" ht="26.4">
      <c r="A68" s="2127" t="s">
        <v>2058</v>
      </c>
      <c r="B68" s="1323" t="str">
        <f>估价对象房地状况!C22</f>
        <v>估价对象所在区域基础设施水平</v>
      </c>
      <c r="C68" s="2041" t="s">
        <v>3478</v>
      </c>
      <c r="D68" s="1062">
        <f t="shared" si="12"/>
        <v>8.0000000000000002E-3</v>
      </c>
      <c r="E68" s="742"/>
      <c r="F68" s="1811"/>
      <c r="G68" s="1060">
        <v>4.0000000000000001E-3</v>
      </c>
      <c r="H68" s="1063" t="str">
        <f t="shared" si="13"/>
        <v>——</v>
      </c>
      <c r="I68" s="3364">
        <v>0.09</v>
      </c>
      <c r="J68" s="1061">
        <f t="shared" si="14"/>
        <v>8.0000000000000002E-3</v>
      </c>
      <c r="K68" s="1061">
        <f t="shared" si="15"/>
        <v>4.0000000000000001E-3</v>
      </c>
      <c r="L68" s="1061">
        <v>0</v>
      </c>
      <c r="M68" s="1061">
        <f t="shared" si="16"/>
        <v>-4.0000000000000001E-3</v>
      </c>
      <c r="N68" s="1061">
        <f t="shared" si="16"/>
        <v>-8.0000000000000002E-3</v>
      </c>
      <c r="AA68" s="1117"/>
      <c r="AB68" s="1117"/>
      <c r="AC68" s="1117"/>
      <c r="AD68" s="1117"/>
      <c r="AE68" s="1117"/>
      <c r="AF68" s="1117"/>
      <c r="AG68" s="1117"/>
      <c r="AH68" s="1117"/>
      <c r="AI68" s="1117"/>
      <c r="AJ68" s="1117"/>
      <c r="AK68" s="1117"/>
    </row>
    <row r="69" spans="1:37" s="1116" customFormat="1" ht="40.200000000000003" thickBot="1">
      <c r="A69" s="2135" t="s">
        <v>2059</v>
      </c>
      <c r="B69" s="2137" t="str">
        <f>估价对象房地状况!C20</f>
        <v>区域自然环境：；人文环境；综合评价环境状况一般</v>
      </c>
      <c r="C69" s="2041" t="s">
        <v>3478</v>
      </c>
      <c r="D69" s="1062">
        <f t="shared" si="12"/>
        <v>6.1999999999999998E-3</v>
      </c>
      <c r="E69" s="743"/>
      <c r="F69" s="1811"/>
      <c r="G69" s="1060">
        <v>3.0999999999999999E-3</v>
      </c>
      <c r="H69" s="1063" t="str">
        <f t="shared" si="13"/>
        <v>——</v>
      </c>
      <c r="I69" s="3365">
        <v>7.0000000000000007E-2</v>
      </c>
      <c r="J69" s="1061">
        <f t="shared" si="14"/>
        <v>6.1999999999999998E-3</v>
      </c>
      <c r="K69" s="1061">
        <f t="shared" si="15"/>
        <v>3.0999999999999999E-3</v>
      </c>
      <c r="L69" s="1061">
        <v>0</v>
      </c>
      <c r="M69" s="1061">
        <f t="shared" si="16"/>
        <v>-3.0999999999999999E-3</v>
      </c>
      <c r="N69" s="1061">
        <f t="shared" si="16"/>
        <v>-6.1999999999999998E-3</v>
      </c>
      <c r="AA69" s="1117"/>
      <c r="AB69" s="1117"/>
      <c r="AC69" s="1117"/>
      <c r="AD69" s="1117"/>
      <c r="AE69" s="1117"/>
      <c r="AF69" s="1117"/>
      <c r="AG69" s="1117"/>
      <c r="AH69" s="1117"/>
      <c r="AI69" s="1117"/>
      <c r="AJ69" s="1117"/>
      <c r="AK69" s="1117"/>
    </row>
    <row r="70" spans="1:37" s="1116" customFormat="1" ht="14.4">
      <c r="A70" s="2123" t="s">
        <v>2063</v>
      </c>
      <c r="B70" s="2124">
        <f>1+E72</f>
        <v>1</v>
      </c>
      <c r="C70" s="738"/>
      <c r="D70" s="738"/>
      <c r="E70" s="739"/>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5.2">
      <c r="A71" s="2127" t="s">
        <v>2042</v>
      </c>
      <c r="B71" s="1348"/>
      <c r="C71" s="1348" t="s">
        <v>2044</v>
      </c>
      <c r="D71" s="1348" t="s">
        <v>2045</v>
      </c>
      <c r="E71" s="740" t="s">
        <v>2046</v>
      </c>
      <c r="F71" s="2128" t="s">
        <v>2061</v>
      </c>
      <c r="G71" s="1348" t="s">
        <v>310</v>
      </c>
      <c r="H71" s="2129" t="s">
        <v>2048</v>
      </c>
      <c r="I71" s="1348" t="s">
        <v>2049</v>
      </c>
      <c r="J71" s="552" t="s">
        <v>1719</v>
      </c>
      <c r="K71" s="552" t="s">
        <v>1720</v>
      </c>
      <c r="L71" s="552" t="s">
        <v>1721</v>
      </c>
      <c r="M71" s="552" t="s">
        <v>1722</v>
      </c>
      <c r="N71" s="552" t="s">
        <v>1723</v>
      </c>
      <c r="AA71" s="1117"/>
      <c r="AB71" s="1117"/>
      <c r="AC71" s="1117"/>
      <c r="AD71" s="1117"/>
      <c r="AE71" s="1117"/>
      <c r="AF71" s="1117"/>
      <c r="AG71" s="1117"/>
      <c r="AH71" s="1117"/>
      <c r="AI71" s="1117"/>
      <c r="AJ71" s="1117"/>
      <c r="AK71" s="1117"/>
    </row>
    <row r="72" spans="1:37" s="1116" customFormat="1" ht="52.8">
      <c r="A72" s="2127" t="s">
        <v>2064</v>
      </c>
      <c r="B72" s="2130" t="str">
        <f>估价对象房地状况!C15</f>
        <v>估价对象周边居住用地比例、居住小区规模和社区发展完善程度，综合评价居住社区成熟度一般</v>
      </c>
      <c r="C72" s="2041"/>
      <c r="D72" s="1062">
        <f t="shared" ref="D72:D80" si="17">SUMIF($J$71:$N$71,C72,J72:N72)</f>
        <v>0</v>
      </c>
      <c r="E72" s="741">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52.8">
      <c r="A73" s="2127" t="s">
        <v>2051</v>
      </c>
      <c r="B73" s="2131" t="str">
        <f>估价对象房地状况!C18</f>
        <v>估价对象周边道路状况、公共交通通达情况、停车便捷程度，综合评价交通便捷度较好</v>
      </c>
      <c r="C73" s="2041"/>
      <c r="D73" s="1062">
        <f t="shared" si="17"/>
        <v>0</v>
      </c>
      <c r="E73" s="744"/>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48">
      <c r="A74" s="3366" t="s">
        <v>3270</v>
      </c>
      <c r="B74" s="2131">
        <f>估价对象房地状况!C19</f>
        <v>0</v>
      </c>
      <c r="C74" s="2041"/>
      <c r="D74" s="1062">
        <f t="shared" si="17"/>
        <v>0</v>
      </c>
      <c r="E74" s="744"/>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3.8">
      <c r="A75" s="2127" t="s">
        <v>2065</v>
      </c>
      <c r="B75" s="2131">
        <f>估价对象房地状况!C24</f>
        <v>0</v>
      </c>
      <c r="C75" s="2041"/>
      <c r="D75" s="1062">
        <f t="shared" si="17"/>
        <v>0</v>
      </c>
      <c r="E75" s="744"/>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6.4">
      <c r="A76" s="2127" t="s">
        <v>2057</v>
      </c>
      <c r="B76" s="1323" t="str">
        <f>估价对象房地状况!C21</f>
        <v>估价对象所在区域公共配套设施齐备情况</v>
      </c>
      <c r="C76" s="2041"/>
      <c r="D76" s="1062">
        <f t="shared" si="17"/>
        <v>0</v>
      </c>
      <c r="E76" s="744"/>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6.4">
      <c r="A77" s="2127" t="s">
        <v>2058</v>
      </c>
      <c r="B77" s="1323" t="str">
        <f>估价对象房地状况!C22</f>
        <v>估价对象所在区域基础设施水平</v>
      </c>
      <c r="C77" s="2041"/>
      <c r="D77" s="1062">
        <f t="shared" si="17"/>
        <v>0</v>
      </c>
      <c r="E77" s="744"/>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36">
      <c r="A78" s="2127" t="s">
        <v>2055</v>
      </c>
      <c r="B78" s="2133" t="s">
        <v>2056</v>
      </c>
      <c r="C78" s="2041"/>
      <c r="D78" s="1062">
        <f t="shared" si="17"/>
        <v>0</v>
      </c>
      <c r="E78" s="744"/>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39.6">
      <c r="A79" s="2127" t="s">
        <v>2059</v>
      </c>
      <c r="B79" s="2130" t="str">
        <f>估价对象房地状况!C20</f>
        <v>区域自然环境：；人文环境；综合评价环境状况一般</v>
      </c>
      <c r="C79" s="2041"/>
      <c r="D79" s="1062">
        <f t="shared" si="17"/>
        <v>0</v>
      </c>
      <c r="E79" s="744"/>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36.6" thickBot="1">
      <c r="A80" s="2135" t="s">
        <v>2066</v>
      </c>
      <c r="B80" s="2139"/>
      <c r="C80" s="2041"/>
      <c r="D80" s="1062">
        <f t="shared" si="17"/>
        <v>0</v>
      </c>
      <c r="E80" s="745"/>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4.4">
      <c r="A81" s="2123" t="s">
        <v>2067</v>
      </c>
      <c r="B81" s="2124">
        <f>1+E83</f>
        <v>1</v>
      </c>
      <c r="C81" s="738"/>
      <c r="D81" s="738"/>
      <c r="E81" s="739"/>
      <c r="F81" s="2126"/>
      <c r="G81" s="3"/>
      <c r="H81" s="3"/>
      <c r="I81" s="3"/>
      <c r="J81" s="4"/>
      <c r="K81" s="4"/>
      <c r="L81" s="4"/>
      <c r="M81" s="4"/>
      <c r="N81" s="4"/>
      <c r="Z81" s="1995"/>
      <c r="AA81" s="2050"/>
      <c r="AG81" s="1118"/>
      <c r="AK81" s="2050"/>
    </row>
    <row r="82" spans="1:37" ht="25.2">
      <c r="A82" s="2127" t="s">
        <v>2042</v>
      </c>
      <c r="B82" s="1348"/>
      <c r="C82" s="1348" t="s">
        <v>2044</v>
      </c>
      <c r="D82" s="1348" t="s">
        <v>2045</v>
      </c>
      <c r="E82" s="740" t="s">
        <v>2046</v>
      </c>
      <c r="F82" s="2128" t="s">
        <v>2061</v>
      </c>
      <c r="G82" s="1348" t="s">
        <v>310</v>
      </c>
      <c r="H82" s="2129" t="s">
        <v>2048</v>
      </c>
      <c r="I82" s="1348" t="s">
        <v>2049</v>
      </c>
      <c r="J82" s="552" t="s">
        <v>1719</v>
      </c>
      <c r="K82" s="552" t="s">
        <v>1720</v>
      </c>
      <c r="L82" s="552" t="s">
        <v>1721</v>
      </c>
      <c r="M82" s="552" t="s">
        <v>1722</v>
      </c>
      <c r="N82" s="552" t="s">
        <v>1723</v>
      </c>
      <c r="Z82" s="1995"/>
      <c r="AA82" s="2050"/>
      <c r="AG82" s="1118"/>
      <c r="AK82" s="2050"/>
    </row>
    <row r="83" spans="1:37" ht="39.6">
      <c r="A83" s="2127" t="s">
        <v>2068</v>
      </c>
      <c r="B83" s="2131" t="str">
        <f>估价对象房地状况!G15</f>
        <v>估价对象位于XX开发区，园区建设成熟度XX，产业集聚程度XX</v>
      </c>
      <c r="C83" s="2041"/>
      <c r="D83" s="1062">
        <f t="shared" ref="D83:D90" si="22">SUMIF($J$82:$N$82,C83,J83:N83)</f>
        <v>0</v>
      </c>
      <c r="E83" s="741">
        <f>ROUND(SUM(D83:D90),4)</f>
        <v>0</v>
      </c>
      <c r="F83" s="1811" t="str">
        <f>IF(E2="工业",SUMIF(L1:L12,G2,N1:N12),"——")</f>
        <v>——</v>
      </c>
      <c r="G83" s="1060"/>
      <c r="H83" s="1063" t="str">
        <f t="shared" ref="H83:H90" si="23">IFERROR(ROUNDDOWN($F$83*I83/2,4),"——")</f>
        <v>——</v>
      </c>
      <c r="I83" s="3364">
        <v>0.26</v>
      </c>
      <c r="J83" s="1061">
        <f t="shared" ref="J83:J90" si="24">K83+$G83</f>
        <v>0</v>
      </c>
      <c r="K83" s="1061">
        <f t="shared" ref="K83:K90" si="25">$L83+$G83</f>
        <v>0</v>
      </c>
      <c r="L83" s="1061">
        <v>0</v>
      </c>
      <c r="M83" s="1061">
        <f t="shared" ref="M83:N90" si="26">L83-$G83</f>
        <v>0</v>
      </c>
      <c r="N83" s="1061">
        <f t="shared" si="26"/>
        <v>0</v>
      </c>
      <c r="Z83" s="1995"/>
      <c r="AA83" s="2050"/>
      <c r="AG83" s="1118"/>
      <c r="AK83" s="2050"/>
    </row>
    <row r="84" spans="1:37" ht="52.8">
      <c r="A84" s="2127" t="s">
        <v>2051</v>
      </c>
      <c r="B84" s="2131" t="str">
        <f>估价对象房地状况!G16</f>
        <v>估价对象周边道路状况、公共交通通达情况、停车便捷程度，综合评价交通便捷度较好</v>
      </c>
      <c r="C84" s="2041"/>
      <c r="D84" s="1062">
        <f t="shared" si="22"/>
        <v>0</v>
      </c>
      <c r="E84" s="744"/>
      <c r="F84" s="1811"/>
      <c r="G84" s="1060"/>
      <c r="H84" s="1063" t="str">
        <f t="shared" si="23"/>
        <v>——</v>
      </c>
      <c r="I84" s="3364">
        <v>0.3</v>
      </c>
      <c r="J84" s="1061">
        <f t="shared" si="24"/>
        <v>0</v>
      </c>
      <c r="K84" s="1061">
        <f t="shared" si="25"/>
        <v>0</v>
      </c>
      <c r="L84" s="1061">
        <v>0</v>
      </c>
      <c r="M84" s="1061">
        <f t="shared" si="26"/>
        <v>0</v>
      </c>
      <c r="N84" s="1061">
        <f t="shared" si="26"/>
        <v>0</v>
      </c>
      <c r="Z84" s="1995"/>
      <c r="AA84" s="2050"/>
      <c r="AG84" s="1118"/>
      <c r="AK84" s="2050"/>
    </row>
    <row r="85" spans="1:37" ht="48">
      <c r="A85" s="3366" t="s">
        <v>3270</v>
      </c>
      <c r="B85" s="2131">
        <f>估价对象房地状况!G17</f>
        <v>0</v>
      </c>
      <c r="C85" s="2041"/>
      <c r="D85" s="1062">
        <f t="shared" si="22"/>
        <v>0</v>
      </c>
      <c r="E85" s="744"/>
      <c r="F85" s="1811"/>
      <c r="G85" s="1060"/>
      <c r="H85" s="1063" t="str">
        <f t="shared" si="23"/>
        <v>——</v>
      </c>
      <c r="I85" s="3364">
        <v>0.1</v>
      </c>
      <c r="J85" s="1061">
        <f t="shared" si="24"/>
        <v>0</v>
      </c>
      <c r="K85" s="1061">
        <f t="shared" si="25"/>
        <v>0</v>
      </c>
      <c r="L85" s="1061">
        <v>0</v>
      </c>
      <c r="M85" s="1061">
        <f t="shared" si="26"/>
        <v>0</v>
      </c>
      <c r="N85" s="1061">
        <f t="shared" si="26"/>
        <v>0</v>
      </c>
      <c r="Z85" s="1995"/>
      <c r="AA85" s="2050"/>
      <c r="AG85" s="1118"/>
      <c r="AK85" s="2050"/>
    </row>
    <row r="86" spans="1:37" ht="13.8">
      <c r="A86" s="2127" t="s">
        <v>2065</v>
      </c>
      <c r="B86" s="2131">
        <f>估价对象房地状况!G22</f>
        <v>0</v>
      </c>
      <c r="C86" s="2041"/>
      <c r="D86" s="1062">
        <f t="shared" si="22"/>
        <v>0</v>
      </c>
      <c r="E86" s="744"/>
      <c r="F86" s="1811"/>
      <c r="G86" s="1060"/>
      <c r="H86" s="1063" t="str">
        <f t="shared" si="23"/>
        <v>——</v>
      </c>
      <c r="I86" s="3364">
        <v>0.05</v>
      </c>
      <c r="J86" s="1061">
        <f t="shared" si="24"/>
        <v>0</v>
      </c>
      <c r="K86" s="1061">
        <f t="shared" si="25"/>
        <v>0</v>
      </c>
      <c r="L86" s="1061">
        <v>0</v>
      </c>
      <c r="M86" s="1061">
        <f t="shared" si="26"/>
        <v>0</v>
      </c>
      <c r="N86" s="1061">
        <f t="shared" si="26"/>
        <v>0</v>
      </c>
      <c r="Z86" s="1995"/>
      <c r="AA86" s="2050"/>
      <c r="AG86" s="1118"/>
      <c r="AK86" s="2050"/>
    </row>
    <row r="87" spans="1:37" ht="26.4">
      <c r="A87" s="2127" t="s">
        <v>2057</v>
      </c>
      <c r="B87" s="1323" t="str">
        <f>估价对象房地状况!G19</f>
        <v>估价对象所在区域公共配套设施齐备情况</v>
      </c>
      <c r="C87" s="2041"/>
      <c r="D87" s="1062">
        <f t="shared" si="22"/>
        <v>0</v>
      </c>
      <c r="E87" s="744"/>
      <c r="F87" s="1811"/>
      <c r="G87" s="1060"/>
      <c r="H87" s="1063" t="str">
        <f t="shared" si="23"/>
        <v>——</v>
      </c>
      <c r="I87" s="3364">
        <v>0.06</v>
      </c>
      <c r="J87" s="1061">
        <f t="shared" si="24"/>
        <v>0</v>
      </c>
      <c r="K87" s="1061">
        <f t="shared" si="25"/>
        <v>0</v>
      </c>
      <c r="L87" s="1061">
        <v>0</v>
      </c>
      <c r="M87" s="1061">
        <f t="shared" si="26"/>
        <v>0</v>
      </c>
      <c r="N87" s="1061">
        <f t="shared" si="26"/>
        <v>0</v>
      </c>
    </row>
    <row r="88" spans="1:37" ht="26.4">
      <c r="A88" s="2127" t="s">
        <v>2058</v>
      </c>
      <c r="B88" s="1323" t="str">
        <f>估价对象房地状况!G20</f>
        <v>估价对象所在区域基础设施水平</v>
      </c>
      <c r="C88" s="2041"/>
      <c r="D88" s="1062">
        <f t="shared" si="22"/>
        <v>0</v>
      </c>
      <c r="E88" s="744"/>
      <c r="F88" s="1811"/>
      <c r="G88" s="1060"/>
      <c r="H88" s="1063" t="str">
        <f t="shared" si="23"/>
        <v>——</v>
      </c>
      <c r="I88" s="3364">
        <v>0.12</v>
      </c>
      <c r="J88" s="1061">
        <f t="shared" si="24"/>
        <v>0</v>
      </c>
      <c r="K88" s="1061">
        <f t="shared" si="25"/>
        <v>0</v>
      </c>
      <c r="L88" s="1061">
        <v>0</v>
      </c>
      <c r="M88" s="1061">
        <f t="shared" si="26"/>
        <v>0</v>
      </c>
      <c r="N88" s="1061">
        <f t="shared" si="26"/>
        <v>0</v>
      </c>
    </row>
    <row r="89" spans="1:37" ht="36">
      <c r="A89" s="2127" t="s">
        <v>2055</v>
      </c>
      <c r="B89" s="2133" t="s">
        <v>2069</v>
      </c>
      <c r="C89" s="2041"/>
      <c r="D89" s="1062">
        <f t="shared" si="22"/>
        <v>0</v>
      </c>
      <c r="E89" s="744"/>
      <c r="F89" s="1811"/>
      <c r="G89" s="1060"/>
      <c r="H89" s="1063" t="str">
        <f t="shared" si="23"/>
        <v>——</v>
      </c>
      <c r="I89" s="3364">
        <v>0.06</v>
      </c>
      <c r="J89" s="1061">
        <f t="shared" si="24"/>
        <v>0</v>
      </c>
      <c r="K89" s="1061">
        <f t="shared" si="25"/>
        <v>0</v>
      </c>
      <c r="L89" s="1061">
        <v>0</v>
      </c>
      <c r="M89" s="1061">
        <f t="shared" si="26"/>
        <v>0</v>
      </c>
      <c r="N89" s="1061">
        <f t="shared" si="26"/>
        <v>0</v>
      </c>
    </row>
    <row r="90" spans="1:37" ht="40.200000000000003" thickBot="1">
      <c r="A90" s="2135" t="s">
        <v>2070</v>
      </c>
      <c r="B90" s="2140" t="str">
        <f>估价对象房地状况!G18</f>
        <v>该园区内是否有污染型企业，绿化情况，卫生条件，整体环境状况判断</v>
      </c>
      <c r="C90" s="2041"/>
      <c r="D90" s="1062">
        <f t="shared" si="22"/>
        <v>0</v>
      </c>
      <c r="E90" s="745"/>
      <c r="F90" s="1811"/>
      <c r="G90" s="1060"/>
      <c r="H90" s="1063" t="str">
        <f t="shared" si="23"/>
        <v>——</v>
      </c>
      <c r="I90" s="3365">
        <v>0.05</v>
      </c>
      <c r="J90" s="1061">
        <f t="shared" si="24"/>
        <v>0</v>
      </c>
      <c r="K90" s="1061">
        <f t="shared" si="25"/>
        <v>0</v>
      </c>
      <c r="L90" s="1061">
        <v>0</v>
      </c>
      <c r="M90" s="1061">
        <f t="shared" si="26"/>
        <v>0</v>
      </c>
      <c r="N90" s="1061">
        <f t="shared" si="26"/>
        <v>0</v>
      </c>
    </row>
    <row r="91" spans="1:37" ht="13.8">
      <c r="A91" s="3374" t="s">
        <v>2613</v>
      </c>
      <c r="B91" s="3375">
        <f>1+E93</f>
        <v>1</v>
      </c>
      <c r="C91" s="3368"/>
      <c r="D91" s="3369"/>
      <c r="E91" s="1811"/>
      <c r="F91" s="1811"/>
      <c r="G91" s="3370"/>
      <c r="H91" s="3371"/>
      <c r="I91" s="3372"/>
      <c r="J91" s="3373"/>
      <c r="K91" s="3373"/>
      <c r="L91" s="3373"/>
      <c r="M91" s="3373"/>
      <c r="N91" s="3373"/>
    </row>
    <row r="92" spans="1:37" ht="25.2">
      <c r="A92" s="3376" t="s">
        <v>2042</v>
      </c>
      <c r="B92" s="3363"/>
      <c r="C92" s="3363" t="s">
        <v>2044</v>
      </c>
      <c r="D92" s="3363" t="s">
        <v>2045</v>
      </c>
      <c r="E92" s="3345" t="s">
        <v>2046</v>
      </c>
      <c r="F92" s="3378" t="s">
        <v>3284</v>
      </c>
      <c r="G92" s="3363" t="s">
        <v>1987</v>
      </c>
      <c r="H92" s="3385" t="s">
        <v>3288</v>
      </c>
      <c r="I92" s="3363" t="s">
        <v>2049</v>
      </c>
      <c r="J92" s="3386" t="s">
        <v>1719</v>
      </c>
      <c r="K92" s="3386" t="s">
        <v>1720</v>
      </c>
      <c r="L92" s="3386" t="s">
        <v>1721</v>
      </c>
      <c r="M92" s="3386" t="s">
        <v>1722</v>
      </c>
      <c r="N92" s="3386" t="s">
        <v>1723</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52.8">
      <c r="A94" s="3376" t="s">
        <v>2051</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2052</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2054</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36">
      <c r="A98" s="3376" t="s">
        <v>2055</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6.4">
      <c r="A99" s="3376" t="s">
        <v>2057</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6.4">
      <c r="A100" s="3376" t="s">
        <v>2058</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40.200000000000003" thickBot="1">
      <c r="A101" s="3377" t="s">
        <v>2059</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865" t="s">
        <v>3295</v>
      </c>
      <c r="B103" s="3865"/>
      <c r="C103" s="3865"/>
      <c r="D103" s="3865"/>
      <c r="E103" s="3865"/>
      <c r="F103" s="3865"/>
      <c r="G103" s="3865"/>
      <c r="H103" s="3865"/>
      <c r="I103" s="3865"/>
      <c r="J103" s="3865"/>
      <c r="K103" s="3494"/>
      <c r="L103" s="3494"/>
      <c r="M103" s="3494"/>
      <c r="N103" s="3494"/>
    </row>
    <row r="104" spans="1:14">
      <c r="A104" s="3866" t="s">
        <v>3296</v>
      </c>
      <c r="B104" s="3866" t="s">
        <v>3297</v>
      </c>
      <c r="C104" s="3388" t="s">
        <v>3298</v>
      </c>
      <c r="D104" s="3389"/>
      <c r="E104" s="3389"/>
      <c r="F104" s="3389"/>
      <c r="G104" s="3389"/>
      <c r="H104" s="3389"/>
      <c r="I104" s="3389"/>
      <c r="J104" s="3390"/>
      <c r="K104" s="3391"/>
      <c r="L104" s="3391"/>
      <c r="M104" s="3391"/>
      <c r="N104" s="3391"/>
    </row>
    <row r="105" spans="1:14">
      <c r="A105" s="3866"/>
      <c r="B105" s="3866"/>
      <c r="C105" s="3495" t="s">
        <v>1959</v>
      </c>
      <c r="D105" s="3495" t="s">
        <v>1960</v>
      </c>
      <c r="E105" s="3495" t="s">
        <v>1961</v>
      </c>
      <c r="F105" s="3495" t="s">
        <v>1962</v>
      </c>
      <c r="G105" s="3495" t="s">
        <v>1963</v>
      </c>
      <c r="H105" s="3495" t="s">
        <v>1964</v>
      </c>
      <c r="I105" s="3495" t="s">
        <v>1965</v>
      </c>
      <c r="J105" s="3495" t="s">
        <v>1966</v>
      </c>
      <c r="K105" s="3495" t="s">
        <v>1967</v>
      </c>
      <c r="L105" s="3495" t="s">
        <v>1968</v>
      </c>
      <c r="M105" s="3495" t="s">
        <v>1969</v>
      </c>
      <c r="N105" s="3495" t="s">
        <v>1970</v>
      </c>
    </row>
    <row r="106" spans="1:14">
      <c r="A106" s="3852" t="s">
        <v>3311</v>
      </c>
      <c r="B106" s="3495">
        <v>1</v>
      </c>
      <c r="C106" s="3495">
        <v>1.5206</v>
      </c>
      <c r="D106" s="3495">
        <v>1.5206</v>
      </c>
      <c r="E106" s="3495">
        <v>1.5019</v>
      </c>
      <c r="F106" s="3495">
        <v>1.5019</v>
      </c>
      <c r="G106" s="3495">
        <v>1.5019</v>
      </c>
      <c r="H106" s="3495">
        <v>1.5019</v>
      </c>
      <c r="I106" s="3495">
        <v>1.5019</v>
      </c>
      <c r="J106" s="3495">
        <v>1.5418000000000001</v>
      </c>
      <c r="K106" s="3495">
        <v>1.5418000000000001</v>
      </c>
      <c r="L106" s="3495">
        <v>1.5418000000000001</v>
      </c>
      <c r="M106" s="3495">
        <v>1.5418000000000001</v>
      </c>
      <c r="N106" s="3495">
        <v>1.5418000000000001</v>
      </c>
    </row>
    <row r="107" spans="1:14">
      <c r="A107" s="3853"/>
      <c r="B107" s="3495">
        <v>2</v>
      </c>
      <c r="C107" s="3495">
        <v>1.2072000000000001</v>
      </c>
      <c r="D107" s="3495">
        <v>1.2072000000000001</v>
      </c>
      <c r="E107" s="3495">
        <v>1.1838</v>
      </c>
      <c r="F107" s="3495">
        <v>1.1838</v>
      </c>
      <c r="G107" s="3495">
        <v>1.1838</v>
      </c>
      <c r="H107" s="3495">
        <v>1.1838</v>
      </c>
      <c r="I107" s="3495">
        <v>1.1838</v>
      </c>
      <c r="J107" s="3495">
        <v>1.1883999999999999</v>
      </c>
      <c r="K107" s="3495">
        <v>1.1883999999999999</v>
      </c>
      <c r="L107" s="3495">
        <v>1.1883999999999999</v>
      </c>
      <c r="M107" s="3495">
        <v>1.1883999999999999</v>
      </c>
      <c r="N107" s="3495">
        <v>1.1883999999999999</v>
      </c>
    </row>
    <row r="108" spans="1:14">
      <c r="A108" s="3853"/>
      <c r="B108" s="3495">
        <v>3</v>
      </c>
      <c r="C108" s="3495">
        <v>1.0430999999999999</v>
      </c>
      <c r="D108" s="3495">
        <v>1.0430999999999999</v>
      </c>
      <c r="E108" s="3495">
        <v>1.0004999999999999</v>
      </c>
      <c r="F108" s="3495">
        <v>1.0004999999999999</v>
      </c>
      <c r="G108" s="3495">
        <v>1.0004999999999999</v>
      </c>
      <c r="H108" s="3495">
        <v>1.0004999999999999</v>
      </c>
      <c r="I108" s="3495">
        <v>1.0004999999999999</v>
      </c>
      <c r="J108" s="3495">
        <v>0.96940000000000004</v>
      </c>
      <c r="K108" s="3495">
        <v>0.96940000000000004</v>
      </c>
      <c r="L108" s="3495">
        <v>0.96940000000000004</v>
      </c>
      <c r="M108" s="3495">
        <v>0.96940000000000004</v>
      </c>
      <c r="N108" s="3495">
        <v>0.96940000000000004</v>
      </c>
    </row>
    <row r="109" spans="1:14">
      <c r="A109" s="3853"/>
      <c r="B109" s="3495">
        <v>4</v>
      </c>
      <c r="C109" s="3495">
        <v>0.94389999999999996</v>
      </c>
      <c r="D109" s="3495">
        <v>0.94389999999999996</v>
      </c>
      <c r="E109" s="3495">
        <v>0.88239999999999996</v>
      </c>
      <c r="F109" s="3495">
        <v>0.88239999999999996</v>
      </c>
      <c r="G109" s="3495">
        <v>0.88239999999999996</v>
      </c>
      <c r="H109" s="3495">
        <v>0.88239999999999996</v>
      </c>
      <c r="I109" s="3495">
        <v>0.88239999999999996</v>
      </c>
      <c r="J109" s="3495">
        <v>0.82299999999999995</v>
      </c>
      <c r="K109" s="3495">
        <v>0.82299999999999995</v>
      </c>
      <c r="L109" s="3495">
        <v>0.82299999999999995</v>
      </c>
      <c r="M109" s="3495">
        <v>0.82299999999999995</v>
      </c>
      <c r="N109" s="3495">
        <v>0.82299999999999995</v>
      </c>
    </row>
    <row r="110" spans="1:14">
      <c r="A110" s="3853"/>
      <c r="B110" s="3495">
        <v>5</v>
      </c>
      <c r="C110" s="3495">
        <v>0.89959999999999996</v>
      </c>
      <c r="D110" s="3495">
        <v>0.89959999999999996</v>
      </c>
      <c r="E110" s="3495">
        <v>0.84799999999999998</v>
      </c>
      <c r="F110" s="3495">
        <v>0.84799999999999998</v>
      </c>
      <c r="G110" s="3495">
        <v>0.84799999999999998</v>
      </c>
      <c r="H110" s="3495">
        <v>0.84799999999999998</v>
      </c>
      <c r="I110" s="3495">
        <v>0.84799999999999998</v>
      </c>
      <c r="J110" s="3495">
        <v>0.74980000000000002</v>
      </c>
      <c r="K110" s="3495">
        <v>0.74980000000000002</v>
      </c>
      <c r="L110" s="3495">
        <v>0.74980000000000002</v>
      </c>
      <c r="M110" s="3495">
        <v>0.74980000000000002</v>
      </c>
      <c r="N110" s="3495">
        <v>0.74980000000000002</v>
      </c>
    </row>
    <row r="111" spans="1:14">
      <c r="A111" s="3853"/>
      <c r="B111" s="3495" t="s">
        <v>3269</v>
      </c>
      <c r="C111" s="3393">
        <f>$I$3</f>
        <v>3</v>
      </c>
      <c r="D111" s="3393">
        <f t="shared" ref="D111:M111" si="32">$I$3</f>
        <v>3</v>
      </c>
      <c r="E111" s="3393">
        <f t="shared" si="32"/>
        <v>3</v>
      </c>
      <c r="F111" s="3393">
        <f t="shared" si="32"/>
        <v>3</v>
      </c>
      <c r="G111" s="3393">
        <f t="shared" si="32"/>
        <v>3</v>
      </c>
      <c r="H111" s="3393">
        <f t="shared" si="32"/>
        <v>3</v>
      </c>
      <c r="I111" s="3393">
        <f t="shared" si="32"/>
        <v>3</v>
      </c>
      <c r="J111" s="3393">
        <f t="shared" si="32"/>
        <v>3</v>
      </c>
      <c r="K111" s="3393">
        <f t="shared" si="32"/>
        <v>3</v>
      </c>
      <c r="L111" s="3393">
        <f t="shared" si="32"/>
        <v>3</v>
      </c>
      <c r="M111" s="3393">
        <f t="shared" si="32"/>
        <v>3</v>
      </c>
      <c r="N111" s="3393">
        <f>$I$3</f>
        <v>3</v>
      </c>
    </row>
    <row r="112" spans="1:14">
      <c r="A112" s="3854"/>
      <c r="B112" s="3495">
        <v>6</v>
      </c>
      <c r="C112" s="3385">
        <f>(-0.5556*(C111^2)-0.2719*C111+8944)*(10^(-4))</f>
        <v>0.89381839000000007</v>
      </c>
      <c r="D112" s="3385">
        <f>(-0.5556*(D111^2)-0.2719*D111+8944)*(10^(-4))</f>
        <v>0.89381839000000007</v>
      </c>
      <c r="E112" s="3385">
        <f>(-0.7912*(E111^2)-11.3794*E111+8482)*(10^(-4))</f>
        <v>0.84407410000000005</v>
      </c>
      <c r="F112" s="3385">
        <f t="shared" ref="F112:I112" si="33">(-0.7912*(F111^2)-11.3794*F111+8482)*(10^(-4))</f>
        <v>0.84407410000000005</v>
      </c>
      <c r="G112" s="3385">
        <f t="shared" si="33"/>
        <v>0.84407410000000005</v>
      </c>
      <c r="H112" s="3385">
        <f t="shared" si="33"/>
        <v>0.84407410000000005</v>
      </c>
      <c r="I112" s="3385">
        <f t="shared" si="33"/>
        <v>0.84407410000000005</v>
      </c>
      <c r="J112" s="3385">
        <f>(-0.989*(J111^2)-63.78*J111+7771)*(10^(-4))</f>
        <v>0.75707590000000002</v>
      </c>
      <c r="K112" s="3385">
        <f t="shared" ref="K112:N112" si="34">(-0.989*(K111^2)-63.78*K111+7771)*(10^(-4))</f>
        <v>0.75707590000000002</v>
      </c>
      <c r="L112" s="3385">
        <f t="shared" si="34"/>
        <v>0.75707590000000002</v>
      </c>
      <c r="M112" s="3385">
        <f t="shared" si="34"/>
        <v>0.75707590000000002</v>
      </c>
      <c r="N112" s="3385">
        <f t="shared" si="34"/>
        <v>0.75707590000000002</v>
      </c>
    </row>
    <row r="113" spans="1:14">
      <c r="A113" s="3855" t="s">
        <v>3312</v>
      </c>
      <c r="B113" s="3855"/>
      <c r="C113" s="3855"/>
      <c r="D113" s="3855"/>
      <c r="E113" s="3855"/>
      <c r="F113" s="3855"/>
      <c r="G113" s="3855"/>
      <c r="H113" s="3855"/>
      <c r="I113" s="3855"/>
      <c r="J113" s="3855"/>
      <c r="K113" s="3493"/>
      <c r="L113" s="3493"/>
      <c r="M113" s="3493"/>
      <c r="N113" s="3493"/>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3313</v>
      </c>
      <c r="B116" s="3413">
        <f>G3</f>
        <v>6.39</v>
      </c>
      <c r="C116" s="3397" t="s">
        <v>3314</v>
      </c>
      <c r="D116" s="3398">
        <f>SUMPRODUCT((A118:A122=F116)*(B117:M117=H116)*B118:M122)</f>
        <v>0.85950000000000004</v>
      </c>
      <c r="E116" s="1997" t="s">
        <v>1934</v>
      </c>
      <c r="F116" s="3543" t="str">
        <f>E2</f>
        <v>商业</v>
      </c>
      <c r="G116" s="1997" t="s">
        <v>1935</v>
      </c>
      <c r="H116" s="3543" t="str">
        <f>G2</f>
        <v>三级</v>
      </c>
      <c r="I116" s="1997"/>
      <c r="J116" s="3400"/>
      <c r="K116" s="3400"/>
      <c r="L116" s="3400"/>
      <c r="M116" s="3400"/>
      <c r="N116" s="3395"/>
    </row>
    <row r="117" spans="1:14">
      <c r="A117" s="3401"/>
      <c r="B117" s="3544" t="s">
        <v>3317</v>
      </c>
      <c r="C117" s="3544" t="s">
        <v>3318</v>
      </c>
      <c r="D117" s="3544" t="s">
        <v>3319</v>
      </c>
      <c r="E117" s="3545" t="s">
        <v>3320</v>
      </c>
      <c r="F117" s="3545" t="s">
        <v>3321</v>
      </c>
      <c r="G117" s="3545" t="s">
        <v>3322</v>
      </c>
      <c r="H117" s="3546" t="s">
        <v>3323</v>
      </c>
      <c r="I117" s="3546" t="s">
        <v>3324</v>
      </c>
      <c r="J117" s="3547" t="s">
        <v>3325</v>
      </c>
      <c r="K117" s="3547" t="s">
        <v>3326</v>
      </c>
      <c r="L117" s="3547" t="s">
        <v>3327</v>
      </c>
      <c r="M117" s="3548" t="s">
        <v>3328</v>
      </c>
      <c r="N117" s="3395"/>
    </row>
    <row r="118" spans="1:14">
      <c r="A118" s="3407" t="s">
        <v>1988</v>
      </c>
      <c r="B118" s="3385">
        <f>ROUND(0.9968-0.011*B116,4)</f>
        <v>0.92649999999999999</v>
      </c>
      <c r="C118" s="3385">
        <f>B118</f>
        <v>0.92649999999999999</v>
      </c>
      <c r="D118" s="3385">
        <f>ROUND(0.949-0.014*B116,4)</f>
        <v>0.85950000000000004</v>
      </c>
      <c r="E118" s="3385">
        <f>D118</f>
        <v>0.85950000000000004</v>
      </c>
      <c r="F118" s="3385">
        <f>E118</f>
        <v>0.85950000000000004</v>
      </c>
      <c r="G118" s="3385">
        <f>F118</f>
        <v>0.85950000000000004</v>
      </c>
      <c r="H118" s="3385">
        <f>G118</f>
        <v>0.85950000000000004</v>
      </c>
      <c r="I118" s="3385">
        <f>ROUND(0.8486-0.018*B116,4)</f>
        <v>0.73360000000000003</v>
      </c>
      <c r="J118" s="3385">
        <f t="shared" ref="J118:M122" si="35">I118</f>
        <v>0.73360000000000003</v>
      </c>
      <c r="K118" s="3385">
        <f t="shared" si="35"/>
        <v>0.73360000000000003</v>
      </c>
      <c r="L118" s="3385">
        <f t="shared" si="35"/>
        <v>0.73360000000000003</v>
      </c>
      <c r="M118" s="3408">
        <f t="shared" si="35"/>
        <v>0.73360000000000003</v>
      </c>
      <c r="N118" s="3395"/>
    </row>
    <row r="119" spans="1:14">
      <c r="A119" s="3407" t="s">
        <v>1989</v>
      </c>
      <c r="B119" s="3385">
        <f>ROUND(0.993-0.0112*B116,4)</f>
        <v>0.9214</v>
      </c>
      <c r="C119" s="3385">
        <f>B119</f>
        <v>0.9214</v>
      </c>
      <c r="D119" s="3385">
        <f>ROUND(0.9415-0.0142*B116,4)</f>
        <v>0.8508</v>
      </c>
      <c r="E119" s="3385">
        <f t="shared" ref="E119:H120" si="36">D119</f>
        <v>0.8508</v>
      </c>
      <c r="F119" s="3385">
        <f t="shared" si="36"/>
        <v>0.8508</v>
      </c>
      <c r="G119" s="3385">
        <f t="shared" si="36"/>
        <v>0.8508</v>
      </c>
      <c r="H119" s="3385">
        <f t="shared" si="36"/>
        <v>0.8508</v>
      </c>
      <c r="I119" s="3385">
        <f>ROUND(0.838-0.0182*B116,4)</f>
        <v>0.72170000000000001</v>
      </c>
      <c r="J119" s="3385">
        <f t="shared" si="35"/>
        <v>0.72170000000000001</v>
      </c>
      <c r="K119" s="3385">
        <f t="shared" si="35"/>
        <v>0.72170000000000001</v>
      </c>
      <c r="L119" s="3385">
        <f t="shared" si="35"/>
        <v>0.72170000000000001</v>
      </c>
      <c r="M119" s="3408">
        <f t="shared" si="35"/>
        <v>0.72170000000000001</v>
      </c>
      <c r="N119" s="3395"/>
    </row>
    <row r="120" spans="1:14">
      <c r="A120" s="3407" t="s">
        <v>1990</v>
      </c>
      <c r="B120" s="3385">
        <f>ROUND(0.9448-0.0115*B116,4)</f>
        <v>0.87129999999999996</v>
      </c>
      <c r="C120" s="3385">
        <f>B120</f>
        <v>0.87129999999999996</v>
      </c>
      <c r="D120" s="3385">
        <f>ROUND(0.937-0.0145*B116,4)</f>
        <v>0.84430000000000005</v>
      </c>
      <c r="E120" s="3385">
        <f t="shared" si="36"/>
        <v>0.84430000000000005</v>
      </c>
      <c r="F120" s="3385">
        <f t="shared" si="36"/>
        <v>0.84430000000000005</v>
      </c>
      <c r="G120" s="3385">
        <f t="shared" si="36"/>
        <v>0.84430000000000005</v>
      </c>
      <c r="H120" s="3385">
        <f t="shared" si="36"/>
        <v>0.84430000000000005</v>
      </c>
      <c r="I120" s="3385">
        <f>ROUND(0.7965-0.0185*B116,4)</f>
        <v>0.67830000000000001</v>
      </c>
      <c r="J120" s="3385">
        <f t="shared" si="35"/>
        <v>0.67830000000000001</v>
      </c>
      <c r="K120" s="3385">
        <f t="shared" si="35"/>
        <v>0.67830000000000001</v>
      </c>
      <c r="L120" s="3385">
        <f t="shared" si="35"/>
        <v>0.67830000000000001</v>
      </c>
      <c r="M120" s="3408">
        <f t="shared" si="35"/>
        <v>0.67830000000000001</v>
      </c>
      <c r="N120" s="3395"/>
    </row>
    <row r="121" spans="1:14" ht="13.8" thickBot="1">
      <c r="A121" s="3409" t="s">
        <v>1991</v>
      </c>
      <c r="B121" s="3410">
        <f>ROUND(0.7836-0.012*B116,4)</f>
        <v>0.70689999999999997</v>
      </c>
      <c r="C121" s="3410">
        <f>B121</f>
        <v>0.70689999999999997</v>
      </c>
      <c r="D121" s="3410">
        <f>ROUND(0.753-0.015*B116,4)</f>
        <v>0.65720000000000001</v>
      </c>
      <c r="E121" s="3410">
        <f>D121</f>
        <v>0.65720000000000001</v>
      </c>
      <c r="F121" s="3410">
        <f>E121</f>
        <v>0.65720000000000001</v>
      </c>
      <c r="G121" s="3410">
        <f>ROUND(0.6612-0.018*B116,4)</f>
        <v>0.54620000000000002</v>
      </c>
      <c r="H121" s="3410">
        <f>G121</f>
        <v>0.54620000000000002</v>
      </c>
      <c r="I121" s="3410">
        <f>ROUND(0.5905-0.019*B116,4)</f>
        <v>0.46910000000000002</v>
      </c>
      <c r="J121" s="3410">
        <f t="shared" si="35"/>
        <v>0.46910000000000002</v>
      </c>
      <c r="K121" s="3410">
        <f t="shared" si="35"/>
        <v>0.46910000000000002</v>
      </c>
      <c r="L121" s="3410">
        <f t="shared" si="35"/>
        <v>0.46910000000000002</v>
      </c>
      <c r="M121" s="3411">
        <f t="shared" si="35"/>
        <v>0.46910000000000002</v>
      </c>
      <c r="N121" s="3395"/>
    </row>
    <row r="122" spans="1:14">
      <c r="A122" s="3412" t="s">
        <v>2613</v>
      </c>
      <c r="B122" s="3385">
        <f>ROUND(0.9404-0.0106*B116,4)</f>
        <v>0.87270000000000003</v>
      </c>
      <c r="C122" s="3385">
        <f>B122</f>
        <v>0.87270000000000003</v>
      </c>
      <c r="D122" s="3385">
        <f>ROUND(0.8955-0.0135*B116,4)</f>
        <v>0.80920000000000003</v>
      </c>
      <c r="E122" s="3385">
        <f t="shared" ref="E122:H122" si="37">D122</f>
        <v>0.80920000000000003</v>
      </c>
      <c r="F122" s="3385">
        <f t="shared" si="37"/>
        <v>0.80920000000000003</v>
      </c>
      <c r="G122" s="3385">
        <f t="shared" si="37"/>
        <v>0.80920000000000003</v>
      </c>
      <c r="H122" s="3385">
        <f t="shared" si="37"/>
        <v>0.80920000000000003</v>
      </c>
      <c r="I122" s="3385">
        <f>ROUND(0.7632-0.0166*B116,4)</f>
        <v>0.65710000000000002</v>
      </c>
      <c r="J122" s="3385">
        <f t="shared" si="35"/>
        <v>0.65710000000000002</v>
      </c>
      <c r="K122" s="3385">
        <f t="shared" si="35"/>
        <v>0.65710000000000002</v>
      </c>
      <c r="L122" s="3385">
        <f t="shared" si="35"/>
        <v>0.65710000000000002</v>
      </c>
      <c r="M122" s="3408">
        <f t="shared" si="35"/>
        <v>0.65710000000000002</v>
      </c>
      <c r="N122" s="3395"/>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7" sqref="S37"/>
    </sheetView>
  </sheetViews>
  <sheetFormatPr defaultRowHeight="14.4"/>
  <sheetData/>
  <phoneticPr fontId="134" type="noConversion"/>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9" workbookViewId="0"/>
  </sheetViews>
  <sheetFormatPr defaultRowHeight="14.4"/>
  <sheetData/>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4" customWidth="1"/>
    <col min="2" max="3" width="22.33203125" style="1474" customWidth="1"/>
    <col min="4" max="4" width="23" style="1474" customWidth="1"/>
    <col min="5" max="16384" width="9" style="1474"/>
  </cols>
  <sheetData>
    <row r="1" spans="1:4" ht="17.399999999999999">
      <c r="A1" s="3588" t="s">
        <v>948</v>
      </c>
      <c r="B1" s="3588"/>
      <c r="C1" s="3588"/>
      <c r="D1" s="3588"/>
    </row>
    <row r="2" spans="1:4" ht="17.399999999999999">
      <c r="A2" s="3589" t="s">
        <v>932</v>
      </c>
      <c r="B2" s="3589"/>
      <c r="C2" s="3589"/>
      <c r="D2" s="3589"/>
    </row>
    <row r="3" spans="1:4" ht="17.399999999999999">
      <c r="A3" s="1506" t="s">
        <v>933</v>
      </c>
      <c r="B3" s="1506" t="s">
        <v>934</v>
      </c>
      <c r="C3" s="1506" t="s">
        <v>935</v>
      </c>
      <c r="D3" s="1506" t="s">
        <v>936</v>
      </c>
    </row>
    <row r="4" spans="1:4" ht="56.25" customHeight="1">
      <c r="A4" s="1507" t="str">
        <f>项目基本情况!B4</f>
        <v>崔锴</v>
      </c>
      <c r="B4" s="1508">
        <f ca="1">项目基本情况!C4</f>
        <v>1120100036</v>
      </c>
      <c r="C4" s="1509"/>
      <c r="D4" s="1510" t="s">
        <v>937</v>
      </c>
    </row>
    <row r="5" spans="1:4" ht="56.25" customHeight="1">
      <c r="A5" s="1507" t="str">
        <f>项目基本情况!D4</f>
        <v>郑燚</v>
      </c>
      <c r="B5" s="1508">
        <f ca="1">项目基本情况!E4</f>
        <v>1120070131</v>
      </c>
      <c r="C5" s="1511"/>
      <c r="D5" s="1510" t="s">
        <v>937</v>
      </c>
    </row>
    <row r="6" spans="1:4" ht="17.399999999999999">
      <c r="A6" s="3589" t="s">
        <v>938</v>
      </c>
      <c r="B6" s="3589"/>
      <c r="C6" s="3589"/>
      <c r="D6" s="3589"/>
    </row>
    <row r="7" spans="1:4" ht="17.399999999999999">
      <c r="A7" s="1506" t="s">
        <v>933</v>
      </c>
      <c r="B7" s="1508" t="s">
        <v>939</v>
      </c>
      <c r="C7" s="1506" t="s">
        <v>935</v>
      </c>
      <c r="D7" s="1506" t="s">
        <v>936</v>
      </c>
    </row>
    <row r="8" spans="1:4" ht="56.25" customHeight="1">
      <c r="A8" s="1512" t="s">
        <v>389</v>
      </c>
      <c r="B8" s="1512" t="s">
        <v>0</v>
      </c>
      <c r="C8" s="1509"/>
      <c r="D8" s="1510" t="s">
        <v>937</v>
      </c>
    </row>
    <row r="9" spans="1:4">
      <c r="A9" s="675"/>
      <c r="B9" s="675"/>
      <c r="C9" s="675"/>
      <c r="D9" s="675"/>
    </row>
    <row r="10" spans="1:4" ht="17.399999999999999">
      <c r="A10" s="1513" t="s">
        <v>940</v>
      </c>
      <c r="B10" s="675"/>
      <c r="C10" s="675"/>
      <c r="D10" s="675"/>
    </row>
    <row r="11" spans="1:4" ht="30" customHeight="1">
      <c r="A11" s="3590" t="s">
        <v>941</v>
      </c>
      <c r="B11" s="3582"/>
      <c r="C11" s="3582"/>
      <c r="D11" s="3582"/>
    </row>
    <row r="12" spans="1:4" ht="15.6">
      <c r="A12" s="35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87"/>
      <c r="C12" s="3587"/>
      <c r="D12" s="3587"/>
    </row>
    <row r="13" spans="1:4" ht="30" customHeight="1">
      <c r="A13" s="35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87"/>
      <c r="C13" s="3587"/>
      <c r="D13" s="3587"/>
    </row>
    <row r="14" spans="1:4" ht="15.75" customHeight="1">
      <c r="A14" s="3582" t="str">
        <f>IF(项目基本情况!B8="抵押","4.本次评估估价师所知悉的法定优先受偿款情况说明如下：","——")</f>
        <v>4.本次评估估价师所知悉的法定优先受偿款情况说明如下：</v>
      </c>
      <c r="B14" s="3587"/>
      <c r="C14" s="3587"/>
      <c r="D14" s="3587"/>
    </row>
    <row r="15" spans="1:4" ht="42" customHeight="1">
      <c r="A15" s="35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82"/>
      <c r="C15" s="3582"/>
      <c r="D15" s="3582"/>
    </row>
    <row r="16" spans="1:4" ht="30" customHeight="1">
      <c r="A16" s="3584" t="s">
        <v>942</v>
      </c>
      <c r="B16" s="3584"/>
      <c r="C16" s="3584"/>
      <c r="D16" s="3584"/>
    </row>
    <row r="17" spans="1:4" ht="144" customHeight="1">
      <c r="A17" s="3584" t="s">
        <v>943</v>
      </c>
      <c r="B17" s="3584"/>
      <c r="C17" s="3584"/>
      <c r="D17" s="3584"/>
    </row>
    <row r="18" spans="1:4" ht="15.75" customHeight="1">
      <c r="A18" s="3582" t="str">
        <f>IF(项目基本情况!B8="抵押",结果表!K120,"——")</f>
        <v>故，本次评估不存在估价师知悉的法定优先受偿款</v>
      </c>
      <c r="B18" s="3582"/>
      <c r="C18" s="3582"/>
      <c r="D18" s="3582"/>
    </row>
    <row r="19" spans="1:4" ht="46.5" customHeight="1">
      <c r="A19" s="35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82"/>
      <c r="C19" s="3582"/>
      <c r="D19" s="3582"/>
    </row>
    <row r="20" spans="1:4" ht="57.75" customHeight="1">
      <c r="A20" s="35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82"/>
      <c r="C20" s="3582"/>
      <c r="D20" s="3582"/>
    </row>
    <row r="21" spans="1:4" ht="57.75" customHeight="1">
      <c r="A21" s="35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85"/>
      <c r="C21" s="3585"/>
      <c r="D21" s="3585"/>
    </row>
    <row r="22" spans="1:4" ht="18.75" customHeight="1">
      <c r="A22" s="3586" t="s">
        <v>944</v>
      </c>
      <c r="B22" s="3586"/>
      <c r="C22" s="3586"/>
      <c r="D22" s="3586"/>
    </row>
    <row r="23" spans="1:4">
      <c r="A23" s="1514"/>
      <c r="B23" s="1486"/>
      <c r="C23" s="1486"/>
      <c r="D23" s="1486"/>
    </row>
    <row r="24" spans="1:4">
      <c r="A24" s="1514"/>
      <c r="B24" s="1486"/>
      <c r="C24" s="1486"/>
      <c r="D24" s="1486"/>
    </row>
    <row r="25" spans="1:4" ht="17.399999999999999">
      <c r="A25" s="1515" t="s">
        <v>945</v>
      </c>
    </row>
    <row r="26" spans="1:4" ht="17.399999999999999">
      <c r="A26" s="1484"/>
    </row>
    <row r="27" spans="1:4" ht="17.399999999999999">
      <c r="A27" s="1484" t="s">
        <v>946</v>
      </c>
    </row>
    <row r="30" spans="1:4" ht="17.399999999999999">
      <c r="D30" s="1515" t="s">
        <v>947</v>
      </c>
    </row>
    <row r="31" spans="1:4" ht="13.5" customHeight="1">
      <c r="C31" s="3583">
        <v>42551</v>
      </c>
      <c r="D31" s="35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2" customWidth="1"/>
    <col min="3" max="10" width="12.44140625" style="1472" customWidth="1"/>
    <col min="11" max="16384" width="9" style="1472"/>
  </cols>
  <sheetData>
    <row r="1" spans="1:10" ht="17.399999999999999">
      <c r="A1" s="1505" t="s">
        <v>390</v>
      </c>
      <c r="B1" s="1516"/>
      <c r="C1" s="1516"/>
      <c r="D1" s="1516"/>
      <c r="E1" s="1516"/>
      <c r="F1" s="1516"/>
      <c r="G1" s="1516"/>
      <c r="H1" s="1516"/>
      <c r="I1" s="1516"/>
      <c r="J1" s="1516"/>
    </row>
    <row r="2" spans="1:10" ht="17.399999999999999">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2" customWidth="1"/>
    <col min="2" max="16384" width="14.44140625" style="1504"/>
  </cols>
  <sheetData>
    <row r="1" spans="1:7" s="1519" customFormat="1" ht="17.399999999999999">
      <c r="A1" s="1518" t="s">
        <v>949</v>
      </c>
    </row>
    <row r="3" spans="1:7">
      <c r="A3" s="1520" t="s">
        <v>55</v>
      </c>
      <c r="B3" s="1504" t="s">
        <v>950</v>
      </c>
      <c r="G3" s="1521"/>
    </row>
    <row r="4" spans="1:7">
      <c r="G4" s="1521"/>
    </row>
    <row r="5" spans="1:7">
      <c r="A5" s="1523" t="s">
        <v>46</v>
      </c>
      <c r="B5" s="1504" t="s">
        <v>951</v>
      </c>
      <c r="G5" s="1521"/>
    </row>
    <row r="6" spans="1:7">
      <c r="G6" s="1521"/>
    </row>
    <row r="7" spans="1:7">
      <c r="A7" s="1524" t="s">
        <v>108</v>
      </c>
      <c r="B7" s="1504" t="s">
        <v>952</v>
      </c>
      <c r="G7" s="1521"/>
    </row>
    <row r="8" spans="1:7">
      <c r="G8" s="1521"/>
    </row>
    <row r="9" spans="1:7">
      <c r="A9" s="1525" t="s">
        <v>47</v>
      </c>
      <c r="B9" s="1504" t="s">
        <v>953</v>
      </c>
    </row>
    <row r="11" spans="1:7">
      <c r="A11" s="1526" t="s">
        <v>48</v>
      </c>
      <c r="B11" s="1527" t="s">
        <v>45</v>
      </c>
    </row>
    <row r="13" spans="1:7">
      <c r="A13" s="1528" t="s">
        <v>954</v>
      </c>
    </row>
    <row r="15" spans="1:7" ht="14.4">
      <c r="A15" s="3596" t="s">
        <v>955</v>
      </c>
      <c r="B15" s="3591" t="s">
        <v>109</v>
      </c>
      <c r="C15" s="3592"/>
    </row>
    <row r="16" spans="1:7" ht="14.4">
      <c r="A16" s="3597"/>
      <c r="B16" s="3591" t="s">
        <v>42</v>
      </c>
      <c r="C16" s="3592"/>
    </row>
    <row r="17" spans="1:3" ht="14.4">
      <c r="A17" s="3597"/>
      <c r="B17" s="3594" t="s">
        <v>956</v>
      </c>
      <c r="C17" s="1529" t="s">
        <v>955</v>
      </c>
    </row>
    <row r="18" spans="1:3" ht="14.4">
      <c r="A18" s="3597"/>
      <c r="B18" s="3594"/>
      <c r="C18" s="1529" t="s">
        <v>957</v>
      </c>
    </row>
    <row r="19" spans="1:3" ht="14.4">
      <c r="A19" s="3597"/>
      <c r="B19" s="3594"/>
      <c r="C19" s="1529" t="s">
        <v>958</v>
      </c>
    </row>
    <row r="20" spans="1:3" ht="14.4">
      <c r="A20" s="3598"/>
      <c r="B20" s="3593" t="s">
        <v>959</v>
      </c>
      <c r="C20" s="3592"/>
    </row>
    <row r="21" spans="1:3" ht="14.4">
      <c r="A21" s="1530" t="s">
        <v>960</v>
      </c>
      <c r="B21" s="1531"/>
      <c r="C21" s="1532"/>
    </row>
    <row r="22" spans="1:3" ht="14.4">
      <c r="A22" s="3595" t="s">
        <v>961</v>
      </c>
      <c r="B22" s="3593" t="s">
        <v>962</v>
      </c>
      <c r="C22" s="3592"/>
    </row>
    <row r="23" spans="1:3" ht="14.4">
      <c r="A23" s="3595"/>
      <c r="B23" s="3593" t="s">
        <v>963</v>
      </c>
      <c r="C23" s="3592"/>
    </row>
    <row r="24" spans="1:3" ht="14.4">
      <c r="A24" s="3595"/>
      <c r="B24" s="3593" t="s">
        <v>964</v>
      </c>
      <c r="C24" s="3592"/>
    </row>
    <row r="25" spans="1:3" ht="14.4">
      <c r="A25" s="3595"/>
      <c r="B25" s="3594" t="s">
        <v>965</v>
      </c>
      <c r="C25" s="1529" t="s">
        <v>966</v>
      </c>
    </row>
    <row r="26" spans="1:3" ht="14.4">
      <c r="A26" s="3595"/>
      <c r="B26" s="3594"/>
      <c r="C26" s="1529" t="s">
        <v>967</v>
      </c>
    </row>
    <row r="27" spans="1:3" ht="14.4">
      <c r="A27" s="3595"/>
      <c r="B27" s="3594"/>
      <c r="C27" s="1529" t="s">
        <v>968</v>
      </c>
    </row>
    <row r="28" spans="1:3" ht="14.4">
      <c r="A28" s="3595"/>
      <c r="B28" s="3594"/>
      <c r="C28" s="1529" t="s">
        <v>969</v>
      </c>
    </row>
    <row r="29" spans="1:3" ht="14.4">
      <c r="A29" s="3595"/>
      <c r="B29" s="3594"/>
      <c r="C29" s="1529" t="s">
        <v>970</v>
      </c>
    </row>
    <row r="30" spans="1:3" ht="14.4">
      <c r="A30" s="3595"/>
      <c r="B30" s="3594"/>
      <c r="C30" s="1529" t="s">
        <v>971</v>
      </c>
    </row>
    <row r="31" spans="1:3" ht="14.4">
      <c r="A31" s="3595"/>
      <c r="B31" s="3594"/>
      <c r="C31" s="1529" t="s">
        <v>972</v>
      </c>
    </row>
    <row r="32" spans="1:3" ht="14.4">
      <c r="A32" s="3595"/>
      <c r="B32" s="3594"/>
      <c r="C32" s="1529" t="s">
        <v>973</v>
      </c>
    </row>
    <row r="33" spans="1:3" ht="14.4">
      <c r="A33" s="3595"/>
      <c r="B33" s="3594"/>
      <c r="C33" s="1529" t="s">
        <v>974</v>
      </c>
    </row>
    <row r="34" spans="1:3">
      <c r="A34" s="1533" t="s">
        <v>49</v>
      </c>
    </row>
    <row r="37" spans="1:3">
      <c r="A37" s="1533" t="s">
        <v>975</v>
      </c>
    </row>
    <row r="38" spans="1:3" ht="14.4">
      <c r="A38" s="1534" t="s">
        <v>50</v>
      </c>
    </row>
    <row r="39" spans="1:3" ht="14.4">
      <c r="A39" s="1534" t="s">
        <v>51</v>
      </c>
    </row>
    <row r="40" spans="1:3" ht="14.4">
      <c r="A40" s="1534" t="s">
        <v>52</v>
      </c>
    </row>
    <row r="41" spans="1:3" ht="14.4">
      <c r="A41" s="1535" t="s">
        <v>53</v>
      </c>
    </row>
    <row r="42" spans="1:3" ht="14.4">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4" customWidth="1"/>
    <col min="2" max="2" width="38.6640625" style="2334" customWidth="1"/>
    <col min="3" max="3" width="26" style="2334" customWidth="1"/>
    <col min="4" max="4" width="35" style="2334" hidden="1" customWidth="1"/>
    <col min="5" max="5" width="30.109375" style="2334" customWidth="1"/>
    <col min="6" max="6" width="35.44140625" style="2334" customWidth="1"/>
    <col min="7" max="7" width="31" style="2334" customWidth="1"/>
    <col min="8" max="8" width="37.44140625" style="2334" hidden="1" customWidth="1"/>
    <col min="9" max="16384" width="22.6640625" style="2334"/>
  </cols>
  <sheetData>
    <row r="1" spans="1:8" ht="24" customHeight="1">
      <c r="A1" s="2333"/>
      <c r="B1" s="2333"/>
      <c r="C1" s="2333"/>
      <c r="D1" s="2333"/>
      <c r="E1" s="2333"/>
      <c r="F1" s="2333"/>
      <c r="G1" s="2333"/>
      <c r="H1" s="2333"/>
    </row>
    <row r="2" spans="1:8" ht="24" customHeight="1">
      <c r="A2" s="2335" t="s">
        <v>2136</v>
      </c>
      <c r="B2" s="2336">
        <f ca="1">TODAY()</f>
        <v>45299</v>
      </c>
      <c r="C2" s="2337" t="s">
        <v>2137</v>
      </c>
      <c r="D2" s="2337"/>
      <c r="E2" s="2337"/>
      <c r="F2" s="2333"/>
      <c r="G2" s="2333"/>
      <c r="H2" s="2333"/>
    </row>
    <row r="3" spans="1:8" ht="24" customHeight="1">
      <c r="A3" s="2338" t="s">
        <v>2138</v>
      </c>
      <c r="B3" s="2339" t="s">
        <v>2139</v>
      </c>
      <c r="C3" s="2339" t="s">
        <v>2140</v>
      </c>
      <c r="D3" s="2340" t="s">
        <v>2141</v>
      </c>
      <c r="E3" s="2341" t="s">
        <v>2142</v>
      </c>
      <c r="F3" s="1301" t="s">
        <v>2143</v>
      </c>
      <c r="G3" s="2339" t="s">
        <v>2140</v>
      </c>
      <c r="H3" s="2340" t="s">
        <v>2144</v>
      </c>
    </row>
    <row r="4" spans="1:8" ht="24" customHeight="1">
      <c r="A4" s="1301" t="s">
        <v>2145</v>
      </c>
      <c r="B4" s="1301">
        <f ca="1">IF(C4&lt;B2,"已过期",1119970066)</f>
        <v>1119970066</v>
      </c>
      <c r="C4" s="2342">
        <v>45937</v>
      </c>
      <c r="D4" s="2343" t="str">
        <f ca="1">A4&amp;"（注册号："&amp;B4&amp;"）"</f>
        <v>梁津（注册号：1119970066）</v>
      </c>
      <c r="E4" s="2344" t="s">
        <v>2145</v>
      </c>
      <c r="F4" s="1301">
        <f ca="1">IF(G4&lt;B2,"已过期",96010014)</f>
        <v>96010014</v>
      </c>
      <c r="G4" s="2345">
        <v>47118</v>
      </c>
      <c r="H4" s="2346" t="str">
        <f ca="1">E4&amp;"（注册号："&amp;F4&amp;"）"</f>
        <v>梁津（注册号：96010014）</v>
      </c>
    </row>
    <row r="5" spans="1:8" ht="24" customHeight="1">
      <c r="A5" s="1301" t="s">
        <v>2146</v>
      </c>
      <c r="B5" s="1301">
        <f ca="1">IF(C5&lt;B2,"已过期",1119970111)</f>
        <v>1119970111</v>
      </c>
      <c r="C5" s="2342">
        <v>45937</v>
      </c>
      <c r="D5" s="2343" t="str">
        <f t="shared" ref="D5:D15" ca="1" si="0">A5&amp;"（注册号："&amp;B5&amp;"）"</f>
        <v>叶凌（注册号：1119970111）</v>
      </c>
      <c r="E5" s="2344" t="s">
        <v>2146</v>
      </c>
      <c r="F5" s="1301">
        <f ca="1">IF(G5&lt;B2,"已过期",94010078)</f>
        <v>94010078</v>
      </c>
      <c r="G5" s="2345">
        <v>46387</v>
      </c>
      <c r="H5" s="2346" t="str">
        <f t="shared" ref="H5:H16" ca="1" si="1">E5&amp;"（注册号："&amp;F5&amp;"）"</f>
        <v>叶凌（注册号：94010078）</v>
      </c>
    </row>
    <row r="6" spans="1:8" ht="24" customHeight="1">
      <c r="A6" s="1301" t="s">
        <v>2147</v>
      </c>
      <c r="B6" s="1301">
        <f ca="1">IF(C6&lt;B2,"已过期",1120050019)</f>
        <v>1120050019</v>
      </c>
      <c r="C6" s="2342">
        <v>45410</v>
      </c>
      <c r="D6" s="2343" t="str">
        <f t="shared" ca="1" si="0"/>
        <v>王鹏（注册号：1120050019）</v>
      </c>
      <c r="E6" s="2344" t="s">
        <v>2147</v>
      </c>
      <c r="F6" s="1301">
        <f ca="1">IF(G6&lt;B2,"已过期",2002110030)</f>
        <v>2002110030</v>
      </c>
      <c r="G6" s="2345">
        <v>46387</v>
      </c>
      <c r="H6" s="2346" t="str">
        <f t="shared" ca="1" si="1"/>
        <v>王鹏（注册号：2002110030）</v>
      </c>
    </row>
    <row r="7" spans="1:8" ht="24" customHeight="1">
      <c r="A7" s="1301" t="s">
        <v>2148</v>
      </c>
      <c r="B7" s="1301">
        <f ca="1">IF(C7&lt;B2,"已过期",1120000080)</f>
        <v>1120000080</v>
      </c>
      <c r="C7" s="2342">
        <v>45937</v>
      </c>
      <c r="D7" s="2343" t="str">
        <f t="shared" ca="1" si="0"/>
        <v>欧红伟（注册号：1120000080）</v>
      </c>
      <c r="E7" s="2344" t="s">
        <v>2148</v>
      </c>
      <c r="F7" s="1301">
        <f ca="1">IF(G7&lt;B2,"已过期",2000110082)</f>
        <v>2000110082</v>
      </c>
      <c r="G7" s="2345">
        <v>46387</v>
      </c>
      <c r="H7" s="2346" t="str">
        <f t="shared" ca="1" si="1"/>
        <v>欧红伟（注册号：2000110082）</v>
      </c>
    </row>
    <row r="8" spans="1:8" ht="24" customHeight="1">
      <c r="A8" s="1301" t="s">
        <v>2149</v>
      </c>
      <c r="B8" s="1301">
        <f ca="1">IF(C8&lt;B2,"已过期",1419970001)</f>
        <v>1419970001</v>
      </c>
      <c r="C8" s="2342">
        <v>45937</v>
      </c>
      <c r="D8" s="2343" t="str">
        <f t="shared" ca="1" si="0"/>
        <v>吴薇（注册号：1419970001）</v>
      </c>
      <c r="E8" s="2344" t="s">
        <v>2149</v>
      </c>
      <c r="F8" s="1301">
        <f ca="1">IF(G8&lt;B2,"已过期",2002110125)</f>
        <v>2002110125</v>
      </c>
      <c r="G8" s="2345">
        <v>47118</v>
      </c>
      <c r="H8" s="2346" t="str">
        <f t="shared" ca="1" si="1"/>
        <v>吴薇（注册号：2002110125）</v>
      </c>
    </row>
    <row r="9" spans="1:8" ht="24" customHeight="1">
      <c r="A9" s="1301" t="s">
        <v>2150</v>
      </c>
      <c r="B9" s="1301">
        <f ca="1">IF(C9&lt;B2,"已过期",1120060040)</f>
        <v>1120060040</v>
      </c>
      <c r="C9" s="2347">
        <v>45592</v>
      </c>
      <c r="D9" s="2343" t="str">
        <f t="shared" ca="1" si="0"/>
        <v>陈颖（注册号：1120060040）</v>
      </c>
      <c r="E9" s="2344" t="s">
        <v>2150</v>
      </c>
      <c r="F9" s="1301">
        <f ca="1">IF(G9&lt;B2,"已过期",2004110096)</f>
        <v>2004110096</v>
      </c>
      <c r="G9" s="2345">
        <v>47118</v>
      </c>
      <c r="H9" s="2346" t="str">
        <f t="shared" ca="1" si="1"/>
        <v>陈颖（注册号：2004110096）</v>
      </c>
    </row>
    <row r="10" spans="1:8" ht="24" customHeight="1">
      <c r="A10" s="1301" t="s">
        <v>2151</v>
      </c>
      <c r="B10" s="1301">
        <f ca="1">IF(C10&lt;B2,"已过期",1120100036)</f>
        <v>1120100036</v>
      </c>
      <c r="C10" s="2347">
        <v>45752</v>
      </c>
      <c r="D10" s="2343" t="str">
        <f t="shared" ca="1" si="0"/>
        <v>崔锴（注册号：1120100036）</v>
      </c>
      <c r="E10" s="2344" t="s">
        <v>2151</v>
      </c>
      <c r="F10" s="1301">
        <f ca="1">IF(G10&lt;B2,"已过期",2010110070)</f>
        <v>2010110070</v>
      </c>
      <c r="G10" s="2345">
        <v>47907</v>
      </c>
      <c r="H10" s="2346" t="str">
        <f t="shared" ca="1" si="1"/>
        <v>崔锴（注册号：2010110070）</v>
      </c>
    </row>
    <row r="11" spans="1:8" ht="24" customHeight="1">
      <c r="A11" s="1301" t="s">
        <v>2152</v>
      </c>
      <c r="B11" s="1301">
        <f ca="1">IF(C11&lt;B2,"已过期",1120070131)</f>
        <v>1120070131</v>
      </c>
      <c r="C11" s="2342">
        <v>45937</v>
      </c>
      <c r="D11" s="2343" t="str">
        <f t="shared" ca="1" si="0"/>
        <v>郑燚（注册号：1120070131）</v>
      </c>
      <c r="E11" s="2344" t="s">
        <v>2152</v>
      </c>
      <c r="F11" s="1301">
        <f ca="1">IF(G11&lt;B2,"已过期",2014110011)</f>
        <v>2014110011</v>
      </c>
      <c r="G11" s="2345">
        <v>49302</v>
      </c>
      <c r="H11" s="2346" t="str">
        <f t="shared" ca="1" si="1"/>
        <v>郑燚（注册号：2014110011）</v>
      </c>
    </row>
    <row r="12" spans="1:8" ht="24" customHeight="1">
      <c r="A12" s="1301" t="s">
        <v>2153</v>
      </c>
      <c r="B12" s="1301">
        <f ca="1">IF(C12&lt;B2,"已过期",1120040230)</f>
        <v>1120040230</v>
      </c>
      <c r="C12" s="2347">
        <v>45937</v>
      </c>
      <c r="D12" s="2343" t="str">
        <f t="shared" ca="1" si="0"/>
        <v>苏海（注册号：1120040230）</v>
      </c>
      <c r="E12" s="2344" t="s">
        <v>2153</v>
      </c>
      <c r="F12" s="1301">
        <f ca="1">IF(G12&lt;B2,"已过期",98030020)</f>
        <v>98030020</v>
      </c>
      <c r="G12" s="2345">
        <v>47118</v>
      </c>
      <c r="H12" s="2346" t="str">
        <f t="shared" ca="1" si="1"/>
        <v>苏海（注册号：98030020）</v>
      </c>
    </row>
    <row r="13" spans="1:8" ht="24" customHeight="1">
      <c r="A13" s="1301" t="s">
        <v>2154</v>
      </c>
      <c r="B13" s="1301">
        <f ca="1">IF(C13&lt;B2,"已过期",1120020033)</f>
        <v>1120020033</v>
      </c>
      <c r="C13" s="2342">
        <v>45375</v>
      </c>
      <c r="D13" s="2343" t="str">
        <f t="shared" ca="1" si="0"/>
        <v>刘敬东（注册号：1120020033）</v>
      </c>
      <c r="E13" s="2344" t="s">
        <v>2154</v>
      </c>
      <c r="F13" s="1301">
        <f ca="1">IF(G13&lt;B2,"已过期",2000110137)</f>
        <v>2000110137</v>
      </c>
      <c r="G13" s="2345">
        <v>46387</v>
      </c>
      <c r="H13" s="2346" t="str">
        <f t="shared" ca="1" si="1"/>
        <v>刘敬东（注册号：2000110137）</v>
      </c>
    </row>
    <row r="14" spans="1:8" ht="24" customHeight="1">
      <c r="A14" s="1301" t="s">
        <v>2155</v>
      </c>
      <c r="B14" s="1301" t="str">
        <f ca="1">IF(C14&lt;B2,"已过期",1119980106)</f>
        <v>已过期</v>
      </c>
      <c r="C14" s="2347">
        <v>44969</v>
      </c>
      <c r="D14" s="2343" t="str">
        <f t="shared" ca="1" si="0"/>
        <v>刘俊财（注册号：已过期）</v>
      </c>
      <c r="E14" s="2344" t="s">
        <v>2155</v>
      </c>
      <c r="F14" s="1301">
        <f ca="1">IF(G14&lt;B2,"已过期",96010063)</f>
        <v>96010063</v>
      </c>
      <c r="G14" s="2345">
        <v>47483</v>
      </c>
      <c r="H14" s="2346" t="str">
        <f t="shared" ca="1" si="1"/>
        <v>刘俊财（注册号：96010063）</v>
      </c>
    </row>
    <row r="15" spans="1:8" ht="24" customHeight="1">
      <c r="A15" s="1301" t="s">
        <v>2438</v>
      </c>
      <c r="B15" s="1301">
        <v>1120210056</v>
      </c>
      <c r="C15" s="2347">
        <v>45410</v>
      </c>
      <c r="D15" s="2343" t="str">
        <f t="shared" si="0"/>
        <v>宁小鳗（注册号：1120210056）</v>
      </c>
      <c r="E15" s="2344" t="s">
        <v>2156</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99" t="s">
        <v>2157</v>
      </c>
      <c r="B17" s="3599"/>
      <c r="C17" s="3599"/>
      <c r="D17" s="3599"/>
      <c r="E17" s="3599"/>
      <c r="F17" s="3599"/>
      <c r="G17" s="3599"/>
      <c r="H17" s="3599"/>
    </row>
    <row r="18" spans="1:8" ht="24" customHeight="1">
      <c r="A18" s="3600" t="s">
        <v>2158</v>
      </c>
      <c r="B18" s="3600"/>
      <c r="C18" s="3600"/>
      <c r="D18" s="2340"/>
      <c r="E18" s="3601" t="s">
        <v>2159</v>
      </c>
      <c r="F18" s="3600"/>
      <c r="G18" s="3600"/>
    </row>
    <row r="19" spans="1:8" s="2351" customFormat="1" ht="24" customHeight="1">
      <c r="A19" s="2350" t="s">
        <v>2160</v>
      </c>
      <c r="B19" s="2339" t="s">
        <v>2161</v>
      </c>
      <c r="C19" s="2339" t="s">
        <v>2140</v>
      </c>
      <c r="D19" s="2340"/>
      <c r="E19" s="2344" t="s">
        <v>2160</v>
      </c>
      <c r="F19" s="2339" t="s">
        <v>2161</v>
      </c>
      <c r="G19" s="2339" t="s">
        <v>2140</v>
      </c>
    </row>
    <row r="20" spans="1:8" s="2351" customFormat="1" ht="24" customHeight="1">
      <c r="A20" s="2352" t="s">
        <v>2162</v>
      </c>
      <c r="B20" s="2352" t="s">
        <v>2163</v>
      </c>
      <c r="C20" s="2345">
        <v>45898</v>
      </c>
      <c r="D20" s="2353"/>
      <c r="E20" s="2354" t="s">
        <v>2164</v>
      </c>
      <c r="F20" s="2357" t="s">
        <v>2439</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157</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面积总表</vt:lpstr>
      <vt:lpstr>抵押物清单</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收益法-库房</vt:lpstr>
      <vt:lpstr>收益法-车库</vt:lpstr>
      <vt:lpstr>收益法-商业</vt:lpstr>
      <vt:lpstr>收益法-办公</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基准地价修正-办公</vt:lpstr>
      <vt:lpstr>修正</vt:lpstr>
      <vt:lpstr>容积率修正</vt:lpstr>
      <vt:lpstr>成本法（废）</vt:lpstr>
      <vt:lpstr>区片价</vt:lpstr>
      <vt:lpstr>因素修正幅度</vt:lpstr>
      <vt:lpstr>区片价（范围）</vt:lpstr>
      <vt:lpstr>地价-分区</vt:lpstr>
      <vt:lpstr>地价</vt:lpstr>
      <vt:lpstr>存贷款利率</vt:lpstr>
      <vt:lpstr>基准地价修正-商业</vt:lpstr>
      <vt:lpstr>项目</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'收益法-库房'!Print_Area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2024-01-08T07:00:25Z</dcterms:modified>
</cp:coreProperties>
</file>