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5" yWindow="45" windowWidth="13920" windowHeight="12495" tabRatio="899" firstSheet="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总表" sheetId="80" r:id="rId13"/>
    <sheet name="抵押物清单"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汇总）" sheetId="70" r:id="rId24"/>
    <sheet name="收益法-库房" sheetId="85" r:id="rId25"/>
    <sheet name="收益法-车库" sheetId="84" r:id="rId26"/>
    <sheet name="收益法-商业" sheetId="83" r:id="rId27"/>
    <sheet name="收益法-办公" sheetId="15"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r:id="rId40"/>
    <sheet name="基准地价修正-办公"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基准地价修正-商业" sheetId="86" r:id="rId51"/>
    <sheet name="项目" sheetId="82"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'基准地价修正-办公'!$A$1:$J$44,'基准地价修正-办公'!$A$47:$H$101,'基准地价修正-办公'!$R$1:$V$16</definedName>
    <definedName name="_xlnm.Print_Area" localSheetId="50">'基准地价修正-商业'!$A$1:$J$44,'基准地价修正-商业'!$A$47:$H$101,'基准地价修正-商业'!$R$1:$V$16</definedName>
    <definedName name="_xlnm.Print_Area" localSheetId="22">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3">'收益法（汇总）'!$A$1:$F$13</definedName>
    <definedName name="_xlnm.Print_Area" localSheetId="27">'收益法-办公'!$A$1:$F$43,'收益法-办公'!$H$3:$M$29,'收益法-办公'!$A$46:$F$71,'收益法-办公'!$I$46:$N$65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'收益法-库房'!$A$1:$F$43,'收益法-库房'!$H$3:$M$29,'收益法-库房'!$A$46:$F$71,'收益法-库房'!$I$46:$N$65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3" i="81" l="1"/>
  <c r="U14" i="3"/>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s="1"/>
  <c r="D101" i="86"/>
  <c r="B101" i="86"/>
  <c r="N100" i="86"/>
  <c r="M100" i="86"/>
  <c r="K100" i="86"/>
  <c r="J100" i="86" s="1"/>
  <c r="D100" i="86"/>
  <c r="B100" i="86"/>
  <c r="N99" i="86"/>
  <c r="M99" i="86"/>
  <c r="K99" i="86"/>
  <c r="J99" i="86"/>
  <c r="D99" i="86"/>
  <c r="B99" i="86"/>
  <c r="N98" i="86"/>
  <c r="M98" i="86"/>
  <c r="K98" i="86"/>
  <c r="J98" i="86"/>
  <c r="D98" i="86"/>
  <c r="M97" i="86"/>
  <c r="N97" i="86" s="1"/>
  <c r="K97" i="86"/>
  <c r="J97" i="86" s="1"/>
  <c r="D97" i="86"/>
  <c r="B97" i="86"/>
  <c r="M96" i="86"/>
  <c r="N96" i="86" s="1"/>
  <c r="K96" i="86"/>
  <c r="J96" i="86" s="1"/>
  <c r="D96" i="86"/>
  <c r="N95" i="86"/>
  <c r="M95" i="86"/>
  <c r="K95" i="86"/>
  <c r="J95" i="86"/>
  <c r="D95" i="86"/>
  <c r="B95" i="86"/>
  <c r="M94" i="86"/>
  <c r="N94" i="86" s="1"/>
  <c r="K94" i="86"/>
  <c r="J94" i="86" s="1"/>
  <c r="D94" i="86"/>
  <c r="B94" i="86"/>
  <c r="M93" i="86"/>
  <c r="N93" i="86" s="1"/>
  <c r="K93" i="86"/>
  <c r="J93" i="86" s="1"/>
  <c r="F93" i="86"/>
  <c r="H101" i="86" s="1"/>
  <c r="D93" i="86"/>
  <c r="E93" i="86" s="1"/>
  <c r="B91" i="86" s="1"/>
  <c r="M90" i="86"/>
  <c r="N90" i="86" s="1"/>
  <c r="K90" i="86"/>
  <c r="J90" i="86" s="1"/>
  <c r="D90" i="86"/>
  <c r="B90" i="86"/>
  <c r="M89" i="86"/>
  <c r="N89" i="86" s="1"/>
  <c r="K89" i="86"/>
  <c r="J89" i="86" s="1"/>
  <c r="D89" i="86"/>
  <c r="N88" i="86"/>
  <c r="M88" i="86"/>
  <c r="K88" i="86"/>
  <c r="J88" i="86"/>
  <c r="D88" i="86"/>
  <c r="B88" i="86"/>
  <c r="M87" i="86"/>
  <c r="N87" i="86" s="1"/>
  <c r="K87" i="86"/>
  <c r="J87" i="86" s="1"/>
  <c r="D87" i="86"/>
  <c r="B87" i="86"/>
  <c r="M86" i="86"/>
  <c r="N86" i="86" s="1"/>
  <c r="K86" i="86"/>
  <c r="J86" i="86" s="1"/>
  <c r="D86" i="86"/>
  <c r="B86" i="86"/>
  <c r="N85" i="86"/>
  <c r="M85" i="86"/>
  <c r="K85" i="86"/>
  <c r="J85" i="86"/>
  <c r="D85" i="86"/>
  <c r="B85" i="86"/>
  <c r="N84" i="86"/>
  <c r="M84" i="86"/>
  <c r="K84" i="86"/>
  <c r="J84" i="86"/>
  <c r="D84" i="86"/>
  <c r="B84" i="86"/>
  <c r="M83" i="86"/>
  <c r="N83" i="86" s="1"/>
  <c r="K83" i="86"/>
  <c r="J83" i="86" s="1"/>
  <c r="F83" i="86"/>
  <c r="H88" i="86" s="1"/>
  <c r="E83" i="86"/>
  <c r="B81" i="86" s="1"/>
  <c r="D83" i="86"/>
  <c r="B83" i="86"/>
  <c r="N80" i="86"/>
  <c r="M80" i="86"/>
  <c r="K80" i="86"/>
  <c r="J80" i="86"/>
  <c r="D80" i="86"/>
  <c r="M79" i="86"/>
  <c r="N79" i="86" s="1"/>
  <c r="K79" i="86"/>
  <c r="J79" i="86" s="1"/>
  <c r="D79" i="86"/>
  <c r="B79" i="86"/>
  <c r="M78" i="86"/>
  <c r="N78" i="86" s="1"/>
  <c r="K78" i="86"/>
  <c r="J78" i="86" s="1"/>
  <c r="D78" i="86"/>
  <c r="N77" i="86"/>
  <c r="M77" i="86"/>
  <c r="K77" i="86"/>
  <c r="J77" i="86"/>
  <c r="D77" i="86"/>
  <c r="B77" i="86"/>
  <c r="M76" i="86"/>
  <c r="N76" i="86" s="1"/>
  <c r="K76" i="86"/>
  <c r="J76" i="86" s="1"/>
  <c r="D76" i="86"/>
  <c r="B76" i="86"/>
  <c r="M75" i="86"/>
  <c r="N75" i="86" s="1"/>
  <c r="K75" i="86"/>
  <c r="J75" i="86" s="1"/>
  <c r="D75" i="86"/>
  <c r="B75" i="86"/>
  <c r="N74" i="86"/>
  <c r="M74" i="86"/>
  <c r="K74" i="86"/>
  <c r="J74" i="86"/>
  <c r="D74" i="86"/>
  <c r="B74" i="86"/>
  <c r="N73" i="86"/>
  <c r="M73" i="86"/>
  <c r="K73" i="86"/>
  <c r="J73" i="86"/>
  <c r="D73" i="86"/>
  <c r="B73" i="86"/>
  <c r="M72" i="86"/>
  <c r="N72" i="86" s="1"/>
  <c r="K72" i="86"/>
  <c r="J72" i="86" s="1"/>
  <c r="F72" i="86"/>
  <c r="H77" i="86" s="1"/>
  <c r="E72" i="86"/>
  <c r="B70" i="86" s="1"/>
  <c r="D72" i="86"/>
  <c r="B72" i="86"/>
  <c r="N69" i="86"/>
  <c r="M69" i="86"/>
  <c r="K69" i="86"/>
  <c r="J69" i="86"/>
  <c r="D69" i="86" s="1"/>
  <c r="B69" i="86"/>
  <c r="M68" i="86"/>
  <c r="N68" i="86" s="1"/>
  <c r="K68" i="86"/>
  <c r="J68" i="86" s="1"/>
  <c r="D68" i="86" s="1"/>
  <c r="B68" i="86"/>
  <c r="M67" i="86"/>
  <c r="N67" i="86" s="1"/>
  <c r="K67" i="86"/>
  <c r="J67" i="86" s="1"/>
  <c r="D67" i="86" s="1"/>
  <c r="B67" i="86"/>
  <c r="N66" i="86"/>
  <c r="M66" i="86"/>
  <c r="K66" i="86"/>
  <c r="D66" i="86" s="1"/>
  <c r="J66" i="86"/>
  <c r="M65" i="86"/>
  <c r="N65" i="86" s="1"/>
  <c r="K65" i="86"/>
  <c r="J65" i="86" s="1"/>
  <c r="D65" i="86"/>
  <c r="B65" i="86"/>
  <c r="M64" i="86"/>
  <c r="N64" i="86" s="1"/>
  <c r="K64" i="86"/>
  <c r="D64" i="86" s="1"/>
  <c r="N63" i="86"/>
  <c r="M63" i="86"/>
  <c r="K63" i="86"/>
  <c r="J63" i="86"/>
  <c r="D63" i="86"/>
  <c r="B63" i="86"/>
  <c r="M62" i="86"/>
  <c r="N62" i="86" s="1"/>
  <c r="K62" i="86"/>
  <c r="J62" i="86" s="1"/>
  <c r="D62" i="86"/>
  <c r="B62" i="86"/>
  <c r="M61" i="86"/>
  <c r="N61" i="86" s="1"/>
  <c r="K61" i="86"/>
  <c r="J61" i="86" s="1"/>
  <c r="B61" i="86"/>
  <c r="N58" i="86"/>
  <c r="M58" i="86"/>
  <c r="K58" i="86"/>
  <c r="J58" i="86" s="1"/>
  <c r="D58" i="86"/>
  <c r="B58" i="86"/>
  <c r="M57" i="86"/>
  <c r="N57" i="86" s="1"/>
  <c r="K57" i="86"/>
  <c r="J57" i="86" s="1"/>
  <c r="D57" i="86"/>
  <c r="B57" i="86"/>
  <c r="M56" i="86"/>
  <c r="N56" i="86" s="1"/>
  <c r="K56" i="86"/>
  <c r="J56" i="86" s="1"/>
  <c r="D56" i="86"/>
  <c r="B56" i="86"/>
  <c r="M55" i="86"/>
  <c r="N55" i="86" s="1"/>
  <c r="K55" i="86"/>
  <c r="J55" i="86" s="1"/>
  <c r="D55" i="86"/>
  <c r="M54" i="86"/>
  <c r="N54" i="86" s="1"/>
  <c r="K54" i="86"/>
  <c r="J54" i="86" s="1"/>
  <c r="D54" i="86"/>
  <c r="B54" i="86"/>
  <c r="M53" i="86"/>
  <c r="N53" i="86" s="1"/>
  <c r="K53" i="86"/>
  <c r="J53" i="86" s="1"/>
  <c r="D53" i="86"/>
  <c r="N52" i="86"/>
  <c r="M52" i="86"/>
  <c r="K52" i="86"/>
  <c r="J52" i="86" s="1"/>
  <c r="D52" i="86"/>
  <c r="B52" i="86"/>
  <c r="N51" i="86"/>
  <c r="M51" i="86"/>
  <c r="K51" i="86"/>
  <c r="J51" i="86" s="1"/>
  <c r="D51" i="86"/>
  <c r="B51" i="86"/>
  <c r="M50" i="86"/>
  <c r="N50" i="86" s="1"/>
  <c r="K50" i="86"/>
  <c r="J50" i="86" s="1"/>
  <c r="D50" i="86"/>
  <c r="B50" i="86"/>
  <c r="G44" i="86"/>
  <c r="H42" i="86"/>
  <c r="H41" i="86"/>
  <c r="H40" i="86"/>
  <c r="O32" i="86"/>
  <c r="M32" i="86"/>
  <c r="P28" i="86"/>
  <c r="J24" i="86"/>
  <c r="I24" i="86"/>
  <c r="G24" i="86"/>
  <c r="G18" i="86" s="1"/>
  <c r="E24" i="86"/>
  <c r="N32" i="86" s="1"/>
  <c r="M23" i="86"/>
  <c r="I23" i="86"/>
  <c r="G23" i="86"/>
  <c r="P26" i="86" s="1"/>
  <c r="C22" i="86"/>
  <c r="G17" i="86"/>
  <c r="C17" i="86"/>
  <c r="C13" i="86"/>
  <c r="C11" i="86"/>
  <c r="E10" i="86" s="1"/>
  <c r="AJ10" i="86"/>
  <c r="AG10" i="86"/>
  <c r="AF10" i="86"/>
  <c r="AC10" i="86"/>
  <c r="AB10" i="86"/>
  <c r="Y10" i="86"/>
  <c r="C10" i="86"/>
  <c r="AJ9" i="86"/>
  <c r="AI9" i="86"/>
  <c r="AI10" i="86" s="1"/>
  <c r="AH9" i="86"/>
  <c r="AH10" i="86" s="1"/>
  <c r="AG9" i="86"/>
  <c r="AF9" i="86"/>
  <c r="AE9" i="86"/>
  <c r="AE10" i="86" s="1"/>
  <c r="AD9" i="86"/>
  <c r="AD10" i="86" s="1"/>
  <c r="AC9" i="86"/>
  <c r="AB9" i="86"/>
  <c r="AA9" i="86"/>
  <c r="AA10" i="86" s="1"/>
  <c r="Z9" i="86"/>
  <c r="Z10" i="86" s="1"/>
  <c r="C9" i="86"/>
  <c r="E8" i="86"/>
  <c r="C7" i="86"/>
  <c r="I2" i="86"/>
  <c r="N12" i="86" s="1"/>
  <c r="G2" i="86"/>
  <c r="F41" i="86" s="1"/>
  <c r="M1" i="86"/>
  <c r="G44" i="43"/>
  <c r="J52" i="85"/>
  <c r="Q72" i="85"/>
  <c r="Q59" i="85"/>
  <c r="K59" i="85"/>
  <c r="P74" i="85" s="1"/>
  <c r="F59" i="85"/>
  <c r="Q58" i="85"/>
  <c r="Q51" i="85"/>
  <c r="J50" i="85"/>
  <c r="J51" i="85" s="1"/>
  <c r="M47" i="85"/>
  <c r="D46" i="85"/>
  <c r="F34" i="85"/>
  <c r="F62" i="85" s="1"/>
  <c r="F33" i="85"/>
  <c r="F61" i="85" s="1"/>
  <c r="F32" i="85"/>
  <c r="F60" i="85" s="1"/>
  <c r="F31" i="85"/>
  <c r="F28" i="85"/>
  <c r="C28" i="85" s="1"/>
  <c r="F23" i="85"/>
  <c r="D24" i="85" s="1"/>
  <c r="F21" i="85"/>
  <c r="M20" i="85"/>
  <c r="F20" i="85"/>
  <c r="M19" i="85"/>
  <c r="M18" i="85"/>
  <c r="F18" i="85"/>
  <c r="M17" i="85"/>
  <c r="F17" i="85"/>
  <c r="F15" i="85"/>
  <c r="G1" i="85"/>
  <c r="J52" i="84"/>
  <c r="Q72" i="84"/>
  <c r="Q59" i="84"/>
  <c r="K59" i="84"/>
  <c r="P74" i="84" s="1"/>
  <c r="F59" i="84"/>
  <c r="Q58" i="84"/>
  <c r="Q51" i="84"/>
  <c r="J50" i="84"/>
  <c r="J51" i="84" s="1"/>
  <c r="M47" i="84"/>
  <c r="D46" i="84"/>
  <c r="F34" i="84"/>
  <c r="F62" i="84" s="1"/>
  <c r="F33" i="84"/>
  <c r="F61" i="84" s="1"/>
  <c r="F32" i="84"/>
  <c r="F60" i="84" s="1"/>
  <c r="F31" i="84"/>
  <c r="F28" i="84"/>
  <c r="C28" i="84" s="1"/>
  <c r="F23" i="84"/>
  <c r="D24" i="84" s="1"/>
  <c r="F21" i="84"/>
  <c r="M20" i="84"/>
  <c r="F20" i="84"/>
  <c r="M19" i="84"/>
  <c r="M18" i="84"/>
  <c r="F18" i="84"/>
  <c r="M17" i="84"/>
  <c r="F17" i="84"/>
  <c r="F15" i="84"/>
  <c r="G1" i="84"/>
  <c r="J52" i="83"/>
  <c r="Q72" i="83"/>
  <c r="Q59" i="83"/>
  <c r="K59" i="83"/>
  <c r="P74"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J52" i="15"/>
  <c r="AL9" i="1"/>
  <c r="AL8" i="1"/>
  <c r="AL7" i="1"/>
  <c r="Y9" i="1"/>
  <c r="Y8" i="1"/>
  <c r="Y7" i="1"/>
  <c r="Y6" i="1"/>
  <c r="X23" i="1"/>
  <c r="X24" i="1"/>
  <c r="X22" i="1"/>
  <c r="X19" i="1"/>
  <c r="X20" i="1"/>
  <c r="V19" i="1"/>
  <c r="U4" i="86" s="1"/>
  <c r="V24" i="1"/>
  <c r="D39" i="86" s="1"/>
  <c r="H39" i="86" s="1"/>
  <c r="V23" i="1"/>
  <c r="Y23" i="1" s="1"/>
  <c r="V22" i="1"/>
  <c r="D37" i="86" s="1"/>
  <c r="V21" i="1"/>
  <c r="Y21" i="1" s="1"/>
  <c r="V20" i="1"/>
  <c r="U3" i="86" s="1"/>
  <c r="X28" i="1"/>
  <c r="N9" i="1"/>
  <c r="N8" i="1"/>
  <c r="N7" i="1"/>
  <c r="N6" i="1"/>
  <c r="L28" i="1"/>
  <c r="Q14" i="3"/>
  <c r="S13" i="3"/>
  <c r="G22" i="6" s="1"/>
  <c r="D41" i="43" s="1"/>
  <c r="Q13" i="3"/>
  <c r="F22" i="6" s="1"/>
  <c r="C16" i="81"/>
  <c r="O13" i="3"/>
  <c r="G19" i="6" s="1"/>
  <c r="M13" i="3"/>
  <c r="F19" i="6" s="1"/>
  <c r="K13" i="3"/>
  <c r="G20" i="6" s="1"/>
  <c r="I13" i="3"/>
  <c r="F20" i="6" s="1"/>
  <c r="M14" i="3"/>
  <c r="I14" i="3"/>
  <c r="C76" i="85"/>
  <c r="C76" i="84"/>
  <c r="C76" i="83"/>
  <c r="H37" i="86" l="1"/>
  <c r="D1" i="86"/>
  <c r="D33" i="43"/>
  <c r="V27" i="1"/>
  <c r="V28" i="1"/>
  <c r="Y28" i="1" s="1"/>
  <c r="D40" i="43"/>
  <c r="Y24" i="1"/>
  <c r="Y20" i="1"/>
  <c r="D38" i="86"/>
  <c r="H38" i="86" s="1"/>
  <c r="Y19" i="1"/>
  <c r="U2" i="86"/>
  <c r="Y22" i="1"/>
  <c r="V25" i="1"/>
  <c r="E50" i="86"/>
  <c r="B48" i="86" s="1"/>
  <c r="M10" i="86"/>
  <c r="M4" i="86"/>
  <c r="M2" i="86"/>
  <c r="N4" i="86"/>
  <c r="N1" i="86"/>
  <c r="N2" i="86"/>
  <c r="N6" i="86"/>
  <c r="N9" i="86"/>
  <c r="J21" i="86"/>
  <c r="N3" i="86"/>
  <c r="S5" i="86"/>
  <c r="O21" i="86"/>
  <c r="F50" i="86"/>
  <c r="H52" i="86" s="1"/>
  <c r="S3" i="86"/>
  <c r="M6" i="86"/>
  <c r="C21" i="86"/>
  <c r="M8" i="86"/>
  <c r="N10" i="86"/>
  <c r="E11" i="86"/>
  <c r="E21" i="86"/>
  <c r="K21" i="86"/>
  <c r="C24" i="86"/>
  <c r="P32" i="86"/>
  <c r="F38" i="86"/>
  <c r="H51" i="86"/>
  <c r="H116" i="86"/>
  <c r="F61" i="86"/>
  <c r="F42" i="86"/>
  <c r="C27" i="86"/>
  <c r="M21" i="86"/>
  <c r="I21" i="86"/>
  <c r="D21" i="86"/>
  <c r="S2" i="86"/>
  <c r="S4" i="86"/>
  <c r="M12" i="86"/>
  <c r="M11" i="86"/>
  <c r="M3" i="86"/>
  <c r="M5" i="86"/>
  <c r="S6" i="86"/>
  <c r="M7" i="86"/>
  <c r="X7" i="86"/>
  <c r="N8" i="86"/>
  <c r="E9" i="86"/>
  <c r="N11" i="86"/>
  <c r="I18" i="86"/>
  <c r="E17" i="86" s="1"/>
  <c r="L21" i="86"/>
  <c r="P29" i="86"/>
  <c r="P25" i="86"/>
  <c r="O23" i="86"/>
  <c r="C23" i="86"/>
  <c r="M24" i="86"/>
  <c r="P27" i="86"/>
  <c r="Q32" i="86"/>
  <c r="F39" i="86"/>
  <c r="E44" i="86"/>
  <c r="C44" i="86" s="1"/>
  <c r="N5" i="86"/>
  <c r="C6" i="86"/>
  <c r="N7" i="86"/>
  <c r="M9" i="86"/>
  <c r="H21" i="86"/>
  <c r="N21" i="86"/>
  <c r="F37" i="86"/>
  <c r="F40" i="86"/>
  <c r="H57" i="86"/>
  <c r="H54" i="86"/>
  <c r="H58" i="86"/>
  <c r="H55" i="86"/>
  <c r="H56" i="86"/>
  <c r="H53" i="86"/>
  <c r="H50" i="86"/>
  <c r="H72" i="86"/>
  <c r="H76" i="86"/>
  <c r="H79" i="86"/>
  <c r="H83" i="86"/>
  <c r="H87" i="86"/>
  <c r="H90" i="86"/>
  <c r="H94" i="86"/>
  <c r="H97" i="86"/>
  <c r="H100" i="86"/>
  <c r="D61" i="86"/>
  <c r="E61" i="86" s="1"/>
  <c r="B59" i="86" s="1"/>
  <c r="C28" i="86" s="1"/>
  <c r="J64" i="86"/>
  <c r="H75" i="86"/>
  <c r="H78" i="86"/>
  <c r="H86" i="86"/>
  <c r="H89" i="86"/>
  <c r="H93" i="86"/>
  <c r="H96" i="86"/>
  <c r="H99" i="86"/>
  <c r="H74" i="86"/>
  <c r="H80" i="86"/>
  <c r="H85" i="86"/>
  <c r="H98" i="86"/>
  <c r="H73" i="86"/>
  <c r="H84" i="86"/>
  <c r="H95" i="86"/>
  <c r="Q71" i="85"/>
  <c r="D22" i="85"/>
  <c r="D23" i="85"/>
  <c r="P61" i="85"/>
  <c r="Q71" i="84"/>
  <c r="D22" i="84"/>
  <c r="D23" i="84"/>
  <c r="P61" i="84"/>
  <c r="Q71" i="83"/>
  <c r="D22" i="83"/>
  <c r="D23" i="83"/>
  <c r="P61" i="83"/>
  <c r="F9" i="85"/>
  <c r="F37" i="85"/>
  <c r="F36" i="85"/>
  <c r="L47" i="85"/>
  <c r="M27" i="85"/>
  <c r="F38" i="85"/>
  <c r="L48" i="84"/>
  <c r="M9" i="84"/>
  <c r="F40" i="84"/>
  <c r="M6" i="84"/>
  <c r="M22" i="84"/>
  <c r="L47" i="84"/>
  <c r="M9" i="83"/>
  <c r="M26" i="83"/>
  <c r="F8" i="83"/>
  <c r="M27" i="83"/>
  <c r="F38" i="83"/>
  <c r="F16" i="83"/>
  <c r="F9" i="83"/>
  <c r="M8" i="83"/>
  <c r="M28" i="83"/>
  <c r="F37" i="83"/>
  <c r="F13" i="83"/>
  <c r="F13" i="85"/>
  <c r="M28" i="85"/>
  <c r="F8" i="85"/>
  <c r="F42" i="85"/>
  <c r="F16" i="84"/>
  <c r="M8" i="84"/>
  <c r="M23" i="84"/>
  <c r="F9" i="84"/>
  <c r="F38" i="84"/>
  <c r="J15" i="84"/>
  <c r="F36" i="84"/>
  <c r="M23" i="83"/>
  <c r="M24" i="83"/>
  <c r="F40" i="83"/>
  <c r="F40" i="85"/>
  <c r="M9" i="85"/>
  <c r="F26" i="85"/>
  <c r="M6" i="85"/>
  <c r="M24" i="85"/>
  <c r="M8" i="85"/>
  <c r="F8" i="84"/>
  <c r="F7" i="84"/>
  <c r="F37" i="84"/>
  <c r="M27" i="84"/>
  <c r="M22" i="83"/>
  <c r="M26" i="85"/>
  <c r="M23" i="85"/>
  <c r="M22" i="85"/>
  <c r="F16" i="85"/>
  <c r="J15" i="85"/>
  <c r="L48" i="85"/>
  <c r="F6" i="85"/>
  <c r="M24" i="84"/>
  <c r="F42" i="84"/>
  <c r="M26" i="84"/>
  <c r="F26" i="84"/>
  <c r="F13" i="84"/>
  <c r="F6" i="84"/>
  <c r="F42" i="83"/>
  <c r="L47" i="83"/>
  <c r="F26" i="83"/>
  <c r="M6" i="83"/>
  <c r="J15" i="83"/>
  <c r="F36" i="83"/>
  <c r="M28" i="84"/>
  <c r="L48" i="83"/>
  <c r="Y25" i="1" l="1"/>
  <c r="X25" i="1" s="1"/>
  <c r="U7" i="1" s="1"/>
  <c r="Y27" i="1"/>
  <c r="Y29" i="1" s="1"/>
  <c r="V29" i="1"/>
  <c r="H68" i="86"/>
  <c r="H65" i="86"/>
  <c r="H62" i="86"/>
  <c r="H69" i="86"/>
  <c r="H63" i="86"/>
  <c r="H66" i="86"/>
  <c r="H67" i="86"/>
  <c r="H64" i="86"/>
  <c r="H61" i="86"/>
  <c r="G21" i="86"/>
  <c r="C20" i="86" s="1"/>
  <c r="C5" i="86" s="1"/>
  <c r="F66" i="85"/>
  <c r="L57" i="85"/>
  <c r="L56" i="85"/>
  <c r="I54" i="85"/>
  <c r="J53" i="85"/>
  <c r="L60" i="85"/>
  <c r="J57" i="85"/>
  <c r="J55" i="85" s="1"/>
  <c r="J58" i="85" s="1"/>
  <c r="Q50" i="85" s="1"/>
  <c r="F51" i="85"/>
  <c r="N59" i="85"/>
  <c r="L58" i="85"/>
  <c r="M59" i="85"/>
  <c r="L59" i="85"/>
  <c r="C27" i="85"/>
  <c r="F64" i="85"/>
  <c r="F65" i="85"/>
  <c r="F68" i="85"/>
  <c r="C6" i="84"/>
  <c r="F64" i="84"/>
  <c r="N59" i="84"/>
  <c r="L58" i="84"/>
  <c r="M59" i="84"/>
  <c r="L59" i="84"/>
  <c r="F66" i="84"/>
  <c r="C27" i="84"/>
  <c r="F68" i="84"/>
  <c r="F65" i="84"/>
  <c r="M7" i="84"/>
  <c r="J6" i="84" s="1"/>
  <c r="F50" i="84"/>
  <c r="L57" i="84"/>
  <c r="L56" i="84"/>
  <c r="I54" i="84"/>
  <c r="J53" i="84"/>
  <c r="L60" i="84"/>
  <c r="J57" i="84"/>
  <c r="J55" i="84" s="1"/>
  <c r="J58" i="84" s="1"/>
  <c r="Q50" i="84" s="1"/>
  <c r="F51" i="84"/>
  <c r="F66" i="83"/>
  <c r="F64" i="83"/>
  <c r="F68" i="83"/>
  <c r="L57" i="83"/>
  <c r="L56" i="83"/>
  <c r="L60" i="83"/>
  <c r="J53" i="83"/>
  <c r="J57" i="83"/>
  <c r="J55" i="83" s="1"/>
  <c r="J58" i="83" s="1"/>
  <c r="Q50" i="83" s="1"/>
  <c r="I54" i="83"/>
  <c r="F51" i="83"/>
  <c r="C27" i="83"/>
  <c r="N59" i="83"/>
  <c r="L58" i="83"/>
  <c r="M59" i="83"/>
  <c r="L59" i="83"/>
  <c r="F65" i="83"/>
  <c r="F6" i="83"/>
  <c r="X29" i="1" l="1"/>
  <c r="U6" i="1" s="1"/>
  <c r="T14" i="86"/>
  <c r="V14" i="86" s="1"/>
  <c r="T11" i="86"/>
  <c r="V11" i="86" s="1"/>
  <c r="T8" i="86"/>
  <c r="V8" i="86" s="1"/>
  <c r="T6" i="86"/>
  <c r="V6" i="86" s="1"/>
  <c r="T16" i="86"/>
  <c r="V16" i="86" s="1"/>
  <c r="T12" i="86"/>
  <c r="V12" i="86" s="1"/>
  <c r="T10" i="86"/>
  <c r="V10" i="86" s="1"/>
  <c r="T4" i="86"/>
  <c r="V4" i="86" s="1"/>
  <c r="T2" i="86"/>
  <c r="V2" i="86" s="1"/>
  <c r="T5" i="86"/>
  <c r="V5" i="86" s="1"/>
  <c r="T3" i="86"/>
  <c r="V3" i="86" s="1"/>
  <c r="T15" i="86"/>
  <c r="V15" i="86" s="1"/>
  <c r="T13" i="86"/>
  <c r="V13" i="86" s="1"/>
  <c r="T9" i="86"/>
  <c r="V9" i="86" s="1"/>
  <c r="T7" i="86"/>
  <c r="V7" i="86" s="1"/>
  <c r="D5" i="86"/>
  <c r="C49" i="84"/>
  <c r="C61" i="84" s="1"/>
  <c r="Q52" i="85"/>
  <c r="F1" i="85"/>
  <c r="Q61" i="85"/>
  <c r="Q74" i="85"/>
  <c r="Q66" i="85"/>
  <c r="Q57" i="85"/>
  <c r="Q73" i="85"/>
  <c r="Q60" i="85"/>
  <c r="J19" i="84"/>
  <c r="J18" i="84"/>
  <c r="Q73" i="84"/>
  <c r="Q60" i="84"/>
  <c r="Q52" i="84"/>
  <c r="F1" i="84"/>
  <c r="Q61" i="84"/>
  <c r="Q74" i="84"/>
  <c r="Q66" i="84"/>
  <c r="Q57" i="84"/>
  <c r="C33" i="84"/>
  <c r="C32" i="84"/>
  <c r="Q66" i="83"/>
  <c r="Q57" i="83"/>
  <c r="Q61" i="83"/>
  <c r="Q74" i="83"/>
  <c r="Q52" i="83"/>
  <c r="F1" i="83"/>
  <c r="Q73" i="83"/>
  <c r="Q60" i="83"/>
  <c r="C209" i="81"/>
  <c r="C82" i="81"/>
  <c r="S12" i="80"/>
  <c r="S28" i="80"/>
  <c r="S37" i="80"/>
  <c r="A6" i="80"/>
  <c r="S19" i="80"/>
  <c r="S44" i="80"/>
  <c r="O124" i="80"/>
  <c r="K46" i="80"/>
  <c r="G59" i="80"/>
  <c r="C56" i="80"/>
  <c r="U13" i="3" l="1"/>
  <c r="G21" i="6" s="1"/>
  <c r="D42" i="43" s="1"/>
  <c r="C210" i="81"/>
  <c r="C42" i="86"/>
  <c r="C39" i="86"/>
  <c r="C38" i="86"/>
  <c r="C41" i="86"/>
  <c r="C37" i="86"/>
  <c r="C40" i="86"/>
  <c r="C34" i="86"/>
  <c r="E34" i="86" s="1"/>
  <c r="I29" i="79"/>
  <c r="I28" i="79"/>
  <c r="N28" i="79"/>
  <c r="M28" i="79"/>
  <c r="P28" i="79" s="1"/>
  <c r="L28" i="79"/>
  <c r="N29" i="79"/>
  <c r="M29" i="79"/>
  <c r="L29" i="79"/>
  <c r="P6" i="79"/>
  <c r="O6" i="79"/>
  <c r="N6" i="79"/>
  <c r="M6" i="79"/>
  <c r="L6" i="79"/>
  <c r="K6" i="79"/>
  <c r="O7" i="79"/>
  <c r="N7" i="79"/>
  <c r="M7" i="79"/>
  <c r="P7" i="79" s="1"/>
  <c r="L7" i="79"/>
  <c r="K7" i="79"/>
  <c r="E41" i="86" l="1"/>
  <c r="G41" i="86"/>
  <c r="I41" i="86" s="1"/>
  <c r="E38" i="86"/>
  <c r="G38" i="86"/>
  <c r="I38" i="86" s="1"/>
  <c r="E40" i="86"/>
  <c r="G40" i="86"/>
  <c r="I40" i="86" s="1"/>
  <c r="G39" i="86"/>
  <c r="I39" i="86" s="1"/>
  <c r="E39" i="86"/>
  <c r="E37" i="86"/>
  <c r="G37" i="86"/>
  <c r="I37" i="86" s="1"/>
  <c r="G42" i="86"/>
  <c r="I42" i="86" s="1"/>
  <c r="E42" i="86"/>
  <c r="P29" i="79"/>
  <c r="C30" i="86" l="1"/>
  <c r="B2" i="86" s="1"/>
  <c r="B3" i="86" s="1"/>
  <c r="C31" i="86"/>
  <c r="G14" i="73"/>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4"/>
  <c r="F43" i="84"/>
  <c r="M29" i="85"/>
  <c r="F43" i="85"/>
  <c r="F7" i="85"/>
  <c r="F7" i="83"/>
  <c r="M29" i="83"/>
  <c r="F43" i="83"/>
  <c r="F8" i="67"/>
  <c r="F20" i="31"/>
  <c r="F40" i="67"/>
  <c r="M6" i="67"/>
  <c r="M22" i="67"/>
  <c r="F38" i="15"/>
  <c r="F6" i="73"/>
  <c r="M8" i="67"/>
  <c r="M22" i="15"/>
  <c r="E11" i="76"/>
  <c r="F6" i="15"/>
  <c r="AO13" i="1"/>
  <c r="F16" i="15"/>
  <c r="F9" i="15"/>
  <c r="F8" i="15"/>
  <c r="C76" i="15"/>
  <c r="E10" i="76"/>
  <c r="M24" i="67"/>
  <c r="F7" i="73"/>
  <c r="B9" i="76"/>
  <c r="D6" i="73"/>
  <c r="M29" i="67"/>
  <c r="L48" i="15"/>
  <c r="B13" i="76"/>
  <c r="M23" i="15"/>
  <c r="F26" i="67"/>
  <c r="F43" i="67"/>
  <c r="D3" i="73"/>
  <c r="B7" i="76"/>
  <c r="M24" i="15"/>
  <c r="F38" i="67"/>
  <c r="B10" i="76"/>
  <c r="M23" i="67"/>
  <c r="M6" i="15"/>
  <c r="E12" i="76"/>
  <c r="F6" i="67"/>
  <c r="F4" i="73"/>
  <c r="M26" i="67"/>
  <c r="D4" i="73"/>
  <c r="E9" i="76"/>
  <c r="C76" i="67"/>
  <c r="F40" i="15"/>
  <c r="L47" i="15"/>
  <c r="L48" i="67"/>
  <c r="F9" i="67"/>
  <c r="L47" i="67"/>
  <c r="F16" i="67"/>
  <c r="J15" i="67"/>
  <c r="F42" i="15"/>
  <c r="M26" i="15"/>
  <c r="E2" i="69"/>
  <c r="M29" i="15"/>
  <c r="D7" i="73"/>
  <c r="F7" i="15"/>
  <c r="F42" i="67"/>
  <c r="F13" i="15"/>
  <c r="F43" i="15"/>
  <c r="M9" i="15"/>
  <c r="F37" i="15"/>
  <c r="M8" i="15"/>
  <c r="D5" i="73"/>
  <c r="B8" i="76"/>
  <c r="F36" i="15"/>
  <c r="M28" i="15"/>
  <c r="B11" i="76"/>
  <c r="F37" i="67"/>
  <c r="F26" i="15"/>
  <c r="M28" i="67"/>
  <c r="F36" i="67"/>
  <c r="F5" i="73"/>
  <c r="J15" i="15"/>
  <c r="F7" i="67"/>
  <c r="B12" i="76"/>
  <c r="M9" i="67"/>
  <c r="E13" i="76"/>
  <c r="E2" i="68"/>
  <c r="E8" i="76"/>
  <c r="F13" i="67"/>
  <c r="F3" i="73"/>
  <c r="G5" i="3" l="1"/>
  <c r="B3" i="3" s="1"/>
  <c r="E167" i="3" s="1"/>
  <c r="F71" i="83"/>
  <c r="C6" i="83"/>
  <c r="M7" i="83"/>
  <c r="J6" i="83" s="1"/>
  <c r="F50" i="83"/>
  <c r="C49" i="83" s="1"/>
  <c r="C61" i="83" s="1"/>
  <c r="C6" i="85"/>
  <c r="M7" i="85"/>
  <c r="J6" i="85" s="1"/>
  <c r="F50" i="85"/>
  <c r="C49" i="85" s="1"/>
  <c r="C61" i="85" s="1"/>
  <c r="F71" i="85"/>
  <c r="F71" i="84"/>
  <c r="M7" i="1"/>
  <c r="M9" i="1"/>
  <c r="M8" i="1"/>
  <c r="E63" i="3"/>
  <c r="E49" i="3"/>
  <c r="E283" i="3"/>
  <c r="Y6" i="3"/>
  <c r="E544" i="3"/>
  <c r="E37" i="3"/>
  <c r="E179" i="3"/>
  <c r="E249" i="3"/>
  <c r="E467" i="3"/>
  <c r="E363" i="3"/>
  <c r="E113" i="3"/>
  <c r="E233" i="3"/>
  <c r="E66" i="3"/>
  <c r="E200" i="3"/>
  <c r="E484" i="3"/>
  <c r="E297" i="3"/>
  <c r="E430" i="3"/>
  <c r="E250" i="3"/>
  <c r="E138" i="3"/>
  <c r="E22" i="3"/>
  <c r="E309" i="3"/>
  <c r="E222" i="3"/>
  <c r="E158" i="3"/>
  <c r="E81" i="3"/>
  <c r="E51" i="3"/>
  <c r="AF6" i="3"/>
  <c r="E355" i="3"/>
  <c r="E206" i="3"/>
  <c r="E33" i="3"/>
  <c r="E24" i="3"/>
  <c r="E35" i="3"/>
  <c r="E354" i="3"/>
  <c r="E307" i="3"/>
  <c r="E209" i="3"/>
  <c r="E163" i="3"/>
  <c r="E98" i="3"/>
  <c r="E446" i="3"/>
  <c r="E462" i="3"/>
  <c r="E110" i="3"/>
  <c r="E389" i="3"/>
  <c r="E348" i="3"/>
  <c r="E258" i="3"/>
  <c r="E152" i="3"/>
  <c r="E56" i="3"/>
  <c r="E517" i="3"/>
  <c r="E466" i="3"/>
  <c r="E83" i="3"/>
  <c r="E513" i="3"/>
  <c r="E323" i="3"/>
  <c r="E287" i="3"/>
  <c r="E118" i="3"/>
  <c r="E19" i="3"/>
  <c r="E102" i="3"/>
  <c r="E381" i="3"/>
  <c r="E284" i="3"/>
  <c r="E232" i="3"/>
  <c r="E144" i="3"/>
  <c r="E48" i="3"/>
  <c r="E86" i="3"/>
  <c r="E23" i="3"/>
  <c r="E310" i="3"/>
  <c r="E300" i="3"/>
  <c r="E267" i="3"/>
  <c r="E142" i="3"/>
  <c r="E103" i="3"/>
  <c r="E64" i="3"/>
  <c r="E425" i="3"/>
  <c r="E409" i="3"/>
  <c r="E76" i="3"/>
  <c r="E375" i="3"/>
  <c r="E292" i="3"/>
  <c r="E192" i="3"/>
  <c r="E131" i="3"/>
  <c r="E479" i="3"/>
  <c r="AP6" i="3"/>
  <c r="E542" i="3"/>
  <c r="E21" i="3"/>
  <c r="E373" i="3"/>
  <c r="E308" i="3"/>
  <c r="E264" i="3"/>
  <c r="E154" i="3"/>
  <c r="E80" i="3"/>
  <c r="E68" i="3"/>
  <c r="E341" i="3"/>
  <c r="E251" i="3"/>
  <c r="E184" i="3"/>
  <c r="E87" i="3"/>
  <c r="E34" i="3"/>
  <c r="E84" i="3"/>
  <c r="E584" i="3"/>
  <c r="E386" i="3"/>
  <c r="E266" i="3"/>
  <c r="E248" i="3"/>
  <c r="E195" i="3"/>
  <c r="E65" i="3"/>
  <c r="E47" i="3"/>
  <c r="E521" i="3"/>
  <c r="E488" i="3"/>
  <c r="E58" i="3"/>
  <c r="E349" i="3"/>
  <c r="E241" i="3"/>
  <c r="E155" i="3"/>
  <c r="E95" i="3"/>
  <c r="E417" i="3"/>
  <c r="E255"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90" i="3"/>
  <c r="E436" i="3"/>
  <c r="E460" i="3"/>
  <c r="E582" i="3"/>
  <c r="E566" i="3"/>
  <c r="E459" i="3"/>
  <c r="E398" i="3"/>
  <c r="E464" i="3"/>
  <c r="AD6" i="3"/>
  <c r="E149" i="3"/>
  <c r="E435" i="3"/>
  <c r="E554" i="3"/>
  <c r="I3" i="6"/>
  <c r="E449" i="3"/>
  <c r="E541" i="3"/>
  <c r="E421" i="3"/>
  <c r="E312" i="3"/>
  <c r="E244" i="3"/>
  <c r="E504" i="3"/>
  <c r="E378" i="3"/>
  <c r="E259" i="3"/>
  <c r="E240" i="3"/>
  <c r="E187" i="3"/>
  <c r="E57" i="3"/>
  <c r="E39" i="3"/>
  <c r="E520" i="3"/>
  <c r="E413" i="3"/>
  <c r="E500" i="3"/>
  <c r="E374" i="3"/>
  <c r="E416" i="3"/>
  <c r="E487" i="3"/>
  <c r="E552" i="3"/>
  <c r="E141" i="3"/>
  <c r="E165" i="3"/>
  <c r="BA5" i="3"/>
  <c r="H50" i="43"/>
  <c r="H69" i="43"/>
  <c r="H67" i="43"/>
  <c r="F8" i="1"/>
  <c r="G8" i="1" s="1"/>
  <c r="G16" i="1" s="1"/>
  <c r="F10" i="39" s="1"/>
  <c r="C21" i="68"/>
  <c r="C40" i="69"/>
  <c r="G28" i="6"/>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J25" i="1" s="1"/>
  <c r="L25" i="1"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C16" i="85"/>
  <c r="C16" i="84"/>
  <c r="C16" i="67"/>
  <c r="C16" i="15"/>
  <c r="G1" i="73"/>
  <c r="E132" i="3" l="1"/>
  <c r="E160" i="3"/>
  <c r="E82" i="3"/>
  <c r="E67" i="3"/>
  <c r="E46" i="3"/>
  <c r="E491" i="3"/>
  <c r="E127" i="3"/>
  <c r="E326" i="3"/>
  <c r="E371" i="3"/>
  <c r="E370" i="3"/>
  <c r="E59" i="3"/>
  <c r="E492" i="3"/>
  <c r="J18" i="83"/>
  <c r="J19" i="83"/>
  <c r="O7" i="1"/>
  <c r="P7" i="1" s="1"/>
  <c r="J18" i="85"/>
  <c r="J19" i="85"/>
  <c r="C33" i="83"/>
  <c r="C32" i="83"/>
  <c r="C33" i="85"/>
  <c r="C32" i="85"/>
  <c r="M11" i="85"/>
  <c r="J10" i="85" s="1"/>
  <c r="J5" i="85" s="1"/>
  <c r="F11" i="85"/>
  <c r="M11" i="84"/>
  <c r="J10" i="84" s="1"/>
  <c r="J5" i="84" s="1"/>
  <c r="F11" i="84"/>
  <c r="M11" i="83"/>
  <c r="J10" i="83" s="1"/>
  <c r="J5" i="83" s="1"/>
  <c r="F11" i="83"/>
  <c r="F7" i="36"/>
  <c r="H7" i="36"/>
  <c r="D18" i="53"/>
  <c r="B35" i="72" s="1"/>
  <c r="C7" i="74"/>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J24" i="1" s="1"/>
  <c r="L24" i="1" s="1"/>
  <c r="L23" i="1" s="1"/>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7" i="1"/>
  <c r="F41" i="67"/>
  <c r="AE6" i="1"/>
  <c r="AE8" i="1"/>
  <c r="AE9" i="1"/>
  <c r="O36" i="86" l="1"/>
  <c r="N36" i="86"/>
  <c r="L37" i="86"/>
  <c r="M36" i="86"/>
  <c r="Q36" i="86"/>
  <c r="P36" i="86"/>
  <c r="F24" i="84"/>
  <c r="C24" i="84" s="1"/>
  <c r="F24" i="85"/>
  <c r="C53" i="85"/>
  <c r="C48" i="85" s="1"/>
  <c r="C10" i="85"/>
  <c r="C5" i="85" s="1"/>
  <c r="J24" i="85"/>
  <c r="J26" i="85"/>
  <c r="C53" i="84"/>
  <c r="C48" i="84" s="1"/>
  <c r="C10" i="84"/>
  <c r="C5" i="84" s="1"/>
  <c r="J24" i="84"/>
  <c r="J26" i="84"/>
  <c r="L36" i="43"/>
  <c r="P36" i="43" s="1"/>
  <c r="F24" i="83"/>
  <c r="C53" i="83"/>
  <c r="C48" i="83" s="1"/>
  <c r="C10" i="83"/>
  <c r="C5" i="83" s="1"/>
  <c r="J24" i="83"/>
  <c r="J26" i="83"/>
  <c r="J23" i="1"/>
  <c r="K23" i="1" s="1"/>
  <c r="E69" i="39"/>
  <c r="L37"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4"/>
  <c r="F41" i="85"/>
  <c r="M27" i="67"/>
  <c r="F41" i="15"/>
  <c r="F41" i="83"/>
  <c r="F41" i="84"/>
  <c r="M27" i="15"/>
  <c r="B14" i="74" l="1"/>
  <c r="B1" i="74" s="1"/>
  <c r="E8" i="70"/>
  <c r="F69" i="84"/>
  <c r="F69" i="83"/>
  <c r="F69" i="85"/>
  <c r="J29" i="85"/>
  <c r="J29" i="84"/>
  <c r="J29" i="83"/>
  <c r="O37" i="86"/>
  <c r="M37" i="86"/>
  <c r="Q37" i="86"/>
  <c r="P37" i="86"/>
  <c r="N37" i="86"/>
  <c r="O36" i="43"/>
  <c r="Q36" i="43"/>
  <c r="N36" i="43"/>
  <c r="M36" i="43"/>
  <c r="C66" i="85"/>
  <c r="C60" i="85"/>
  <c r="C24" i="85"/>
  <c r="C38" i="85"/>
  <c r="C66" i="84"/>
  <c r="C60" i="84"/>
  <c r="C38" i="84"/>
  <c r="C66" i="83"/>
  <c r="C60" i="83"/>
  <c r="C24" i="83"/>
  <c r="C38" i="83"/>
  <c r="J26" i="1"/>
  <c r="L26" i="1" s="1"/>
  <c r="J27" i="1"/>
  <c r="L27" i="1" s="1"/>
  <c r="L29" i="1" s="1"/>
  <c r="K29" i="1" s="1"/>
  <c r="K22" i="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5"/>
  <c r="C17" i="83"/>
  <c r="C14" i="84"/>
  <c r="C14" i="67"/>
  <c r="C17" i="15"/>
  <c r="C17" i="67"/>
  <c r="C15" i="84" l="1"/>
  <c r="C18" i="84"/>
  <c r="C19" i="84" s="1"/>
  <c r="C14" i="74"/>
  <c r="B2" i="74" s="1"/>
  <c r="D7" i="74" s="1"/>
  <c r="E7" i="70"/>
  <c r="D30" i="6"/>
  <c r="C25" i="11"/>
  <c r="C22" i="11" s="1"/>
  <c r="C31" i="11"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5"/>
  <c r="C14" i="83"/>
  <c r="F35" i="85"/>
  <c r="M21" i="84"/>
  <c r="M21" i="85"/>
  <c r="F35" i="84"/>
  <c r="C14" i="15"/>
  <c r="C18" i="83" l="1"/>
  <c r="C15" i="83"/>
  <c r="C19" i="83"/>
  <c r="C18" i="85"/>
  <c r="C19" i="85" s="1"/>
  <c r="C15" i="85"/>
  <c r="C20" i="84"/>
  <c r="C26" i="84" s="1"/>
  <c r="C23" i="84"/>
  <c r="C29" i="84" s="1"/>
  <c r="J20" i="85"/>
  <c r="J17" i="85" s="1"/>
  <c r="C34" i="85"/>
  <c r="C31" i="85" s="1"/>
  <c r="F63" i="85"/>
  <c r="C62" i="85" s="1"/>
  <c r="C59" i="85" s="1"/>
  <c r="J20" i="84"/>
  <c r="J17" i="84" s="1"/>
  <c r="F63" i="84"/>
  <c r="C62" i="84" s="1"/>
  <c r="C59" i="84" s="1"/>
  <c r="C34" i="84"/>
  <c r="C31" i="84"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0" i="85" l="1"/>
  <c r="C26" i="85" s="1"/>
  <c r="C23" i="85"/>
  <c r="C29" i="85" s="1"/>
  <c r="G3" i="86"/>
  <c r="G3" i="43"/>
  <c r="C57" i="84"/>
  <c r="C64" i="84" s="1"/>
  <c r="C13" i="84"/>
  <c r="J14" i="84"/>
  <c r="J59" i="84"/>
  <c r="J60" i="84" s="1"/>
  <c r="Q49" i="84"/>
  <c r="C36" i="84"/>
  <c r="C20" i="83"/>
  <c r="C23" i="83"/>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57" i="85" l="1"/>
  <c r="C64" i="85" s="1"/>
  <c r="J59" i="85"/>
  <c r="J60" i="85" s="1"/>
  <c r="C36" i="85"/>
  <c r="J14" i="85"/>
  <c r="Q49" i="85"/>
  <c r="C13" i="85"/>
  <c r="C37" i="84"/>
  <c r="C30" i="84" s="1"/>
  <c r="C39" i="84" s="1"/>
  <c r="Q70" i="84"/>
  <c r="C56" i="84"/>
  <c r="C65" i="84" s="1"/>
  <c r="C58" i="84" s="1"/>
  <c r="C67" i="84" s="1"/>
  <c r="C68" i="84" s="1"/>
  <c r="C71" i="84" s="1"/>
  <c r="C75" i="84"/>
  <c r="E26" i="86"/>
  <c r="J26" i="86"/>
  <c r="G26" i="86"/>
  <c r="B116" i="86"/>
  <c r="H26" i="86"/>
  <c r="F26" i="86"/>
  <c r="Z7" i="86"/>
  <c r="C26" i="83"/>
  <c r="C29" i="83" s="1"/>
  <c r="Q48" i="84"/>
  <c r="L46" i="84"/>
  <c r="J22" i="84"/>
  <c r="J13" i="84"/>
  <c r="J23" i="84" s="1"/>
  <c r="J26" i="43"/>
  <c r="H26" i="43"/>
  <c r="N370" i="46"/>
  <c r="E26" i="43"/>
  <c r="N94" i="46"/>
  <c r="G26" i="43"/>
  <c r="B116" i="43"/>
  <c r="F26" i="43"/>
  <c r="Z7" i="43"/>
  <c r="C39" i="68"/>
  <c r="C46" i="68" s="1"/>
  <c r="C45" i="68" s="1"/>
  <c r="C91" i="9"/>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L51" i="84"/>
  <c r="M21" i="83"/>
  <c r="M21" i="15"/>
  <c r="F35" i="15"/>
  <c r="F35" i="67"/>
  <c r="M21" i="67"/>
  <c r="F35" i="83"/>
  <c r="C43" i="68" l="1"/>
  <c r="J16" i="84"/>
  <c r="J25" i="84" s="1"/>
  <c r="Q67" i="84"/>
  <c r="C80" i="84"/>
  <c r="C79" i="84" s="1"/>
  <c r="C40" i="84"/>
  <c r="Q69" i="84"/>
  <c r="Q68" i="84" s="1"/>
  <c r="Q49" i="83"/>
  <c r="C13" i="83"/>
  <c r="C57" i="83"/>
  <c r="C64" i="83" s="1"/>
  <c r="J59" i="83"/>
  <c r="J60" i="83" s="1"/>
  <c r="C36" i="83"/>
  <c r="J14" i="83"/>
  <c r="C75" i="85"/>
  <c r="Q70" i="85"/>
  <c r="C37" i="85"/>
  <c r="C30" i="85" s="1"/>
  <c r="C39" i="85" s="1"/>
  <c r="C56" i="85"/>
  <c r="C65" i="85" s="1"/>
  <c r="C58" i="85" s="1"/>
  <c r="C67" i="85" s="1"/>
  <c r="C68" i="85" s="1"/>
  <c r="C71" i="85" s="1"/>
  <c r="Q48" i="85"/>
  <c r="L46" i="85"/>
  <c r="D26" i="86"/>
  <c r="C25" i="86" s="1"/>
  <c r="J13" i="85"/>
  <c r="J23" i="85" s="1"/>
  <c r="J22" i="85"/>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I120" i="86"/>
  <c r="J120" i="86" s="1"/>
  <c r="K120" i="86" s="1"/>
  <c r="L120" i="86" s="1"/>
  <c r="M120" i="86" s="1"/>
  <c r="D121" i="86"/>
  <c r="E121" i="86" s="1"/>
  <c r="F121" i="86" s="1"/>
  <c r="G121" i="86"/>
  <c r="H121" i="86" s="1"/>
  <c r="B119" i="86"/>
  <c r="C119" i="86" s="1"/>
  <c r="I119" i="86"/>
  <c r="J119" i="86" s="1"/>
  <c r="K119" i="86" s="1"/>
  <c r="L119" i="86" s="1"/>
  <c r="M119" i="86" s="1"/>
  <c r="D120" i="86"/>
  <c r="E120" i="86" s="1"/>
  <c r="F120" i="86" s="1"/>
  <c r="G120" i="86" s="1"/>
  <c r="H120" i="86" s="1"/>
  <c r="B122" i="86"/>
  <c r="C122" i="86" s="1"/>
  <c r="B118" i="86"/>
  <c r="I122" i="86"/>
  <c r="J122" i="86" s="1"/>
  <c r="K122" i="86" s="1"/>
  <c r="L122" i="86" s="1"/>
  <c r="M122" i="86" s="1"/>
  <c r="I118" i="86"/>
  <c r="J118" i="86" s="1"/>
  <c r="K118" i="86" s="1"/>
  <c r="L118" i="86" s="1"/>
  <c r="M118" i="86" s="1"/>
  <c r="D119" i="86"/>
  <c r="E119" i="86" s="1"/>
  <c r="F119" i="86" s="1"/>
  <c r="G119" i="86" s="1"/>
  <c r="H119" i="86" s="1"/>
  <c r="B121" i="86"/>
  <c r="C121" i="86" s="1"/>
  <c r="I121" i="86"/>
  <c r="J121" i="86" s="1"/>
  <c r="K121" i="86" s="1"/>
  <c r="L121" i="86" s="1"/>
  <c r="M121" i="86" s="1"/>
  <c r="D122" i="86"/>
  <c r="E122" i="86" s="1"/>
  <c r="F122" i="86" s="1"/>
  <c r="G122" i="86" s="1"/>
  <c r="H122" i="86" s="1"/>
  <c r="D118" i="86"/>
  <c r="E118" i="86" s="1"/>
  <c r="F118" i="86" s="1"/>
  <c r="G118" i="86" s="1"/>
  <c r="H118" i="86" s="1"/>
  <c r="B120" i="86"/>
  <c r="C120" i="86" s="1"/>
  <c r="C94" i="9"/>
  <c r="C92" i="9"/>
  <c r="J20" i="83"/>
  <c r="J17" i="83" s="1"/>
  <c r="C34" i="83"/>
  <c r="C31" i="83" s="1"/>
  <c r="F63" i="83"/>
  <c r="C62" i="83" s="1"/>
  <c r="C59"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5"/>
  <c r="J16" i="85" l="1"/>
  <c r="J25" i="85" s="1"/>
  <c r="C80" i="85"/>
  <c r="C79" i="85" s="1"/>
  <c r="Q67" i="85"/>
  <c r="C118" i="43"/>
  <c r="D116" i="43" s="1"/>
  <c r="Q48" i="83"/>
  <c r="L46" i="83"/>
  <c r="C46" i="84"/>
  <c r="B2" i="84"/>
  <c r="B3" i="84" s="1"/>
  <c r="C43" i="84"/>
  <c r="Q56" i="84"/>
  <c r="Q62" i="84" s="1"/>
  <c r="Q65" i="84"/>
  <c r="Q75" i="84" s="1"/>
  <c r="C83" i="84"/>
  <c r="C82" i="84" s="1"/>
  <c r="Q47" i="84"/>
  <c r="Q53" i="84" s="1"/>
  <c r="C33" i="86"/>
  <c r="J22" i="83"/>
  <c r="J13" i="83"/>
  <c r="J23" i="83" s="1"/>
  <c r="C37" i="83"/>
  <c r="C30" i="83" s="1"/>
  <c r="C39" i="83" s="1"/>
  <c r="C75" i="83"/>
  <c r="C56" i="83"/>
  <c r="C65" i="83" s="1"/>
  <c r="C58" i="83" s="1"/>
  <c r="C67" i="83" s="1"/>
  <c r="C68" i="83" s="1"/>
  <c r="C71" i="83" s="1"/>
  <c r="Q70" i="83"/>
  <c r="C118" i="86"/>
  <c r="D116" i="86"/>
  <c r="C33" i="43"/>
  <c r="C40" i="85"/>
  <c r="Q69" i="85"/>
  <c r="Q68"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D2" i="21"/>
  <c r="L51" i="83"/>
  <c r="J16" i="83" l="1"/>
  <c r="J25" i="83" s="1"/>
  <c r="C40" i="83"/>
  <c r="Q65" i="83" s="1"/>
  <c r="Q75" i="83" s="1"/>
  <c r="Q69" i="83"/>
  <c r="Q68" i="83" s="1"/>
  <c r="C80" i="83"/>
  <c r="C79" i="83" s="1"/>
  <c r="E33" i="86"/>
  <c r="C46" i="85"/>
  <c r="C43" i="85"/>
  <c r="Q56" i="85"/>
  <c r="Q62" i="85" s="1"/>
  <c r="Q65" i="85"/>
  <c r="Q75" i="85" s="1"/>
  <c r="C83" i="85"/>
  <c r="C82" i="85" s="1"/>
  <c r="Q47" i="85"/>
  <c r="Q53" i="85" s="1"/>
  <c r="B2" i="85"/>
  <c r="B3" i="85" s="1"/>
  <c r="E33" i="43"/>
  <c r="C30" i="43" s="1"/>
  <c r="C34" i="43"/>
  <c r="E34" i="43" s="1"/>
  <c r="C31" i="43" s="1"/>
  <c r="Q67" i="83"/>
  <c r="C43" i="83"/>
  <c r="Q56" i="83"/>
  <c r="Q62" i="83" s="1"/>
  <c r="C46" i="8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B2" i="83" l="1"/>
  <c r="B3" i="83" s="1"/>
  <c r="Q47" i="83"/>
  <c r="Q53" i="83" s="1"/>
  <c r="C83" i="83"/>
  <c r="C82" i="83" s="1"/>
  <c r="E2" i="76"/>
  <c r="B2"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5"/>
  <c r="L51" i="15"/>
  <c r="D2" i="37"/>
  <c r="D2" i="36"/>
  <c r="D2" i="34"/>
  <c r="B2" i="76" l="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11" i="1"/>
  <c r="AO8" i="1"/>
  <c r="AO7" i="1"/>
  <c r="C6" i="68" l="1"/>
  <c r="C7" i="68" s="1"/>
  <c r="B3" i="76"/>
  <c r="L46" i="15"/>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23" i="68" s="1"/>
  <c r="C18" i="12"/>
  <c r="C21" i="12" s="1"/>
  <c r="C22" i="12" s="1"/>
  <c r="C27" i="12" l="1"/>
  <c r="C25" i="12" s="1"/>
  <c r="C20" i="68"/>
  <c r="C25" i="68" s="1"/>
  <c r="C22" i="68" s="1"/>
  <c r="C30" i="12"/>
  <c r="C28" i="12" s="1"/>
  <c r="C32" i="12" l="1"/>
  <c r="B2" i="12" s="1"/>
  <c r="B3" i="12" s="1"/>
  <c r="C28" i="68"/>
  <c r="C27" i="68" s="1"/>
  <c r="C31" i="68" s="1"/>
  <c r="C52" i="68" s="1"/>
  <c r="B2" i="68" l="1"/>
  <c r="C57" i="68"/>
  <c r="C56" i="68" s="1"/>
  <c r="C19" i="9"/>
  <c r="D22" i="9" l="1"/>
  <c r="G19" i="9"/>
  <c r="G21" i="9" s="1"/>
  <c r="C102" i="9"/>
  <c r="C21" i="9"/>
  <c r="B3" i="68"/>
  <c r="D34" i="9"/>
  <c r="D35" i="9"/>
  <c r="C20" i="9"/>
  <c r="C103" i="9" l="1"/>
  <c r="G20" i="9"/>
  <c r="C32" i="9" s="1"/>
  <c r="C35" i="9" l="1"/>
  <c r="C34" i="9" s="1"/>
  <c r="D118" i="9" s="1"/>
  <c r="D4" i="52" s="1"/>
  <c r="B47" i="72" s="1"/>
  <c r="F118" i="9"/>
  <c r="F4" i="52" s="1"/>
  <c r="B51" i="72" s="1"/>
  <c r="H118" i="9"/>
  <c r="C104" i="9" l="1"/>
  <c r="D14" i="74"/>
  <c r="D119" i="9"/>
  <c r="D5" i="52" s="1"/>
  <c r="B49" i="72" s="1"/>
  <c r="G118" i="9"/>
  <c r="G4" i="52" s="1"/>
  <c r="B52" i="72" s="1"/>
  <c r="H119" i="9"/>
  <c r="H5" i="52" s="1"/>
  <c r="H101" i="9"/>
  <c r="I118" i="9"/>
  <c r="F119" i="9"/>
  <c r="F5" i="52" s="1"/>
  <c r="B53" i="72" s="1"/>
  <c r="H4" i="52"/>
  <c r="E14" i="74" l="1"/>
  <c r="F14" i="74"/>
  <c r="B5" i="74"/>
  <c r="D5" i="74" s="1"/>
  <c r="I4" i="52"/>
  <c r="E118" i="9"/>
  <c r="E4" i="52" s="1"/>
  <c r="B48" i="72" s="1"/>
  <c r="C105" i="9"/>
  <c r="H102" i="9"/>
  <c r="D45" i="9"/>
  <c r="D5" i="53"/>
  <c r="H107" i="9"/>
  <c r="M48" i="9"/>
  <c r="D7" i="53" l="1"/>
  <c r="B21" i="72" s="1"/>
  <c r="C5" i="74"/>
  <c r="D122" i="9"/>
  <c r="G14" i="74" s="1"/>
  <c r="B6" i="74" s="1"/>
  <c r="D6" i="74" s="1"/>
  <c r="H108" i="9"/>
  <c r="D13" i="53"/>
  <c r="M49" i="9"/>
  <c r="D6" i="53"/>
  <c r="B22" i="72" s="1"/>
  <c r="B20" i="72"/>
  <c r="D52" i="9"/>
  <c r="C93" i="9"/>
  <c r="C86" i="9" s="1"/>
  <c r="C78" i="9"/>
  <c r="C73" i="9" s="1"/>
  <c r="D55" i="9"/>
  <c r="M53" i="9" s="1"/>
  <c r="C85" i="9"/>
  <c r="C64" i="9"/>
  <c r="C63" i="9" s="1"/>
  <c r="C67" i="9" s="1"/>
  <c r="D53" i="9"/>
  <c r="D48" i="9" s="1"/>
  <c r="M52" i="9" s="1"/>
  <c r="C72" i="9"/>
  <c r="C79" i="9" s="1"/>
  <c r="C80" i="9" l="1"/>
  <c r="E80" i="9" s="1"/>
  <c r="E81" i="9" s="1"/>
  <c r="C81" i="9"/>
  <c r="C6" i="74"/>
  <c r="D15" i="53"/>
  <c r="B31" i="72" s="1"/>
  <c r="D123" i="9"/>
  <c r="D9" i="52" s="1"/>
  <c r="D8" i="52"/>
  <c r="C68" i="9"/>
  <c r="D54" i="9" s="1"/>
  <c r="D59" i="9"/>
  <c r="M55" i="9" s="1"/>
  <c r="L64" i="9"/>
  <c r="M64" i="9" s="1"/>
  <c r="L63" i="9"/>
  <c r="M63" i="9" s="1"/>
  <c r="L67" i="9"/>
  <c r="M67" i="9" s="1"/>
  <c r="L68" i="9"/>
  <c r="M68" i="9" s="1"/>
  <c r="L65" i="9"/>
  <c r="M65" i="9" s="1"/>
  <c r="L66" i="9"/>
  <c r="M66" i="9" s="1"/>
  <c r="C95" i="9"/>
  <c r="B30" i="72"/>
  <c r="D14" i="53"/>
  <c r="B32" i="72" s="1"/>
  <c r="C96" i="9" l="1"/>
  <c r="E96" i="9" s="1"/>
  <c r="E97" i="9" s="1"/>
  <c r="C97" i="9"/>
  <c r="D58" i="9" s="1"/>
  <c r="D56" i="9" s="1"/>
  <c r="M54" i="9" s="1"/>
  <c r="N57" i="9" s="1"/>
  <c r="M69" i="9"/>
  <c r="N69" i="9" s="1"/>
  <c r="N58" i="9" l="1"/>
  <c r="P57" i="9"/>
  <c r="N59" i="9"/>
  <c r="H111" i="9" s="1"/>
  <c r="D126" i="9" l="1"/>
  <c r="B8" i="74" s="1"/>
  <c r="D8" i="74" s="1"/>
  <c r="D19" i="53"/>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<sst xmlns="http://schemas.openxmlformats.org/spreadsheetml/2006/main" count="10058" uniqueCount="3497">
  <si>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</si>
  <si>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</si>
  <si>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</si>
  <si>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</si>
  <si>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</si>
  <si>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</si>
  <si>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</si>
  <si>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</si>
  <si>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</si>
  <si>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</si>
  <si>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</si>
  <si>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</si>
  <si>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</si>
  <si>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</si>
  <si>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</si>
  <si>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</si>
  <si>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</si>
  <si>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</si>
  <si>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</si>
  <si>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</si>
  <si>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</si>
  <si>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</si>
  <si>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</si>
  <si>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</si>
  <si>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</si>
  <si>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</si>
  <si>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</si>
  <si>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</si>
  <si>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</si>
  <si>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</si>
  <si>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</si>
  <si>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</si>
  <si>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</si>
  <si>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</si>
  <si>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</si>
  <si>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</si>
  <si>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</si>
  <si>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</si>
  <si>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</si>
  <si>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</si>
  <si>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</si>
  <si>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</si>
  <si>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</si>
  <si>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</si>
  <si>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</si>
  <si>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</si>
  <si>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</si>
  <si>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</si>
  <si>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</si>
  <si>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</si>
  <si>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</si>
  <si>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</si>
  <si>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</si>
  <si>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</si>
  <si>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</si>
  <si>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</si>
  <si>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</si>
  <si>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</si>
  <si>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</si>
  <si>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</si>
  <si>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</si>
  <si>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</si>
  <si>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</si>
  <si>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</si>
  <si>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</si>
  <si>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</si>
  <si>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</si>
  <si>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</si>
  <si>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</si>
  <si>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</si>
  <si>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</si>
  <si>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</si>
  <si>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</si>
  <si>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</si>
  <si>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</si>
  <si>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</si>
  <si>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</si>
  <si>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</si>
  <si>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</si>
  <si>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</si>
  <si>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</si>
  <si>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</si>
  <si>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</si>
  <si>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</si>
  <si>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</si>
  <si>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</si>
  <si>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</si>
  <si>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</si>
  <si>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</si>
  <si>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</si>
  <si>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</si>
  <si>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</si>
  <si>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</si>
  <si>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</si>
  <si>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</si>
  <si>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</si>
  <si>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</si>
  <si>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</si>
  <si>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</si>
  <si>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</si>
  <si>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</si>
  <si>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</si>
  <si>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</si>
  <si>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</si>
  <si>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</si>
  <si>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</si>
  <si>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</si>
  <si>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</si>
  <si>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</si>
  <si>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</si>
  <si>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</si>
  <si>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</si>
  <si>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</si>
  <si>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</si>
  <si>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</si>
  <si>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</si>
  <si>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</si>
  <si>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</si>
  <si>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</si>
  <si>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</si>
  <si>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</si>
  <si>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</si>
  <si>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</si>
  <si>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</si>
  <si>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</si>
  <si>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</si>
  <si>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</si>
  <si>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</si>
  <si>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</si>
  <si>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</si>
  <si>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</si>
  <si>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</si>
  <si>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</si>
  <si>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</si>
  <si>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</si>
  <si>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</si>
  <si>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</si>
  <si>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</si>
  <si>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</si>
  <si>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</si>
  <si>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</si>
  <si>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</si>
  <si>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</si>
  <si>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</si>
  <si>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</si>
  <si>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</si>
  <si>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</si>
  <si>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</si>
  <si>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</si>
  <si>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</si>
  <si>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</si>
  <si>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</si>
  <si>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</si>
  <si>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</si>
  <si>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</si>
  <si>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</si>
  <si>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</si>
  <si>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</si>
  <si>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</si>
  <si>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</si>
  <si>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</si>
  <si>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</si>
  <si>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</si>
  <si>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</si>
  <si>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</si>
  <si>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</si>
  <si>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</si>
  <si>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</si>
  <si>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</si>
  <si>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</si>
  <si>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</si>
  <si>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</si>
  <si>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</si>
  <si>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</si>
  <si>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</si>
  <si>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</si>
  <si>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</si>
  <si>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</si>
  <si>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</si>
  <si>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</si>
  <si>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</si>
  <si>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</si>
  <si>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</si>
  <si>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</si>
  <si>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</si>
  <si>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</si>
  <si>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</si>
  <si>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</si>
  <si>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</si>
  <si>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</si>
  <si>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</si>
  <si>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</si>
  <si>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</si>
  <si>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</si>
  <si>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</si>
  <si>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</si>
  <si>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</si>
  <si>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</si>
  <si>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</si>
  <si>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</si>
  <si>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</si>
  <si>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</si>
  <si>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</si>
  <si>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</si>
  <si>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</si>
  <si>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</si>
  <si>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</si>
  <si>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</si>
  <si>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</si>
  <si>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</si>
  <si>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</si>
  <si>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</si>
  <si>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</si>
  <si>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</si>
  <si>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</si>
  <si>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</si>
  <si>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</si>
  <si>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</si>
  <si>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</si>
  <si>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</si>
  <si>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</si>
  <si>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</si>
  <si>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</si>
  <si>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</si>
  <si>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</si>
  <si>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</si>
  <si>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</si>
  <si>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</si>
  <si>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</si>
  <si>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</si>
  <si>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</si>
  <si>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</si>
  <si>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</si>
  <si>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</si>
  <si>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</si>
  <si>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</si>
  <si>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</si>
  <si>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</si>
  <si>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</si>
  <si>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</si>
  <si>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</si>
  <si>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</si>
  <si>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</si>
  <si>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</si>
  <si>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</si>
  <si>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</si>
  <si>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</si>
  <si>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</si>
  <si>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</si>
  <si>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</si>
  <si>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</si>
  <si>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</si>
  <si>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</si>
  <si>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</si>
  <si>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</si>
  <si>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</si>
  <si>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</si>
  <si>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</si>
  <si>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</si>
  <si>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</si>
  <si>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</si>
  <si>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</si>
  <si>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</si>
  <si>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</si>
  <si>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</si>
  <si>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</si>
  <si>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</si>
  <si>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</si>
  <si>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</si>
  <si>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</si>
  <si>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</si>
  <si>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</si>
  <si>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</si>
  <si>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</si>
  <si>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</si>
  <si>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</si>
  <si>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</si>
  <si>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</si>
  <si>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</si>
  <si>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</si>
  <si>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</si>
  <si>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</si>
  <si>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</si>
  <si>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</si>
  <si>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</si>
  <si>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</si>
  <si>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</si>
  <si>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</si>
  <si>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</si>
  <si>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</si>
  <si>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</si>
  <si>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</si>
  <si>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</si>
  <si>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</si>
  <si>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</si>
  <si>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</si>
  <si>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</si>
  <si>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</si>
  <si>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</si>
  <si>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</si>
  <si>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</si>
  <si>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</si>
  <si>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</si>
  <si>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</si>
  <si>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</si>
  <si>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</si>
  <si>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</si>
  <si>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</si>
  <si>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</si>
  <si>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</si>
  <si>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</si>
  <si>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</si>
  <si>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</si>
  <si>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</si>
  <si>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</si>
  <si>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</si>
  <si>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</si>
  <si>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</si>
  <si>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</si>
  <si>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</si>
  <si>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</si>
  <si>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</si>
  <si>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</si>
  <si>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</si>
  <si>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</si>
  <si>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</si>
  <si>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</si>
  <si>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</si>
  <si>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</si>
  <si>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</si>
  <si>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</si>
  <si>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</si>
  <si>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</si>
  <si>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</si>
  <si>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</si>
  <si>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</si>
  <si>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</si>
  <si>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</si>
  <si>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</si>
  <si>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</si>
  <si>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</si>
  <si>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</si>
  <si>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</si>
  <si>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</si>
  <si>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</si>
  <si>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</si>
  <si>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</si>
  <si>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</si>
  <si>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</si>
  <si>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</si>
  <si>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</si>
  <si>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</si>
  <si>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</si>
  <si>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</si>
  <si>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</si>
  <si>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</si>
  <si>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</si>
  <si>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</si>
  <si>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</si>
  <si>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</si>
  <si>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</si>
  <si>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</si>
  <si>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</si>
  <si>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</si>
  <si>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</si>
  <si>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</si>
  <si>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</si>
  <si>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</si>
  <si>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</si>
  <si>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</si>
  <si>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</si>
  <si>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</si>
  <si>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</si>
  <si>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</si>
  <si>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</si>
  <si>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</si>
  <si>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</si>
  <si>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</si>
  <si>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</si>
  <si>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</si>
  <si>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</si>
  <si>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</si>
  <si>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</si>
  <si>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</si>
  <si>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</si>
  <si>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</si>
  <si>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</si>
  <si>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</si>
  <si>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</si>
  <si>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</si>
  <si>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</si>
  <si>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</si>
  <si>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</si>
  <si>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</si>
  <si>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</si>
  <si>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</si>
  <si>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</si>
  <si>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</si>
  <si>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</si>
  <si>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</si>
  <si>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</si>
  <si>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</si>
  <si>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</si>
  <si>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</si>
  <si>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</si>
  <si>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</si>
  <si>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</si>
  <si>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</si>
  <si>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</si>
  <si>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</si>
  <si>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</si>
  <si>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</si>
  <si>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</si>
  <si>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</si>
  <si>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</si>
  <si>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</si>
  <si>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</si>
  <si>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</si>
  <si>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</si>
  <si>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</si>
  <si>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</si>
  <si>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</si>
  <si>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</si>
  <si>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</si>
  <si>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</si>
  <si>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</si>
  <si>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</si>
  <si>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</si>
  <si>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</si>
  <si>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</si>
  <si>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</si>
  <si>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</si>
  <si>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</si>
  <si>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</si>
  <si>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</si>
  <si>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</si>
  <si>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</si>
  <si>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</si>
  <si>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</si>
  <si>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</si>
  <si>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</si>
  <si>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</si>
  <si>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</si>
  <si>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</si>
  <si>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</si>
  <si>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</si>
  <si>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</si>
  <si>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</si>
  <si>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</si>
  <si>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</si>
  <si>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</si>
  <si>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</si>
  <si>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</si>
  <si>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</si>
  <si>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</si>
  <si>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</si>
  <si>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</si>
  <si>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</si>
  <si>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</si>
  <si>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</si>
  <si>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</si>
  <si>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</si>
  <si>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</si>
  <si>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</si>
  <si>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</si>
  <si>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</si>
  <si>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</si>
  <si>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</si>
  <si>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</si>
  <si>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</si>
  <si>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</si>
  <si>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</si>
  <si>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</si>
  <si>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</si>
  <si>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</si>
  <si>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</si>
  <si>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</si>
  <si>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</si>
  <si>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</si>
  <si>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</si>
  <si>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</si>
  <si>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</si>
  <si>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</si>
  <si>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</si>
  <si>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</si>
  <si>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</si>
  <si>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</si>
  <si>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</si>
  <si>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</si>
  <si>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</si>
  <si>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</si>
  <si>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</si>
  <si>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</si>
  <si>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</si>
  <si>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</si>
  <si>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</si>
  <si>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</si>
  <si>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</si>
  <si>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</si>
  <si>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</si>
  <si>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</si>
  <si>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</si>
  <si>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</si>
  <si>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</si>
  <si>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</si>
  <si>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</si>
  <si>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</si>
  <si>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</si>
  <si>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</si>
  <si>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</si>
  <si>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</si>
  <si>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</si>
  <si>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</si>
  <si>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</si>
  <si>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</si>
  <si>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</si>
  <si>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</si>
  <si>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</si>
  <si>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</si>
  <si>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</si>
  <si>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</si>
  <si>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</si>
  <si>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</si>
  <si>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</si>
  <si>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</si>
  <si>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</si>
  <si>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</si>
  <si>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</si>
  <si>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</si>
  <si>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</si>
  <si>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</si>
  <si>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</si>
  <si>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</si>
  <si>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</si>
  <si>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</si>
  <si>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</si>
  <si>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</si>
  <si>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</si>
  <si>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</si>
  <si>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</si>
  <si>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</si>
  <si>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</si>
  <si>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</si>
  <si>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</si>
  <si>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</si>
  <si>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</si>
  <si>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</si>
  <si>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</si>
  <si>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</si>
  <si>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</si>
  <si>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</si>
  <si>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</si>
  <si>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</si>
  <si>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</si>
  <si>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</si>
  <si>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</si>
  <si>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</si>
  <si>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</si>
  <si>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</si>
  <si>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</si>
  <si>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</si>
  <si>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</si>
  <si>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</si>
  <si>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</si>
  <si>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</si>
  <si>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</si>
  <si>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</si>
  <si>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</si>
  <si>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</si>
  <si>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</si>
  <si>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</si>
  <si>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</si>
  <si>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</si>
  <si>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</si>
  <si>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</si>
  <si>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</si>
  <si>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</si>
  <si>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</si>
  <si>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</si>
  <si>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</si>
  <si>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</si>
  <si>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</si>
  <si>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</si>
  <si>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</si>
  <si>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</si>
  <si>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</si>
  <si>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</si>
  <si>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</si>
  <si>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</si>
  <si>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</si>
  <si>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</si>
  <si>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</si>
  <si>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</si>
  <si>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</si>
  <si>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</si>
  <si>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</si>
  <si>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</si>
  <si>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</si>
  <si>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</si>
  <si>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</si>
  <si>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</si>
  <si>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</si>
  <si>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</si>
  <si>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</si>
  <si>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</si>
  <si>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</si>
  <si>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</si>
  <si>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</si>
  <si>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</si>
  <si>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</si>
  <si>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</si>
  <si>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</si>
  <si>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</si>
  <si>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</si>
  <si>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</si>
  <si>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</si>
  <si>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</si>
  <si>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</si>
  <si>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</si>
  <si>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</si>
  <si>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</si>
  <si>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</si>
  <si>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</si>
  <si>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</si>
  <si>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</si>
  <si>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</si>
  <si>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</si>
  <si>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</si>
  <si>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</si>
  <si>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</si>
  <si>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</si>
  <si>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</si>
  <si>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</si>
  <si>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</si>
  <si>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</si>
  <si>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</si>
  <si>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</si>
  <si>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</si>
  <si>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</si>
  <si>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</si>
  <si>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</si>
  <si>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</si>
  <si>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</si>
  <si>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</si>
  <si>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</si>
  <si>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</si>
  <si>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</si>
  <si>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</si>
  <si>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</si>
  <si>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</si>
  <si>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</si>
  <si>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</si>
  <si>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</si>
  <si>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</si>
  <si>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</si>
  <si>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</si>
  <si>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</si>
  <si>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</si>
  <si>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</si>
  <si>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</si>
  <si>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</si>
  <si>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</si>
  <si>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</si>
  <si>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</si>
  <si>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</si>
  <si>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</si>
  <si>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</si>
  <si>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</si>
  <si>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</si>
  <si>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</si>
  <si>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</si>
  <si>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</si>
  <si>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</si>
  <si>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</si>
  <si>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</si>
  <si>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</si>
  <si>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</si>
  <si>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</si>
  <si>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</si>
  <si>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</si>
  <si>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</si>
  <si>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</si>
  <si>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</si>
  <si>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</si>
  <si>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</si>
  <si>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</si>
  <si>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</si>
  <si>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</si>
  <si>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</si>
  <si>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</si>
  <si>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</si>
  <si>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</si>
  <si>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</si>
  <si>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</si>
  <si>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</si>
  <si>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</si>
  <si>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</si>
  <si>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</si>
  <si>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</si>
  <si>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</si>
  <si>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</si>
  <si>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</si>
  <si>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</si>
  <si>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</si>
  <si>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</si>
  <si>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</si>
  <si>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</si>
  <si>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</si>
  <si>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</si>
  <si>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</si>
  <si>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</si>
  <si>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</si>
  <si>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</si>
  <si>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</si>
  <si>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</si>
  <si>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</si>
  <si>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</si>
  <si>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</si>
  <si>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</si>
  <si>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</si>
  <si>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</si>
  <si>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</si>
  <si>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</si>
  <si>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</si>
  <si>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</si>
  <si>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</si>
  <si>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</si>
  <si>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</si>
  <si>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</si>
  <si>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</si>
  <si>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</si>
  <si>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</si>
  <si>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</si>
  <si>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</si>
  <si>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</si>
  <si>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</si>
  <si>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</si>
  <si>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</si>
  <si>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</si>
  <si>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</si>
  <si>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</si>
  <si>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</si>
  <si>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</si>
  <si>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</si>
  <si>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</si>
  <si>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</si>
  <si>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</si>
  <si>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</si>
  <si>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</si>
  <si>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</si>
  <si>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</si>
  <si>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</si>
  <si>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</si>
  <si>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</si>
  <si>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</si>
  <si>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</si>
  <si>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</si>
  <si>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</si>
  <si>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</si>
  <si>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</si>
  <si>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</si>
  <si>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</si>
  <si>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</si>
  <si>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</si>
  <si>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</si>
  <si>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</si>
  <si>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</si>
  <si>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</si>
  <si>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</si>
  <si>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</si>
  <si>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</si>
  <si>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</si>
  <si>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</si>
  <si>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</si>
  <si>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</si>
  <si>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</si>
  <si>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</si>
  <si>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</si>
  <si>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</si>
  <si>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</si>
  <si>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</si>
  <si>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</si>
  <si>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</si>
  <si>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</si>
  <si>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</si>
  <si>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</si>
  <si>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</si>
  <si>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</si>
  <si>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</si>
  <si>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</si>
  <si>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</si>
  <si>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</si>
  <si>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</si>
  <si>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</si>
  <si>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</si>
  <si>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</si>
  <si>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</si>
  <si>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</si>
  <si>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</si>
  <si>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</si>
  <si>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</si>
  <si>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</si>
  <si>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</si>
  <si>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</si>
  <si>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</si>
  <si>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</si>
  <si>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</si>
  <si>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</si>
  <si>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</si>
  <si>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</si>
  <si>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</si>
  <si>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</si>
  <si>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</si>
  <si>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</si>
  <si>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</si>
  <si>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</si>
  <si>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</si>
  <si>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</si>
  <si>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</si>
  <si>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</si>
  <si>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</si>
  <si>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</si>
  <si>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</si>
  <si>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</si>
  <si>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</si>
  <si>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</si>
  <si>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</si>
  <si>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</si>
  <si>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</si>
  <si>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</si>
  <si>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</si>
  <si>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</si>
  <si>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</si>
  <si>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</si>
  <si>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</si>
  <si>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</si>
  <si>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</si>
  <si>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</si>
  <si>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</si>
  <si>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</si>
  <si>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</si>
  <si>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</si>
  <si>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</si>
  <si>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</si>
  <si>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</si>
  <si>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</si>
  <si>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</si>
  <si>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</si>
  <si>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</si>
  <si>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</si>
  <si>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</si>
  <si>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</si>
  <si>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</si>
  <si>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</si>
  <si>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</si>
  <si>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</si>
  <si>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</si>
  <si>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</si>
  <si>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</si>
  <si>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</si>
  <si>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</si>
  <si>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</si>
  <si>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</si>
  <si>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</si>
  <si>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</si>
  <si>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</si>
  <si>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</si>
  <si>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</si>
  <si>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</si>
  <si>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</si>
  <si>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</si>
  <si>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</si>
  <si>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</si>
  <si>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</si>
  <si>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</si>
  <si>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</si>
  <si>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</si>
  <si>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</si>
  <si>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</si>
  <si>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</si>
  <si>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</si>
  <si>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</si>
  <si>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</si>
  <si>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</si>
  <si>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</si>
  <si>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</si>
  <si>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</si>
  <si>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</si>
  <si>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</si>
  <si>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</si>
  <si>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</si>
  <si>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</si>
  <si>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</si>
  <si>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</si>
  <si>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</si>
  <si>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</si>
  <si>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</si>
  <si>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</si>
  <si>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</si>
  <si>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</si>
  <si>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</si>
  <si>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</si>
  <si>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</si>
  <si>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</si>
  <si>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</si>
  <si>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</si>
  <si>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</si>
  <si>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</si>
  <si>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</si>
  <si>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</si>
  <si>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</si>
  <si>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</si>
  <si>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</si>
  <si>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</si>
  <si>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</si>
  <si>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</si>
  <si>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</si>
  <si>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</si>
  <si>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</si>
  <si>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</si>
  <si>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</si>
  <si>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</si>
  <si>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</si>
  <si>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</si>
  <si>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</si>
  <si>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</si>
  <si>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</si>
  <si>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</si>
  <si>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</si>
  <si>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</si>
  <si>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</si>
  <si>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</si>
  <si>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</si>
  <si>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</si>
  <si>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</si>
  <si>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</si>
  <si>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</si>
  <si>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</si>
  <si>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</si>
  <si>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</si>
  <si>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</si>
  <si>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</si>
  <si>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</si>
  <si>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</si>
  <si>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</si>
  <si>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</si>
  <si>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</si>
  <si>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</si>
  <si>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</si>
  <si>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</si>
  <si>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</si>
  <si>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</si>
  <si>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</si>
  <si>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</si>
  <si>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</si>
  <si>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</si>
  <si>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</si>
  <si>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</si>
  <si>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</si>
  <si>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</si>
  <si>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</si>
  <si>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</si>
  <si>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</si>
  <si>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</si>
  <si>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</si>
  <si>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</si>
  <si>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</si>
  <si>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</si>
  <si>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</si>
  <si>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</si>
  <si>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</si>
  <si>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</si>
  <si>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</si>
  <si>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</si>
  <si>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</si>
  <si>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</si>
  <si>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</si>
  <si>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</si>
  <si>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</si>
  <si>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</si>
  <si>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</si>
  <si>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</si>
  <si>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</si>
  <si>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</si>
  <si>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</si>
  <si>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</si>
  <si>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</si>
  <si>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</si>
  <si>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</si>
  <si>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</si>
  <si>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</si>
  <si>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</si>
  <si>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</si>
  <si>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</si>
  <si>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</si>
  <si>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</si>
  <si>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</si>
  <si>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</si>
  <si>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</si>
  <si>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</si>
  <si>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</si>
  <si>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</si>
  <si>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</si>
  <si>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</si>
  <si>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</si>
  <si>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</si>
  <si>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</si>
  <si>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</si>
  <si>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</si>
  <si>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</si>
  <si>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</si>
  <si>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</si>
  <si>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</si>
  <si>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</si>
  <si>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</si>
  <si>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</si>
  <si>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</si>
  <si>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</si>
  <si>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</si>
  <si>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</si>
  <si>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</si>
  <si>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</si>
  <si>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</si>
  <si>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</si>
  <si>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</si>
  <si>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</si>
  <si>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</si>
  <si>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</si>
  <si>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</si>
  <si>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</si>
  <si>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</si>
  <si>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</si>
  <si>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</si>
  <si>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</si>
  <si>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</si>
  <si>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</si>
  <si>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</si>
  <si>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</si>
  <si>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</si>
  <si>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</si>
  <si>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</si>
  <si>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</si>
  <si>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</si>
  <si>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</si>
  <si>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</si>
  <si>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</si>
  <si>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</si>
  <si>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</si>
  <si>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</si>
  <si>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</si>
  <si>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</si>
  <si>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</si>
  <si>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</si>
  <si>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</si>
  <si>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</si>
  <si>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</si>
  <si>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</si>
  <si>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</si>
  <si>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</si>
  <si>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</si>
  <si>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</si>
  <si>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</si>
  <si>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</si>
  <si>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</si>
  <si>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</si>
  <si>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</si>
  <si>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</si>
  <si>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</si>
  <si>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</si>
  <si>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</si>
  <si>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</si>
  <si>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</si>
  <si>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</si>
  <si>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</si>
  <si>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</si>
  <si>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</si>
  <si>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</si>
  <si>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</si>
  <si>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</si>
  <si>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</si>
  <si>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</si>
  <si>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</si>
  <si>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</si>
  <si>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</si>
  <si>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</si>
  <si>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</si>
  <si>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</si>
  <si>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</si>
  <si>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</si>
  <si>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</si>
  <si>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</si>
  <si>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</si>
  <si>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</si>
  <si>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</si>
  <si>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</si>
  <si>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</si>
  <si>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</si>
  <si>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</si>
  <si>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</si>
  <si>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</si>
  <si>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</si>
  <si>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</si>
  <si>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</si>
  <si>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</si>
  <si>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</si>
  <si>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</si>
  <si>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</si>
  <si>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</si>
  <si>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</si>
  <si>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</si>
  <si>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</si>
  <si>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</si>
  <si>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</si>
  <si>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</si>
  <si>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</si>
  <si>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</si>
  <si>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</si>
  <si>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</si>
  <si>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</si>
  <si>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</si>
  <si>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</si>
  <si>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</si>
  <si>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</si>
  <si>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</si>
  <si>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</si>
  <si>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</si>
  <si>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</si>
  <si>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</si>
  <si>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</si>
  <si>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</si>
  <si>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</si>
  <si>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</si>
  <si>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</si>
  <si>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</si>
  <si>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</si>
  <si>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</si>
  <si>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</si>
  <si>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</si>
  <si>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</si>
  <si>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</si>
  <si>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</si>
  <si>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</si>
  <si>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</si>
  <si>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</si>
  <si>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</si>
  <si>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</si>
  <si>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</si>
  <si>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</si>
  <si>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</si>
  <si>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</si>
  <si>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</si>
  <si>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</si>
  <si>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</si>
  <si>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</si>
  <si>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</si>
  <si>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</si>
  <si>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</si>
  <si>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</si>
  <si>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</si>
  <si>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</si>
  <si>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</si>
  <si>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</si>
  <si>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</si>
  <si>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</si>
  <si>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</si>
  <si>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</si>
  <si>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</si>
  <si>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</si>
  <si>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</si>
  <si>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</si>
  <si>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</si>
  <si>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</si>
  <si>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</si>
  <si>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</si>
  <si>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</si>
  <si>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</si>
  <si>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</si>
  <si>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</si>
  <si>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</si>
  <si>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</si>
  <si>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</si>
  <si>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</si>
  <si>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</si>
  <si>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</si>
  <si>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</si>
  <si>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</si>
  <si>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</si>
  <si>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</si>
  <si>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</si>
  <si>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</si>
  <si>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</si>
  <si>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</si>
  <si>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</si>
  <si>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</si>
  <si>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</si>
  <si>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</si>
  <si>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</si>
  <si>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</si>
  <si>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</si>
  <si>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</si>
  <si>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</si>
  <si>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</si>
  <si>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</si>
  <si>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</si>
  <si>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</si>
  <si>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</si>
  <si>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</si>
  <si>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</si>
  <si>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</si>
  <si>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</si>
  <si>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</si>
  <si>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</si>
  <si>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</si>
  <si>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</si>
  <si>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</si>
  <si>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</si>
  <si>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</si>
  <si>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</si>
  <si>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</si>
  <si>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</si>
  <si>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</si>
  <si>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</si>
  <si>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</si>
  <si>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</si>
  <si>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</si>
  <si>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</si>
  <si>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</si>
  <si>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</si>
  <si>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</si>
  <si>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</si>
  <si>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</si>
  <si>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</si>
  <si>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</si>
  <si>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</si>
  <si>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</si>
  <si>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</si>
  <si>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</si>
  <si>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</si>
  <si>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</si>
  <si>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</si>
  <si>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</si>
  <si>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</si>
  <si>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</si>
  <si>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</si>
  <si>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</si>
  <si>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</si>
  <si>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</si>
  <si>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</si>
  <si>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</si>
  <si>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</si>
  <si>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</si>
  <si>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</si>
  <si>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</si>
  <si>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</si>
  <si>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</si>
  <si>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</si>
  <si>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</si>
  <si>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</si>
  <si>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</si>
  <si>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</si>
  <si>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</si>
  <si>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</si>
  <si>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</si>
  <si>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</si>
  <si>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</si>
  <si>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</si>
  <si>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</si>
  <si>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</si>
  <si>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</si>
  <si>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</si>
  <si>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</si>
  <si>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</si>
  <si>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</si>
  <si>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</si>
  <si>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</si>
  <si>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</si>
  <si>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</si>
  <si>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</si>
  <si>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</si>
  <si>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</si>
  <si>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</si>
  <si>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</si>
  <si>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</si>
  <si>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</si>
  <si>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</si>
  <si>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</si>
  <si>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</si>
  <si>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</si>
  <si>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</si>
  <si>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</si>
  <si>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</si>
  <si>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</si>
  <si>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</si>
  <si>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</si>
  <si>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</si>
  <si>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</si>
  <si>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</si>
  <si>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</si>
  <si>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</si>
  <si>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</si>
  <si>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</si>
  <si>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</si>
  <si>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</si>
  <si>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</si>
  <si>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</si>
  <si>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</si>
  <si>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</si>
  <si>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</si>
  <si>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</si>
  <si>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</si>
  <si>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</si>
  <si>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</si>
  <si>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</si>
  <si>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</si>
  <si>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</si>
  <si>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</si>
  <si>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</si>
  <si>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</si>
  <si>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</si>
  <si>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</si>
  <si>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</si>
  <si>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</si>
  <si>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</si>
  <si>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</si>
  <si>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</si>
  <si>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</si>
  <si>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</si>
  <si>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</si>
  <si>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</si>
  <si>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</si>
  <si>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</si>
  <si>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</si>
  <si>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</si>
  <si>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</si>
  <si>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</si>
  <si>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</si>
  <si>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</si>
  <si>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</si>
  <si>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</si>
  <si>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</si>
  <si>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</si>
  <si>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</si>
  <si>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</si>
  <si>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</si>
  <si>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</si>
  <si>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</si>
  <si>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</si>
  <si>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</si>
  <si>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</si>
  <si>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</si>
  <si>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</si>
  <si>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</si>
  <si>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</si>
  <si>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</si>
  <si>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</si>
  <si>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</si>
  <si>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</si>
  <si>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</si>
  <si>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</si>
  <si>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</si>
  <si>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</si>
  <si>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</si>
  <si>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</si>
  <si>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</si>
  <si>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</si>
  <si>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</si>
  <si>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</si>
  <si>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</si>
  <si>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</si>
  <si>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</si>
  <si>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</si>
  <si>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</si>
  <si>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</si>
  <si>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</si>
  <si>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</si>
  <si>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</si>
  <si>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</si>
  <si>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</si>
  <si>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</si>
  <si>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</si>
  <si>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</si>
  <si>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</si>
  <si>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</si>
  <si>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</si>
  <si>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</si>
  <si>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</si>
  <si>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</si>
  <si>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</si>
  <si>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</si>
  <si>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</si>
  <si>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</si>
  <si>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</si>
  <si>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</si>
  <si>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</si>
  <si>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</si>
  <si>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</si>
  <si>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</si>
  <si>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</si>
  <si>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</si>
  <si>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</si>
  <si>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</si>
  <si>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</si>
  <si>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</si>
  <si>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</si>
  <si>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</si>
  <si>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</si>
  <si>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</si>
  <si>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</si>
  <si>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</si>
  <si>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</si>
  <si>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</si>
  <si>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</si>
  <si>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</si>
  <si>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</si>
  <si>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</si>
  <si>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</si>
  <si>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</si>
  <si>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</si>
  <si>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</si>
  <si>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</si>
  <si>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</si>
  <si>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</si>
  <si>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</si>
  <si>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</si>
  <si>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</si>
  <si>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</si>
  <si>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</si>
  <si>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</si>
  <si>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</si>
  <si>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</si>
  <si>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</si>
  <si>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</si>
  <si>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</si>
  <si>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</si>
  <si>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</si>
  <si>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</si>
  <si>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</si>
  <si>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</si>
  <si>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</si>
  <si>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</si>
  <si>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</si>
  <si>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</si>
  <si>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</si>
  <si>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</si>
  <si>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</si>
  <si>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</si>
  <si>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</si>
  <si>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</si>
  <si>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</si>
  <si>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</si>
  <si>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</si>
  <si>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</si>
  <si>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</si>
  <si>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</si>
  <si>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</si>
  <si>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</si>
  <si>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</si>
  <si>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</si>
  <si>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</si>
  <si>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</si>
  <si>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</si>
  <si>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</si>
  <si>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</si>
  <si>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</si>
  <si>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</si>
  <si>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</si>
  <si>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</si>
  <si>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</si>
  <si>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</si>
  <si>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</si>
  <si>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</si>
  <si>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</si>
  <si>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</si>
  <si>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</si>
  <si>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</si>
  <si>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</si>
  <si>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</si>
  <si>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</si>
  <si>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</si>
  <si>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</si>
  <si>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</si>
  <si>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</si>
  <si>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</si>
  <si>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</si>
  <si>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</si>
  <si>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</si>
  <si>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</si>
  <si>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</si>
  <si>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</si>
  <si>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</si>
  <si>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</si>
  <si>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</si>
  <si>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</si>
  <si>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</si>
  <si>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</si>
  <si>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</si>
  <si>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</si>
  <si>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</si>
  <si>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</si>
  <si>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</si>
  <si>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</si>
  <si>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</si>
  <si>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</si>
  <si>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</si>
  <si>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</si>
  <si>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</si>
  <si>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</si>
  <si>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</si>
  <si>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</si>
  <si>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</si>
  <si>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</si>
  <si>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</si>
  <si>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</si>
  <si>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</si>
  <si>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</si>
  <si>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</si>
  <si>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</si>
  <si>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</si>
  <si>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</si>
  <si>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</si>
  <si>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</si>
  <si>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</si>
  <si>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</si>
  <si>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</si>
  <si>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</si>
  <si>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</si>
  <si>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</si>
  <si>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</si>
  <si>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</si>
  <si>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</si>
  <si>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</si>
  <si>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</si>
  <si>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</si>
  <si>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</si>
  <si>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</si>
  <si>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</si>
  <si>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</si>
  <si>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</si>
  <si>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</si>
  <si>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</si>
  <si>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</si>
  <si>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</si>
  <si>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</si>
  <si>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</si>
  <si>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</si>
  <si>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</si>
  <si>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</si>
  <si>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</si>
  <si>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</si>
  <si>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</si>
  <si>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</si>
  <si>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</si>
  <si>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</si>
  <si>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</si>
  <si>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</si>
  <si>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</si>
  <si>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</si>
  <si>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</si>
  <si>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</si>
  <si>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</si>
  <si>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</si>
  <si>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</si>
  <si>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</si>
  <si>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</si>
  <si>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</si>
  <si>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</si>
  <si>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</si>
  <si>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</si>
  <si>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</si>
  <si>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</si>
  <si>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</si>
  <si>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</si>
  <si>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</si>
  <si>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</si>
  <si>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</si>
  <si>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</si>
  <si>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</si>
  <si>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</si>
  <si>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</si>
  <si>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</si>
  <si>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</si>
  <si>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</si>
  <si>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</si>
  <si>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</si>
  <si>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</si>
  <si>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</si>
  <si>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</si>
  <si>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</si>
  <si>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</si>
  <si>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</si>
  <si>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</si>
  <si>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</si>
  <si>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</si>
  <si>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</si>
  <si>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</si>
  <si>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</si>
  <si>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</si>
  <si>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</si>
  <si>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</si>
  <si>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</si>
  <si>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</si>
  <si>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</si>
  <si>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</si>
  <si>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</si>
  <si>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</si>
  <si>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</si>
  <si>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</si>
  <si>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</si>
  <si>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</si>
  <si>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</si>
  <si>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</si>
  <si>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</si>
  <si>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</si>
  <si>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</si>
  <si>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</si>
  <si>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</si>
  <si>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</si>
  <si>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</si>
  <si>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</si>
  <si>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</si>
  <si>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</si>
  <si>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</si>
  <si>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</si>
  <si>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</si>
  <si>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</si>
  <si>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</si>
  <si>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</si>
  <si>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</si>
  <si>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</si>
  <si>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</si>
  <si>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</si>
  <si>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</si>
  <si>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</si>
  <si>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</si>
  <si>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</si>
  <si>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</si>
  <si>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</si>
  <si>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</si>
  <si>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</si>
  <si>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</si>
  <si>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</si>
  <si>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</si>
  <si>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</si>
  <si>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</si>
  <si>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</si>
  <si>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</si>
  <si>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</si>
  <si>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</si>
  <si>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</si>
  <si>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</si>
  <si>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</si>
  <si>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</si>
  <si>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</si>
  <si>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</si>
  <si>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</si>
  <si>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</si>
  <si>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</si>
  <si>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</si>
  <si>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</si>
  <si>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</si>
  <si>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</si>
  <si>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</si>
  <si>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</si>
  <si>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</si>
  <si>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</si>
  <si>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</si>
  <si>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</si>
  <si>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</si>
  <si>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</si>
  <si>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</si>
  <si>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</si>
  <si>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</si>
  <si>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</si>
  <si>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</si>
  <si>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</si>
  <si>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</si>
  <si>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</si>
  <si>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</si>
  <si>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</si>
  <si>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</si>
  <si>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</si>
  <si>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</si>
  <si>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</si>
  <si>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</si>
  <si>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</si>
  <si>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</si>
  <si>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</si>
  <si>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</si>
  <si>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</si>
  <si>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</si>
  <si>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</si>
  <si>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</si>
  <si>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</si>
  <si>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</si>
  <si>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</si>
  <si>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</si>
  <si>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</si>
  <si>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</si>
  <si>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</si>
  <si>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</si>
  <si>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</si>
  <si>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</si>
  <si>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</si>
  <si>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</si>
  <si>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</si>
  <si>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</si>
  <si>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</si>
  <si>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</si>
  <si>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</si>
  <si>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</si>
  <si>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</si>
  <si>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</si>
  <si>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</si>
  <si>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</si>
  <si>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</si>
  <si>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</si>
  <si>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</si>
  <si>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</si>
  <si>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</si>
  <si>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</si>
  <si>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</si>
  <si>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</si>
  <si>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</si>
  <si>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</si>
  <si>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</si>
  <si>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</si>
  <si>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</si>
  <si>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</si>
  <si>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</si>
  <si>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</si>
  <si>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</si>
  <si>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</si>
  <si>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</si>
  <si>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</si>
  <si>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</si>
  <si>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</si>
  <si>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</si>
  <si>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</si>
  <si>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</si>
  <si>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</si>
  <si>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</si>
  <si>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</si>
  <si>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</si>
  <si>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</si>
  <si>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</si>
  <si>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</si>
  <si>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</si>
  <si>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</si>
  <si>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</si>
  <si>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</si>
  <si>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</si>
  <si>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</si>
  <si>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</si>
  <si>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</si>
  <si>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</si>
  <si>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</si>
  <si>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</si>
  <si>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</si>
  <si>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</si>
  <si>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</si>
  <si>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</si>
  <si>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</si>
  <si>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</si>
  <si>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</si>
  <si>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</si>
  <si>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</si>
  <si>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</si>
  <si>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</si>
  <si>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</si>
  <si>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</si>
  <si>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</si>
  <si>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</si>
  <si>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</si>
  <si>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</si>
  <si>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</si>
  <si>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</si>
  <si>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</si>
  <si>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</si>
  <si>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</si>
  <si>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</si>
  <si>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</si>
  <si>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</si>
  <si>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</si>
  <si>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</si>
  <si>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</si>
  <si>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</si>
  <si>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</si>
  <si>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</si>
  <si>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</si>
  <si>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</si>
  <si>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</si>
  <si>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</si>
  <si>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</si>
  <si>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</si>
  <si>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</si>
  <si>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</si>
  <si>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</si>
  <si>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</si>
  <si>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</si>
  <si>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</si>
  <si>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</si>
  <si>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</si>
  <si>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</si>
  <si>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</si>
  <si>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</si>
  <si>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</si>
  <si>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</si>
  <si>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</si>
  <si>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</si>
  <si>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</si>
  <si>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</si>
  <si>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</si>
  <si>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</si>
  <si>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</si>
  <si>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</si>
  <si>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</si>
  <si>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</si>
  <si>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</si>
  <si>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</si>
  <si>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</si>
  <si>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</si>
  <si>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</si>
  <si>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</si>
  <si>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</si>
  <si>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</si>
  <si>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</si>
  <si>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</si>
  <si>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</si>
  <si>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</si>
  <si>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</si>
  <si>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</si>
  <si>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</si>
  <si>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</si>
  <si>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</si>
  <si>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</si>
  <si>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</si>
  <si>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</si>
  <si>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</si>
  <si>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</si>
  <si>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</si>
  <si>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</si>
  <si>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</si>
  <si>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</si>
  <si>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</si>
  <si>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</si>
  <si>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</si>
  <si>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</si>
  <si>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</si>
  <si>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</si>
  <si>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</si>
  <si>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</si>
  <si>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</si>
  <si>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</si>
  <si>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</si>
  <si>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</si>
  <si>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</si>
  <si>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</si>
  <si>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</si>
  <si>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</si>
  <si>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</si>
  <si>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</si>
  <si>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</si>
  <si>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</si>
  <si>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</si>
  <si>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</si>
  <si>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</si>
  <si>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</si>
  <si>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</si>
  <si>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</si>
  <si>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</si>
  <si>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</si>
  <si>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</si>
  <si>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</si>
  <si>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</si>
  <si>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</si>
  <si>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</si>
  <si>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</si>
  <si>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</si>
  <si>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</si>
  <si>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</si>
  <si>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</si>
  <si>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</si>
  <si>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</si>
  <si>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</si>
  <si>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</si>
  <si>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</si>
  <si>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</si>
  <si>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</si>
  <si>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</si>
  <si>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</si>
  <si>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</si>
  <si>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</si>
  <si>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</si>
  <si>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</si>
  <si>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</si>
  <si>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</si>
  <si>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</si>
  <si>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</si>
  <si>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</si>
  <si>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</si>
  <si>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</si>
  <si>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</si>
  <si>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</si>
  <si>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</si>
  <si>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</si>
  <si>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</si>
  <si>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</si>
  <si>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</si>
  <si>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</si>
  <si>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</si>
  <si>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</si>
  <si>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</si>
  <si>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</si>
  <si>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</si>
  <si>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</si>
  <si>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</si>
  <si>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</si>
  <si>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</si>
  <si>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</si>
  <si>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</si>
  <si>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</si>
  <si>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</si>
  <si>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</si>
  <si>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</si>
  <si>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</si>
  <si>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</si>
  <si>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</si>
  <si>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</si>
  <si>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</si>
  <si>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</si>
  <si>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</si>
  <si>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</si>
  <si>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</si>
  <si>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</si>
  <si>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</si>
  <si>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</si>
  <si>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</si>
  <si>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</si>
  <si>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</si>
  <si>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</si>
  <si>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</si>
  <si>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</si>
  <si>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</si>
  <si>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</si>
  <si>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</si>
  <si>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</si>
  <si>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</si>
  <si>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</si>
  <si>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</si>
  <si>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</si>
  <si>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</si>
  <si>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</si>
  <si>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</si>
  <si>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</si>
  <si>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</si>
  <si>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</si>
  <si>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</si>
  <si>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</si>
  <si>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</si>
  <si>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</si>
  <si>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</si>
  <si>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</si>
  <si>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</si>
  <si>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</si>
  <si>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</si>
  <si>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</si>
  <si>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</si>
  <si>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</si>
  <si>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</si>
  <si>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</si>
  <si>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</si>
  <si>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</si>
  <si>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</si>
  <si>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</si>
  <si>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</si>
  <si>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</si>
  <si>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</si>
  <si>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</si>
  <si>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</si>
  <si>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</si>
  <si>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</si>
  <si>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</si>
  <si>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</si>
  <si>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</si>
  <si>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</si>
  <si>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</si>
  <si>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</si>
  <si>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</si>
  <si>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</si>
  <si>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</si>
  <si>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</si>
  <si>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</si>
  <si>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</si>
  <si>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</si>
  <si>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</si>
  <si>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</si>
  <si>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</si>
  <si>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</si>
  <si>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</si>
  <si>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</si>
  <si>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</si>
  <si>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</si>
  <si>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</si>
  <si>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</si>
  <si>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</si>
  <si>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</si>
  <si>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</si>
  <si>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</si>
  <si>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</si>
  <si>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</si>
  <si>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</si>
  <si>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</si>
  <si>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</si>
  <si>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</si>
  <si>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</si>
  <si>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</si>
  <si>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</si>
  <si>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</si>
  <si>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</si>
  <si>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</si>
  <si>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</si>
  <si>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</si>
  <si>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</si>
  <si>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</si>
  <si>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</si>
  <si>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</si>
  <si>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</si>
  <si>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</si>
  <si>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</si>
  <si>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</si>
  <si>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</si>
  <si>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</si>
  <si>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</si>
  <si>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</si>
  <si>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</si>
  <si>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</si>
  <si>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</si>
  <si>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</si>
  <si>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</si>
  <si>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</si>
  <si>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</si>
  <si>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</si>
  <si>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</si>
  <si>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</si>
  <si>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</si>
  <si>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</si>
  <si>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</si>
  <si>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</si>
  <si>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</si>
  <si>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</si>
  <si>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</si>
  <si>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</si>
  <si>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</si>
  <si>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</si>
  <si>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</si>
  <si>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</si>
  <si>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</si>
  <si>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</si>
  <si>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</si>
  <si>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</si>
  <si>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</si>
  <si>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</si>
  <si>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</si>
  <si>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</si>
  <si>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</si>
  <si>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</si>
  <si>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</si>
  <si>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</si>
  <si>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</si>
  <si>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</si>
  <si>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</si>
  <si>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</si>
  <si>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</si>
  <si>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</si>
  <si>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</si>
  <si>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</si>
  <si>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</si>
  <si>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</si>
  <si>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</si>
  <si>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</si>
  <si>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</si>
  <si>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</si>
  <si>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</si>
  <si>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</si>
  <si>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</si>
  <si>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</si>
  <si>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</si>
  <si>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</si>
  <si>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</si>
  <si>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</si>
  <si>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</si>
  <si>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</si>
  <si>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</si>
  <si>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</si>
  <si>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</si>
  <si>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</si>
  <si>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</si>
  <si>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</si>
  <si>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</si>
  <si>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</si>
  <si>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</si>
  <si>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</si>
  <si>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</si>
  <si>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</si>
  <si>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</si>
  <si>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</si>
  <si>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</si>
  <si>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</si>
  <si>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</si>
  <si>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</si>
  <si>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</si>
  <si>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</si>
  <si>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</si>
  <si>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</si>
  <si>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</si>
  <si>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</si>
  <si>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</si>
  <si>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</si>
  <si>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</si>
  <si>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</si>
  <si>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</si>
  <si>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</si>
  <si>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</si>
  <si>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</si>
  <si>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</si>
  <si>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</si>
  <si>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</si>
  <si>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</si>
  <si>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</si>
  <si>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</si>
  <si>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</si>
  <si>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</si>
  <si>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</si>
  <si>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</si>
  <si>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</si>
  <si>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</si>
  <si>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</si>
  <si>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</si>
  <si>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</si>
  <si>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</si>
  <si>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</si>
  <si>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</si>
  <si>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</si>
  <si>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</si>
  <si>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</si>
  <si>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</si>
  <si>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</si>
  <si>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</si>
  <si>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</si>
  <si>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</si>
  <si>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</si>
  <si>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</si>
  <si>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</si>
  <si>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</si>
  <si>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</si>
  <si>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</si>
  <si>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</si>
  <si>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</si>
  <si>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</si>
  <si>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</si>
  <si>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</si>
  <si>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</si>
  <si>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</si>
  <si>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</si>
  <si>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</si>
  <si>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</si>
  <si>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</si>
  <si>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</si>
  <si>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</si>
  <si>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</si>
  <si>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</si>
  <si>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</si>
  <si>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</si>
  <si>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</si>
  <si>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</si>
  <si>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</si>
  <si>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</si>
  <si>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</si>
  <si>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</si>
  <si>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</si>
  <si>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</si>
  <si>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</si>
  <si>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</si>
  <si>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</si>
  <si>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</si>
  <si>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</si>
  <si>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</si>
  <si>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</si>
  <si>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</si>
  <si>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</si>
  <si>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</si>
  <si>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</si>
  <si>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</si>
  <si>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</si>
  <si>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</si>
  <si>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</si>
  <si>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</si>
  <si>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</si>
  <si>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</si>
  <si>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</si>
  <si>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</si>
  <si>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</si>
  <si>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</si>
  <si>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</si>
  <si>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</si>
  <si>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</si>
  <si>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</si>
  <si>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</si>
  <si>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</si>
  <si>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</si>
  <si>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</si>
  <si>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</si>
  <si>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</si>
  <si>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</si>
  <si>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</si>
  <si>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</si>
  <si>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</si>
  <si>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</si>
  <si>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</si>
  <si>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</si>
  <si>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</si>
  <si>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</si>
  <si>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</si>
  <si>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</si>
  <si>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</si>
  <si>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</si>
  <si>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</si>
  <si>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</si>
  <si>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</si>
  <si>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</si>
  <si>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</si>
  <si>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</si>
  <si>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</si>
  <si>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</si>
  <si>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</si>
  <si>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</si>
  <si>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</si>
  <si>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</si>
  <si>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</si>
  <si>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</si>
  <si>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</si>
  <si>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</si>
  <si>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</si>
  <si>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</si>
  <si>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</si>
  <si>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</si>
  <si>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</si>
  <si>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</si>
  <si>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</si>
  <si>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</si>
  <si>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</si>
  <si>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</si>
  <si>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</si>
  <si>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</si>
  <si>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</si>
  <si>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</si>
  <si>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</si>
  <si>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</si>
  <si>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</si>
  <si>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</si>
  <si>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</si>
  <si>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</si>
  <si>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</si>
  <si>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</si>
  <si>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</si>
  <si>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</si>
  <si>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</si>
  <si>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</si>
  <si>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</si>
  <si>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</si>
  <si>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</si>
  <si>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</si>
  <si>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</si>
  <si>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</si>
  <si>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</si>
  <si>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</si>
  <si>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</si>
  <si>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</si>
  <si>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</si>
  <si>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</si>
  <si>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</si>
  <si>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</si>
  <si>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</si>
  <si>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</si>
  <si>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</si>
  <si>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</si>
  <si>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</si>
  <si>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</si>
  <si>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</si>
  <si>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</si>
  <si>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</si>
  <si>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</si>
  <si>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</si>
  <si>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</si>
  <si>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</si>
  <si>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</si>
  <si>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</si>
  <si>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</si>
  <si>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</si>
  <si>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</si>
  <si>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</si>
  <si>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</si>
  <si>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</si>
  <si>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</si>
  <si>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</si>
  <si>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</si>
  <si>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</si>
  <si>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</si>
  <si>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</si>
  <si>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</si>
  <si>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</si>
  <si>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</si>
  <si>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</si>
  <si>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</si>
  <si>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</si>
  <si>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</si>
  <si>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</si>
  <si>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</si>
  <si>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</si>
  <si>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</si>
  <si>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</si>
  <si>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</si>
  <si>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</si>
  <si>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</si>
  <si>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</si>
  <si>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</si>
  <si>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</si>
  <si>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</si>
  <si>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</si>
  <si>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</si>
  <si>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</si>
  <si>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</si>
  <si>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</si>
  <si>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</si>
  <si>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</si>
  <si>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</si>
  <si>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</si>
  <si>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</si>
  <si>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</si>
  <si>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</si>
  <si>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</si>
  <si>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</si>
  <si>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</si>
  <si>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</si>
  <si>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</si>
  <si>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</si>
  <si>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</si>
  <si>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</si>
  <si>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</si>
  <si>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</si>
  <si>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</si>
  <si>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</si>
  <si>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</si>
  <si>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</si>
  <si>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</si>
  <si>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</si>
  <si>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</si>
  <si>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</si>
  <si>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</si>
  <si>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</si>
  <si>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</si>
  <si>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</si>
  <si>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</si>
  <si>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</si>
  <si>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</si>
  <si>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</si>
  <si>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</si>
  <si>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</si>
  <si>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</si>
  <si>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</si>
  <si>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</si>
  <si>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</si>
  <si>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</si>
  <si>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</si>
  <si>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</si>
  <si>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</si>
  <si>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</si>
  <si>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</si>
  <si>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</si>
  <si>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</si>
  <si>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</si>
  <si>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</si>
  <si>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</si>
  <si>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</si>
  <si>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</si>
  <si>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</si>
  <si>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</si>
  <si>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</si>
  <si>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</si>
  <si>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</si>
  <si>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</si>
  <si>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</si>
  <si>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</si>
  <si>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</si>
  <si>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</si>
  <si>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</si>
  <si>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</si>
  <si>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</si>
  <si>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</si>
  <si>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</si>
  <si>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</si>
  <si>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</si>
  <si>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</si>
  <si>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</si>
  <si>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</si>
  <si>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</si>
  <si>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</si>
  <si>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</si>
  <si>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</si>
  <si>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</si>
  <si>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</si>
  <si>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</si>
  <si>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</si>
  <si>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</si>
  <si>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</si>
  <si>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</si>
  <si>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</si>
  <si>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</si>
  <si>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</si>
  <si>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</si>
  <si>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</si>
  <si>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</si>
  <si>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</si>
  <si>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</si>
  <si>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</si>
  <si>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</si>
  <si>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</si>
  <si>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</si>
  <si>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</si>
  <si>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</si>
  <si>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</si>
  <si>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</si>
  <si>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</si>
  <si>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</si>
  <si>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</si>
  <si>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</si>
  <si>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</si>
  <si>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</si>
  <si>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</si>
  <si>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</si>
  <si>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</si>
  <si>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</si>
  <si>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</si>
  <si>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</si>
  <si>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</si>
  <si>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</si>
  <si>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</si>
  <si>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</si>
  <si>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</si>
  <si>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</si>
  <si>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</si>
  <si>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</si>
  <si>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</si>
  <si>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</si>
  <si>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</si>
  <si>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</si>
  <si>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</si>
  <si>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</si>
  <si>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</si>
  <si>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</si>
  <si>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</si>
  <si>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</si>
  <si>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</si>
  <si>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</si>
  <si>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</si>
  <si>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</si>
  <si>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</si>
  <si>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</si>
  <si>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</si>
  <si>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</si>
  <si>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</si>
  <si>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</si>
  <si>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</si>
  <si>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</si>
  <si>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</si>
  <si>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</si>
  <si>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</si>
  <si>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</si>
  <si>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</si>
  <si>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</si>
  <si>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</si>
  <si>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</si>
  <si>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</si>
  <si>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</si>
  <si>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</si>
  <si>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</si>
  <si>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</si>
  <si>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</si>
  <si>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</si>
  <si>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</si>
  <si>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</si>
  <si>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</si>
  <si>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</si>
  <si>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</si>
  <si>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</si>
  <si>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</si>
  <si>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</si>
  <si>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</si>
  <si>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</si>
  <si>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</si>
  <si>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</si>
  <si>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</si>
  <si>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</si>
  <si>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</si>
  <si>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</si>
  <si>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</si>
  <si>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</si>
  <si>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</si>
  <si>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</si>
  <si>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</si>
  <si>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</si>
  <si>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</si>
  <si>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</si>
  <si>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</si>
  <si>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</si>
  <si>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</si>
  <si>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</si>
  <si>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</si>
  <si>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</si>
  <si>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</si>
  <si>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</si>
  <si>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</si>
  <si>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</si>
  <si>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</si>
  <si>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</si>
  <si>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</si>
  <si>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</si>
  <si>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</si>
  <si>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</si>
  <si>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</si>
  <si>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</si>
  <si>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</si>
  <si>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</si>
  <si>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</si>
  <si>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</si>
  <si>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</si>
  <si>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</si>
  <si>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</si>
  <si>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</si>
  <si>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</si>
  <si>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</si>
  <si>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</si>
  <si>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</si>
  <si>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</si>
  <si>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</si>
  <si>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</si>
  <si>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</si>
  <si>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</si>
  <si>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</si>
  <si>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</si>
  <si>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</si>
  <si>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</si>
  <si>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</si>
  <si>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</si>
  <si>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</si>
  <si>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</si>
  <si>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</si>
  <si>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</si>
  <si>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</si>
  <si>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</si>
  <si>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</si>
  <si>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</si>
  <si>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</si>
  <si>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</si>
  <si>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</si>
  <si>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</si>
  <si>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</si>
  <si>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</si>
  <si>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</si>
  <si>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</si>
  <si>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</si>
  <si>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</si>
  <si>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</si>
  <si>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</si>
  <si>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</si>
  <si>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</si>
  <si>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</si>
  <si>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</si>
  <si>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</si>
  <si>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</si>
  <si>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</si>
  <si>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</si>
  <si>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</si>
  <si>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</si>
  <si>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</si>
  <si>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</si>
  <si>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</si>
  <si>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</si>
  <si>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</si>
  <si>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</si>
  <si>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</si>
  <si>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</si>
  <si>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</si>
  <si>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</si>
  <si>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</si>
  <si>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</si>
  <si>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</si>
  <si>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</si>
  <si>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</si>
  <si>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</si>
  <si>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</si>
  <si>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</si>
  <si>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</si>
  <si>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</si>
  <si>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</si>
  <si>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</si>
  <si>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</si>
  <si>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</si>
  <si>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</si>
  <si>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</si>
  <si>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</si>
  <si>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</si>
  <si>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</si>
  <si>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</si>
  <si>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</si>
  <si>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</si>
  <si>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</si>
  <si>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</si>
  <si>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</si>
  <si>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</si>
  <si>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</si>
  <si>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</si>
  <si>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</si>
  <si>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</si>
  <si>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</si>
  <si>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</si>
  <si>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</si>
  <si>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</si>
  <si>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</si>
  <si>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</si>
  <si>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</si>
  <si>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</si>
  <si>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</si>
  <si>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</si>
  <si>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</si>
  <si>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</si>
  <si>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</si>
  <si>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</si>
  <si>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</si>
  <si>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</si>
  <si>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</si>
  <si>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</si>
  <si>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</si>
  <si>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</si>
  <si>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</si>
  <si>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</si>
  <si>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</si>
  <si>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</si>
  <si>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</si>
  <si>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</si>
  <si>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</si>
  <si>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</si>
  <si>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</si>
  <si>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</si>
  <si>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</si>
  <si>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</si>
  <si>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</si>
  <si>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</si>
  <si>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</si>
  <si>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</si>
  <si>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</si>
  <si>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</si>
  <si>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</si>
  <si>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</si>
  <si>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</si>
  <si>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</si>
  <si>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</si>
  <si>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</si>
  <si>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</si>
  <si>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</si>
  <si>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</si>
  <si>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</si>
  <si>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</si>
  <si>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</si>
  <si>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</si>
  <si>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</si>
  <si>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</si>
  <si>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</si>
  <si>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</si>
  <si>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</si>
  <si>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</si>
  <si>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</si>
  <si>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</si>
  <si>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</si>
  <si>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</si>
  <si>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</si>
  <si>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</si>
  <si>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</si>
  <si>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</si>
  <si>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</si>
  <si>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</si>
  <si>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</si>
  <si>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</si>
  <si>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</si>
  <si>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</si>
  <si>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</si>
  <si>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</si>
  <si>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</si>
  <si>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</si>
  <si>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</si>
  <si>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</si>
  <si>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</si>
  <si>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</si>
  <si>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</si>
  <si>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</si>
  <si>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</si>
  <si>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</si>
  <si>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</si>
  <si>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</si>
  <si>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</si>
  <si>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</si>
  <si>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</si>
  <si>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</si>
  <si>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</si>
  <si>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</si>
  <si>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</si>
  <si>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</si>
  <si>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</si>
  <si>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</si>
  <si>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</si>
  <si>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</si>
  <si>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</si>
  <si>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</si>
  <si>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</si>
  <si>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</si>
  <si>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</si>
  <si>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</si>
  <si>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</si>
  <si>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</si>
  <si>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</si>
  <si>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</si>
  <si>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</si>
  <si>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</si>
  <si>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</si>
  <si>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</si>
  <si>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</si>
  <si>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</si>
  <si>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</si>
  <si>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</si>
  <si>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</si>
  <si>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</si>
  <si>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</si>
  <si>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</si>
  <si>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</si>
  <si>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</si>
  <si>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</si>
  <si>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</si>
  <si>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</si>
  <si>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</si>
  <si>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</si>
  <si>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</si>
  <si>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</si>
  <si>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</si>
  <si>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</si>
  <si>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</si>
  <si>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</si>
  <si>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</si>
  <si>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</si>
  <si>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</si>
  <si>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</si>
  <si>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</si>
  <si>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</si>
  <si>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</si>
  <si>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</si>
  <si>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</si>
  <si>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</si>
  <si>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</si>
  <si>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</si>
  <si>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</si>
  <si>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</si>
  <si>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</si>
  <si>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</si>
  <si>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</si>
  <si>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</si>
  <si>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</si>
  <si>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</si>
  <si>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</si>
  <si>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</si>
  <si>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</si>
  <si>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</si>
  <si>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</si>
  <si>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</si>
  <si>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</si>
  <si>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</si>
  <si>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</si>
  <si>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</si>
  <si>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</si>
  <si>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</si>
  <si>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</si>
  <si>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</si>
  <si>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</si>
  <si>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</si>
  <si>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</si>
  <si>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</si>
  <si>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</si>
  <si>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</si>
  <si>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</si>
  <si>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</si>
  <si>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</si>
  <si>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</si>
  <si>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</si>
  <si>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</si>
  <si>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</si>
  <si>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</si>
  <si>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</si>
  <si>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</si>
  <si>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</si>
  <si>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</si>
  <si>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</si>
  <si>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</si>
  <si>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</si>
  <si>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</si>
  <si>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</si>
  <si>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</si>
  <si>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</si>
  <si>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</si>
  <si>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</si>
  <si>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</si>
  <si>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</si>
  <si>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</si>
  <si>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</si>
  <si>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</si>
  <si>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</si>
  <si>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</si>
  <si>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</si>
  <si>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</si>
  <si>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</si>
  <si>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</si>
  <si>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</si>
  <si>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</si>
  <si>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</si>
  <si>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</si>
  <si>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</si>
  <si>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</si>
  <si>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</si>
  <si>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</si>
  <si>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</si>
  <si>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</si>
  <si>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</si>
  <si>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</si>
  <si>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</si>
  <si>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</si>
  <si>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</si>
  <si>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</si>
  <si>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</si>
  <si>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</si>
  <si>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</si>
  <si>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</si>
  <si>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</si>
  <si>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</si>
  <si>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</si>
  <si>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</si>
  <si>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</si>
  <si>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</si>
  <si>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</si>
  <si>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</si>
  <si>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</si>
  <si>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</si>
  <si>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</si>
  <si>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</si>
  <si>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</si>
  <si>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</si>
  <si>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</si>
  <si>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</si>
  <si>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</si>
  <si>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</si>
  <si>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</si>
  <si>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</si>
  <si>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</si>
  <si>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</si>
  <si>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</si>
  <si>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</si>
  <si>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</si>
  <si>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</si>
  <si>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</si>
  <si>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</si>
  <si>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</si>
  <si>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</si>
  <si>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</si>
  <si>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</si>
  <si>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</si>
  <si>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</si>
  <si>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</si>
  <si>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</si>
  <si>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</si>
  <si>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</si>
  <si>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</si>
  <si>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</si>
  <si>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</si>
  <si>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</si>
  <si>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</si>
  <si>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</si>
  <si>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</si>
  <si>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</si>
  <si>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</si>
  <si>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</si>
  <si>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</si>
  <si>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</si>
  <si>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</si>
  <si>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</si>
  <si>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</si>
  <si>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</si>
  <si>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</si>
  <si>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</si>
  <si>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</si>
  <si>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</si>
  <si>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</si>
  <si>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</si>
  <si>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</si>
  <si>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</si>
  <si>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</si>
  <si>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</si>
  <si>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</si>
  <si>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</si>
  <si>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</si>
  <si>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</si>
  <si>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</si>
  <si>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</si>
  <si>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</si>
  <si>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</si>
  <si>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</si>
  <si>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</si>
  <si>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</si>
  <si>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</si>
  <si>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</si>
  <si>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</si>
  <si>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</si>
  <si>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</si>
  <si>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</si>
  <si>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</si>
  <si>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</si>
  <si>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</si>
  <si>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</si>
  <si>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</si>
  <si>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</si>
  <si>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</si>
  <si>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</si>
  <si>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</si>
  <si>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</si>
  <si>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</si>
  <si>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</si>
  <si>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</si>
  <si>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</si>
  <si>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</si>
  <si>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</si>
  <si>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</si>
  <si>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</si>
  <si>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</si>
  <si>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</si>
  <si>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</si>
  <si>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</si>
  <si>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</si>
  <si>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</si>
  <si>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</si>
  <si>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</si>
  <si>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</si>
  <si>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</si>
  <si>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</si>
  <si>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</si>
  <si>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</si>
  <si>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</si>
  <si>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</si>
  <si>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</si>
  <si>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</si>
  <si>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</si>
  <si>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</si>
  <si>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</si>
  <si>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</si>
  <si>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</si>
  <si>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</si>
  <si>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</si>
  <si>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</si>
  <si>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</si>
  <si>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</si>
  <si>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</si>
  <si>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</si>
  <si>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</si>
  <si>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</si>
  <si>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</si>
  <si>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</si>
  <si>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</si>
  <si>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</si>
  <si>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</si>
  <si>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</si>
  <si>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</si>
  <si>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</si>
  <si>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</si>
  <si>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</si>
  <si>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</si>
  <si>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</si>
  <si>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</si>
  <si>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</si>
  <si>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</si>
  <si>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</si>
  <si>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</si>
  <si>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</si>
  <si>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</si>
  <si>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</si>
  <si>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</si>
  <si>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</si>
  <si>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</si>
  <si>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</si>
  <si>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</si>
  <si>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</si>
  <si>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</si>
  <si>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</si>
  <si>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</si>
  <si>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</si>
  <si>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</si>
  <si>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</si>
  <si>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</si>
  <si>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</si>
  <si>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</si>
  <si>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</si>
  <si>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</si>
  <si>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</si>
  <si>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</si>
  <si>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</si>
  <si>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</si>
  <si>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</si>
  <si>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</si>
  <si>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</si>
  <si>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</si>
  <si>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</si>
  <si>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</si>
  <si>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</si>
  <si>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</si>
  <si>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</si>
  <si>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</si>
  <si>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</si>
  <si>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</si>
  <si>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</si>
  <si>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</si>
  <si>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</si>
  <si>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</si>
  <si>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</si>
  <si>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</si>
  <si>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</si>
  <si>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</si>
  <si>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</si>
  <si>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</si>
  <si>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</si>
  <si>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</si>
  <si>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</si>
  <si>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</si>
  <si>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</si>
  <si>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</si>
  <si>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</si>
  <si>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</si>
  <si>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</si>
  <si>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</si>
  <si>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</si>
  <si>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</si>
  <si>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</si>
  <si>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</si>
  <si>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</si>
  <si>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</si>
  <si>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</si>
  <si>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</si>
  <si>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</si>
  <si>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</si>
  <si>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</si>
  <si>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</si>
  <si>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</si>
  <si>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</si>
  <si>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</si>
  <si>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</si>
  <si>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</si>
  <si>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</si>
  <si>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</si>
  <si>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</si>
  <si>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</si>
  <si>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</si>
  <si>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</si>
  <si>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</si>
  <si>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</si>
  <si>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</si>
  <si>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</si>
  <si>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</si>
  <si>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</si>
  <si>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</si>
  <si>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</si>
  <si>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</si>
  <si>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</si>
  <si>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</si>
  <si>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</si>
  <si>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</si>
  <si>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</si>
  <si>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</si>
  <si>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</si>
  <si>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</si>
  <si>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</si>
  <si>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</si>
  <si>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</si>
  <si>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</si>
  <si>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</si>
  <si>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</si>
  <si>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</si>
  <si>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</si>
  <si>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</si>
  <si>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</si>
  <si>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</si>
  <si>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</si>
  <si>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</si>
  <si>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</si>
  <si>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</si>
  <si>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</si>
  <si>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</si>
  <si>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</si>
  <si>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</si>
  <si>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</si>
  <si>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</si>
  <si>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</si>
  <si>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</si>
  <si>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</si>
  <si>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</si>
  <si>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</si>
  <si>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</si>
  <si>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</si>
  <si>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</si>
  <si>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</si>
  <si>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</si>
  <si>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</si>
  <si>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</si>
  <si>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</si>
  <si>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</si>
  <si>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</si>
  <si>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</si>
  <si>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</si>
  <si>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</si>
  <si>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</si>
  <si>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</si>
  <si>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</si>
  <si>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</si>
  <si>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</si>
  <si>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</si>
  <si>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</si>
  <si>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</si>
  <si>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</si>
  <si>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</si>
  <si>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</si>
  <si>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</si>
  <si>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</si>
  <si>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</si>
  <si>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</si>
  <si>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</si>
  <si>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</si>
  <si>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</si>
  <si>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</si>
  <si>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</si>
  <si>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</si>
  <si>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</si>
  <si>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</si>
  <si>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</si>
  <si>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</si>
  <si>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</si>
  <si>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</si>
  <si>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</si>
  <si>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</si>
  <si>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</si>
  <si>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</si>
  <si>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</si>
  <si>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</si>
  <si>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</si>
  <si>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</si>
  <si>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</si>
  <si>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</si>
  <si>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</si>
  <si>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</si>
  <si>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</si>
  <si>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</si>
  <si>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</si>
  <si>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</si>
  <si>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</si>
  <si>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</si>
  <si>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</si>
  <si>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</si>
  <si>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</si>
  <si>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</si>
  <si>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</si>
  <si>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</si>
  <si>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</si>
  <si>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</si>
  <si>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</si>
  <si>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</si>
  <si>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</si>
  <si>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</si>
  <si>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</si>
  <si>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</si>
  <si>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</si>
  <si>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</si>
  <si>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</si>
  <si>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</si>
  <si>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</si>
  <si>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</si>
  <si>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</si>
  <si>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</si>
  <si>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</si>
  <si>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</si>
  <si>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</si>
  <si>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</si>
  <si>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</si>
  <si>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</si>
  <si>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</si>
  <si>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</si>
  <si>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</si>
  <si>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</si>
  <si>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</si>
  <si>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</si>
  <si>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</si>
  <si>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</si>
  <si>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</si>
  <si>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</si>
  <si>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</si>
  <si>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</si>
  <si>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</si>
  <si>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</si>
  <si>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</si>
  <si>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</si>
  <si>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</si>
  <si>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</si>
  <si>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</si>
  <si>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</si>
  <si>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</si>
  <si>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</si>
  <si>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</si>
  <si>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</si>
  <si>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</si>
  <si>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</si>
  <si>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</si>
  <si>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</si>
  <si>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</si>
  <si>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</si>
  <si>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</si>
  <si>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</si>
  <si>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</si>
  <si>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</si>
  <si>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</si>
  <si>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</si>
  <si>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</si>
  <si>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</si>
  <si>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</si>
  <si>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</si>
  <si>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</si>
  <si>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</si>
  <si>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</si>
  <si>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</si>
  <si>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</si>
  <si>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</si>
  <si>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</si>
  <si>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</si>
  <si>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</si>
  <si>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</si>
  <si>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</si>
  <si>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</si>
  <si>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</si>
  <si>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</si>
  <si>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</si>
  <si>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</si>
  <si>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</si>
  <si>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</si>
  <si>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</si>
  <si>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</si>
  <si>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</si>
  <si>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</si>
  <si>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</si>
  <si>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</si>
  <si>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</si>
  <si>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</si>
  <si>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</si>
  <si>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</si>
  <si>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</si>
  <si>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</si>
  <si>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</si>
  <si>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</si>
  <si>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</si>
  <si>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</si>
  <si>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</si>
  <si>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</si>
  <si>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</si>
  <si>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</si>
  <si>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</si>
  <si>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</si>
  <si>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</si>
  <si>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</si>
  <si>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</si>
  <si>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</si>
  <si>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</si>
  <si>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</si>
  <si>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</si>
  <si>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</si>
  <si>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</si>
  <si>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</si>
  <si>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</si>
  <si>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</si>
  <si>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</si>
  <si>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</si>
  <si>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</si>
  <si>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</si>
  <si>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</si>
  <si>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</si>
  <si>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</si>
  <si>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</si>
  <si>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</si>
  <si>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</si>
  <si>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</si>
  <si>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</si>
  <si>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</si>
  <si>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</si>
  <si>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</si>
  <si>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</si>
  <si>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</si>
  <si>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</si>
  <si>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</si>
  <si>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</si>
  <si>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</si>
  <si>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</si>
  <si>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</si>
  <si>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</si>
  <si>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</si>
  <si>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</si>
  <si>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</si>
  <si>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</si>
  <si>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</si>
  <si>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</si>
  <si>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</si>
  <si>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</si>
  <si>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</si>
  <si>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</si>
  <si>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</si>
  <si>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</si>
  <si>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</si>
  <si>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</si>
  <si>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</si>
  <si>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</si>
  <si>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</si>
  <si>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</si>
  <si>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</si>
  <si>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</si>
  <si>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</si>
  <si>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</si>
  <si>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</si>
  <si>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</si>
  <si>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</si>
  <si>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</si>
  <si>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</si>
  <si>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</si>
  <si>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</si>
  <si>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</si>
  <si>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</si>
  <si>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</si>
  <si>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</si>
  <si>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</si>
  <si>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</si>
  <si>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</si>
  <si>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</si>
  <si>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</si>
  <si>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</si>
  <si>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</si>
  <si>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</si>
  <si>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</si>
  <si>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</si>
  <si>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</si>
  <si>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</si>
  <si>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</si>
  <si>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</si>
  <si>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</si>
  <si>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</si>
  <si>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</si>
  <si>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</si>
  <si>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</si>
  <si>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</si>
  <si>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</si>
  <si>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</si>
  <si>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</si>
  <si>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</si>
  <si>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</si>
  <si>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</si>
  <si>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</si>
  <si>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</si>
  <si>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</si>
  <si>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</si>
  <si>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</si>
  <si>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房地产抵押价值</t>
  </si>
  <si>
    <t>北京市</t>
  </si>
  <si>
    <t>企业</t>
  </si>
  <si>
    <t>实测报告</t>
    <phoneticPr fontId="134" type="noConversion"/>
  </si>
  <si>
    <t>部位及房号</t>
    <phoneticPr fontId="134" type="noConversion"/>
  </si>
  <si>
    <t>建筑面积</t>
    <phoneticPr fontId="134" type="noConversion"/>
  </si>
  <si>
    <r>
      <rPr>
        <sz val="10"/>
        <color theme="9" tint="-0.249977111117893"/>
        <rFont val="宋体"/>
        <family val="3"/>
        <charset val="134"/>
      </rPr>
      <t>海淀区魏公村路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</si>
  <si>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规划用途</t>
    <phoneticPr fontId="134" type="noConversion"/>
  </si>
  <si>
    <t>1单元</t>
    <phoneticPr fontId="134" type="noConversion"/>
  </si>
  <si>
    <t>2单元</t>
    <phoneticPr fontId="134" type="noConversion"/>
  </si>
  <si>
    <t>-4层(-4)</t>
    <phoneticPr fontId="134" type="noConversion"/>
  </si>
  <si>
    <t>车位</t>
  </si>
  <si>
    <t>戊类库房</t>
  </si>
  <si>
    <t>-3层(-3)</t>
    <phoneticPr fontId="134" type="noConversion"/>
  </si>
  <si>
    <t>可回收物品存储间</t>
  </si>
  <si>
    <t>保洁库房</t>
  </si>
  <si>
    <t>配套用房</t>
  </si>
  <si>
    <t>-2层(-2)</t>
    <phoneticPr fontId="134" type="noConversion"/>
  </si>
  <si>
    <t>员工餐厅（办公）</t>
  </si>
  <si>
    <t>-1层(-1)</t>
    <phoneticPr fontId="134" type="noConversion"/>
  </si>
  <si>
    <t>健身房、更衣区（办公）及游泳池（办公）</t>
  </si>
  <si>
    <t>1层(01)</t>
    <phoneticPr fontId="134" type="noConversion"/>
  </si>
  <si>
    <t>2层(02)</t>
    <phoneticPr fontId="134" type="noConversion"/>
  </si>
  <si>
    <t>3层(03)</t>
    <phoneticPr fontId="134" type="noConversion"/>
  </si>
  <si>
    <t>黄色出售给蚂蚁集团，剩余抵押</t>
    <phoneticPr fontId="134" type="noConversion"/>
  </si>
  <si>
    <t>面积总计</t>
    <phoneticPr fontId="134" type="noConversion"/>
  </si>
  <si>
    <t>合计</t>
    <phoneticPr fontId="134" type="noConversion"/>
  </si>
  <si>
    <t>-1层(-1)</t>
    <phoneticPr fontId="134" type="noConversion"/>
  </si>
  <si>
    <t>1层(01)</t>
    <phoneticPr fontId="134" type="noConversion"/>
  </si>
  <si>
    <t>商业小计</t>
    <phoneticPr fontId="134" type="noConversion"/>
  </si>
  <si>
    <t>办公小计</t>
    <phoneticPr fontId="134" type="noConversion"/>
  </si>
  <si>
    <t>车位小计</t>
    <phoneticPr fontId="134" type="noConversion"/>
  </si>
  <si>
    <t>——</t>
    <phoneticPr fontId="134" type="noConversion"/>
  </si>
  <si>
    <t>楼层</t>
    <phoneticPr fontId="134" type="noConversion"/>
  </si>
  <si>
    <t>库房小计</t>
    <phoneticPr fontId="134" type="noConversion"/>
  </si>
  <si>
    <t>是</t>
  </si>
  <si>
    <t>否</t>
  </si>
  <si>
    <t>已售</t>
    <phoneticPr fontId="3" type="noConversion"/>
  </si>
  <si>
    <t>地上</t>
  </si>
  <si>
    <t>底商</t>
  </si>
  <si>
    <t>地下</t>
  </si>
  <si>
    <t>办公楼</t>
  </si>
  <si>
    <t>建面</t>
  </si>
  <si>
    <t>单方建安</t>
  </si>
  <si>
    <t>合计</t>
  </si>
  <si>
    <t>建安</t>
  </si>
  <si>
    <t>主体</t>
  </si>
  <si>
    <t>装修</t>
  </si>
  <si>
    <t>设备</t>
  </si>
  <si>
    <t>人防设备</t>
  </si>
  <si>
    <t>综合平均</t>
  </si>
  <si>
    <t>办公</t>
    <phoneticPr fontId="7" type="noConversion"/>
  </si>
  <si>
    <t>商业</t>
    <phoneticPr fontId="7" type="noConversion"/>
  </si>
  <si>
    <t>车库</t>
    <phoneticPr fontId="7" type="noConversion"/>
  </si>
  <si>
    <t>库房</t>
  </si>
  <si>
    <t>库房</t>
    <phoneticPr fontId="7" type="noConversion"/>
  </si>
  <si>
    <t>成新度</t>
  </si>
  <si>
    <t>竣工验收</t>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</si>
  <si>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</si>
  <si>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</si>
  <si>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</si>
  <si>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</si>
  <si>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地上办公</t>
    <phoneticPr fontId="3" type="noConversion"/>
  </si>
  <si>
    <t>地下办公</t>
    <phoneticPr fontId="3" type="noConversion"/>
  </si>
  <si>
    <t>面积</t>
    <phoneticPr fontId="3" type="noConversion"/>
  </si>
  <si>
    <r>
      <t>B3</t>
    </r>
    <r>
      <rPr>
        <sz val="10"/>
        <color indexed="8"/>
        <rFont val="宋体"/>
        <family val="3"/>
        <charset val="134"/>
      </rPr>
      <t>层</t>
    </r>
    <phoneticPr fontId="3" type="noConversion"/>
  </si>
  <si>
    <t>商业</t>
    <phoneticPr fontId="3" type="noConversion"/>
  </si>
  <si>
    <r>
      <t>3</t>
    </r>
    <r>
      <rPr>
        <sz val="10"/>
        <color indexed="8"/>
        <rFont val="宋体"/>
        <family val="3"/>
        <charset val="134"/>
      </rPr>
      <t>层</t>
    </r>
    <phoneticPr fontId="3" type="noConversion"/>
  </si>
  <si>
    <t>系数</t>
    <phoneticPr fontId="3" type="noConversion"/>
  </si>
  <si>
    <t>租金</t>
    <phoneticPr fontId="3" type="noConversion"/>
  </si>
  <si>
    <t>总额</t>
    <phoneticPr fontId="3"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</si>
  <si>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</si>
  <si>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</si>
  <si>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</si>
  <si>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</si>
  <si>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</si>
  <si>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</si>
  <si>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收益法-库房</t>
  </si>
  <si>
    <t>收益法-库房</t>
    <phoneticPr fontId="16" type="noConversion"/>
  </si>
  <si>
    <t>押一</t>
  </si>
  <si>
    <t>钢混</t>
  </si>
  <si>
    <t>非生产用房</t>
  </si>
  <si>
    <t>自定义</t>
  </si>
  <si>
    <t>商务金融用地</t>
  </si>
  <si>
    <t>估价对象容积率</t>
  </si>
  <si>
    <t>不临65条商业街</t>
  </si>
  <si>
    <t>与级别开发程度不一致</t>
  </si>
  <si>
    <t>通路</t>
  </si>
  <si>
    <t>通电</t>
  </si>
  <si>
    <t>通讯</t>
  </si>
  <si>
    <t>通上水</t>
  </si>
  <si>
    <t>通下水</t>
  </si>
  <si>
    <t>燃气</t>
  </si>
  <si>
    <t>平整</t>
  </si>
  <si>
    <t>较好</t>
  </si>
  <si>
    <t>较差</t>
  </si>
  <si>
    <t>好</t>
  </si>
  <si>
    <t>基准地价修正-办公</t>
  </si>
  <si>
    <t>基准地价修正-办公</t>
    <phoneticPr fontId="16" type="noConversion"/>
  </si>
  <si>
    <t>基准地价修正-商业</t>
  </si>
  <si>
    <t>基准地价修正-商业</t>
    <phoneticPr fontId="16" type="noConversion"/>
  </si>
  <si>
    <t>楼层修正</t>
  </si>
  <si>
    <t>未包含在土地购买价格中</t>
  </si>
  <si>
    <t>全部缴纳</t>
  </si>
  <si>
    <t>已包含在土地取得成本中</t>
  </si>
  <si>
    <t>成本法</t>
  </si>
  <si>
    <t>收益法（汇总）</t>
  </si>
  <si>
    <t>总价</t>
  </si>
  <si>
    <t>成本比率</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</si>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</sst>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cellStyleXfs>
  <cellXfs count="39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9" fillId="0" borderId="1" xfId="0" applyNumberFormat="1" applyFont="1" applyFill="1" applyBorder="1" applyAlignment="1" applyProtection="1">
      <alignment horizontal="center" vertical="center" shrinkToFit="1"/>
    </xf>
    <xf numFmtId="196" fontId="19" fillId="0" borderId="1" xfId="0" applyNumberFormat="1" applyFont="1" applyFill="1" applyBorder="1" applyAlignment="1" applyProtection="1">
      <alignment horizontal="center" vertical="center" shrinkToFit="1"/>
    </xf>
    <xf numFmtId="0" fontId="107" fillId="0" borderId="0" xfId="0" applyFont="1" applyAlignment="1">
      <alignment horizontal="left" vertical="center"/>
    </xf>
    <xf numFmtId="0" fontId="112" fillId="0" borderId="0" xfId="0" applyFont="1" applyAlignment="1">
      <alignment horizontal="left" vertical="center"/>
    </xf>
    <xf numFmtId="196" fontId="19" fillId="0" borderId="1" xfId="0" applyNumberFormat="1" applyFont="1" applyFill="1" applyBorder="1" applyAlignment="1" applyProtection="1">
      <alignment horizontal="left" vertical="center" shrinkToFit="1"/>
    </xf>
    <xf numFmtId="0" fontId="19" fillId="0" borderId="1" xfId="0" applyNumberFormat="1" applyFont="1" applyFill="1" applyBorder="1" applyAlignment="1" applyProtection="1">
      <alignment horizontal="left" vertical="center" shrinkToFit="1"/>
    </xf>
    <xf numFmtId="0" fontId="107" fillId="0" borderId="1" xfId="0" applyFont="1" applyBorder="1" applyAlignment="1">
      <alignment horizontal="left" vertical="center"/>
    </xf>
    <xf numFmtId="0" fontId="107" fillId="0" borderId="1" xfId="0" applyNumberFormat="1" applyFont="1" applyBorder="1" applyAlignment="1">
      <alignment horizontal="left" vertical="center"/>
    </xf>
    <xf numFmtId="0" fontId="107" fillId="5" borderId="0" xfId="0" applyFont="1" applyFill="1" applyAlignment="1">
      <alignment horizontal="left" vertical="center"/>
    </xf>
    <xf numFmtId="0" fontId="19" fillId="5" borderId="1" xfId="0" applyNumberFormat="1" applyFont="1" applyFill="1" applyBorder="1" applyAlignment="1" applyProtection="1">
      <alignment horizontal="left" vertical="center" shrinkToFit="1"/>
    </xf>
    <xf numFmtId="196" fontId="19" fillId="5" borderId="1" xfId="0" applyNumberFormat="1" applyFont="1" applyFill="1" applyBorder="1" applyAlignment="1" applyProtection="1">
      <alignment horizontal="left" vertical="center" shrinkToFit="1"/>
    </xf>
    <xf numFmtId="0" fontId="19" fillId="5" borderId="1" xfId="0" applyNumberFormat="1" applyFont="1" applyFill="1" applyBorder="1" applyAlignment="1" applyProtection="1">
      <alignment horizontal="center" vertical="center" shrinkToFit="1"/>
    </xf>
    <xf numFmtId="196" fontId="19" fillId="5" borderId="1" xfId="0" applyNumberFormat="1" applyFont="1" applyFill="1" applyBorder="1" applyAlignment="1" applyProtection="1">
      <alignment horizontal="center" vertical="center" shrinkToFit="1"/>
    </xf>
    <xf numFmtId="0" fontId="112" fillId="0" borderId="0" xfId="0" applyFont="1" applyAlignment="1">
      <alignment vertical="center"/>
    </xf>
    <xf numFmtId="0" fontId="107" fillId="0" borderId="1" xfId="0" applyFont="1" applyBorder="1" applyAlignment="1">
      <alignment vertical="center"/>
    </xf>
    <xf numFmtId="0" fontId="0" fillId="0" borderId="0" xfId="0" applyAlignment="1">
      <alignment vertical="center"/>
    </xf>
    <xf numFmtId="0" fontId="107" fillId="0" borderId="0" xfId="0" applyFont="1" applyAlignment="1">
      <alignment vertical="center"/>
    </xf>
    <xf numFmtId="0" fontId="107" fillId="0" borderId="1" xfId="0" applyNumberFormat="1" applyFont="1" applyBorder="1" applyAlignment="1">
      <alignment vertical="center"/>
    </xf>
    <xf numFmtId="196" fontId="19" fillId="0" borderId="1" xfId="0" applyNumberFormat="1" applyFont="1" applyFill="1" applyBorder="1" applyAlignment="1" applyProtection="1">
      <alignment vertical="center" shrinkToFit="1"/>
    </xf>
    <xf numFmtId="0" fontId="19" fillId="0" borderId="1" xfId="0" applyNumberFormat="1" applyFont="1" applyFill="1" applyBorder="1" applyAlignment="1" applyProtection="1">
      <alignment vertical="center" shrinkToFit="1"/>
    </xf>
    <xf numFmtId="0" fontId="95" fillId="0" borderId="0" xfId="0" applyFont="1" applyAlignment="1">
      <alignment vertical="center"/>
    </xf>
    <xf numFmtId="179" fontId="0" fillId="0" borderId="0" xfId="0" applyNumberFormat="1" applyAlignment="1">
      <alignment horizontal="left" vertical="center"/>
    </xf>
    <xf numFmtId="0" fontId="19" fillId="0" borderId="0" xfId="0" applyNumberFormat="1" applyFont="1" applyFill="1" applyBorder="1" applyAlignment="1" applyProtection="1">
      <alignment vertical="center" shrinkToFit="1"/>
    </xf>
    <xf numFmtId="196" fontId="19" fillId="0" borderId="0" xfId="0" applyNumberFormat="1" applyFont="1" applyFill="1" applyBorder="1" applyAlignment="1" applyProtection="1">
      <alignment vertical="center" shrinkToFit="1"/>
    </xf>
    <xf numFmtId="0" fontId="19" fillId="0" borderId="13" xfId="0" applyNumberFormat="1" applyFont="1" applyFill="1" applyBorder="1" applyAlignment="1" applyProtection="1">
      <alignment vertical="center" shrinkToFit="1"/>
    </xf>
    <xf numFmtId="196" fontId="19" fillId="0" borderId="13" xfId="0" applyNumberFormat="1" applyFont="1" applyFill="1" applyBorder="1" applyAlignment="1" applyProtection="1">
      <alignment vertical="center" shrinkToFit="1"/>
    </xf>
    <xf numFmtId="0" fontId="19" fillId="0" borderId="2" xfId="0" applyNumberFormat="1" applyFont="1" applyFill="1" applyBorder="1" applyAlignment="1" applyProtection="1">
      <alignment vertical="center" shrinkToFit="1"/>
    </xf>
    <xf numFmtId="196" fontId="19" fillId="0" borderId="2" xfId="0" applyNumberFormat="1" applyFont="1" applyFill="1" applyBorder="1" applyAlignment="1" applyProtection="1">
      <alignment vertical="center" shrinkToFit="1"/>
    </xf>
    <xf numFmtId="0" fontId="80" fillId="0" borderId="1" xfId="0" applyNumberFormat="1" applyFont="1" applyFill="1" applyBorder="1" applyAlignment="1" applyProtection="1">
      <alignment vertical="center" shrinkToFit="1"/>
    </xf>
    <xf numFmtId="0" fontId="107" fillId="0" borderId="2" xfId="0" applyNumberFormat="1" applyFont="1" applyBorder="1" applyAlignme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79" fontId="47" fillId="12" borderId="1" xfId="10" applyNumberFormat="1" applyFont="1" applyFill="1" applyBorder="1" applyAlignment="1" applyProtection="1">
      <alignment horizontal="left" vertical="center"/>
      <protection locked="0"/>
    </xf>
    <xf numFmtId="0" fontId="113" fillId="0" borderId="23" xfId="0"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 xfId="1" applyFont="1" applyFill="1" applyBorder="1" applyAlignment="1" applyProtection="1">
      <alignmen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54" fillId="6" borderId="1" xfId="1" applyFont="1" applyFill="1" applyBorder="1" applyAlignment="1" applyProtection="1">
      <alignment vertical="center"/>
    </xf>
    <xf numFmtId="0" fontId="54" fillId="6" borderId="32" xfId="1" applyFont="1" applyFill="1" applyBorder="1" applyAlignment="1" applyProtection="1">
      <alignment vertical="center"/>
    </xf>
    <xf numFmtId="0" fontId="57" fillId="6" borderId="5" xfId="1" applyFont="1" applyFill="1" applyBorder="1" applyAlignment="1" applyProtection="1">
      <alignment vertical="center"/>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0" fontId="51" fillId="6" borderId="23" xfId="8" applyFont="1" applyFill="1" applyBorder="1" applyAlignment="1" applyProtection="1">
      <alignment horizontal="center" vertical="center" wrapText="1"/>
    </xf>
    <xf numFmtId="0" fontId="51" fillId="6" borderId="25" xfId="8" applyFont="1" applyFill="1" applyBorder="1" applyAlignment="1" applyProtection="1">
      <alignment horizontal="center" vertical="center" wrapText="1"/>
    </xf>
    <xf numFmtId="0" fontId="47" fillId="12" borderId="0" xfId="10" applyFont="1" applyFill="1" applyAlignment="1" applyProtection="1">
      <alignment horizontal="center" vertical="center"/>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0" fontId="53" fillId="5" borderId="84" xfId="8" applyFont="1" applyFill="1" applyBorder="1" applyAlignment="1" applyProtection="1">
      <alignment horizontal="center" vertical="center" wrapText="1"/>
      <protection locked="0"/>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8" fillId="0" borderId="1" xfId="8" applyFont="1" applyFill="1" applyBorder="1" applyAlignment="1" applyProtection="1">
      <alignment horizontal="center" vertical="center" wrapText="1"/>
    </xf>
    <xf numFmtId="0" fontId="7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 fontId="52" fillId="12" borderId="1" xfId="10" applyNumberFormat="1"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190" fontId="53" fillId="18"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12" fillId="0" borderId="0" xfId="0" applyFont="1" applyAlignment="1">
      <alignment horizontal="center" vertical="center"/>
    </xf>
    <xf numFmtId="0" fontId="112"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485029</xdr:colOff>
      <xdr:row>19</xdr:row>
      <xdr:rowOff>66259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71429" cy="3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520</v>
      </c>
      <c r="B1" s="1192" t="s">
        <v>599</v>
      </c>
    </row>
    <row r="2" spans="1:2" s="1197" customFormat="1" ht="15" thickTop="1">
      <c r="A2" s="1195" t="s">
        <v>521</v>
      </c>
      <c r="B2" s="1196" t="str">
        <f>'预评函-封皮'!B37:I37</f>
        <v>北京市海淀区魏公村路6号院1号楼房地产抵押价值预评估</v>
      </c>
    </row>
    <row r="3" spans="1:2" s="1200" customFormat="1">
      <c r="A3" s="1198" t="s">
        <v>522</v>
      </c>
      <c r="B3" s="1199">
        <f>'预评函-封皮'!B40</f>
        <v>0</v>
      </c>
    </row>
    <row r="4" spans="1:2" s="1200" customFormat="1">
      <c r="A4" s="1198" t="s">
        <v>523</v>
      </c>
      <c r="B4" s="1199" t="str">
        <f ca="1">'预评函-封皮'!B46</f>
        <v>崔锴（注册号：1120100036)、郑燚（注册号：1120070131)</v>
      </c>
    </row>
    <row r="5" spans="1:2" s="1194" customFormat="1" ht="15" thickBot="1">
      <c r="A5" s="1201" t="s">
        <v>524</v>
      </c>
      <c r="B5" s="1202" t="str">
        <f>'预评函-封皮'!B49</f>
        <v>康正预评字号</v>
      </c>
    </row>
    <row r="6" spans="1:2" s="1197" customFormat="1" ht="15" thickTop="1">
      <c r="A6" s="1195" t="s">
        <v>525</v>
      </c>
      <c r="B6" s="1196" t="str">
        <f>'预评函-1'!A4</f>
        <v>受贵公司委托，我公司对北京市海淀区魏公村路6号院1号楼房地产抵押价值进行了预评估。</v>
      </c>
    </row>
    <row r="7" spans="1:2" s="1200" customFormat="1">
      <c r="A7" s="1198" t="s">
        <v>565</v>
      </c>
      <c r="B7" s="1199" t="str">
        <f>'预评函-1'!A7</f>
        <v>估价对象为北京市海淀区魏公村路6号院1号楼房地产，为所有。根据《国有土地使用证》[]，估价对象（分摊）出让国有建设用地使用权面积为10426.78平方米，建筑面积为112144.48平方米。</v>
      </c>
    </row>
    <row r="8" spans="1:2" s="1200" customFormat="1">
      <c r="A8" s="1198" t="s">
        <v>566</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567</v>
      </c>
      <c r="B9" s="1199" t="str">
        <f>'预评函-1'!A10</f>
        <v>估价对象为北京市海淀区魏公村路6号院1号楼房地产,属开发建设的，该项目尚在开发建设中。根据《国有土地使用证》[]，估价对象（分摊）出让国有建设用地使用权面积为10426.78平方米，规划建筑面积为112144.48平方米。</v>
      </c>
    </row>
    <row r="10" spans="1:2" s="1200" customFormat="1">
      <c r="A10" s="1198" t="s">
        <v>568</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526</v>
      </c>
      <c r="B11" s="1199" t="str">
        <f>'预评函-1'!A13</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527</v>
      </c>
      <c r="B12" s="1199" t="str">
        <f>'预评函-1'!A15</f>
        <v>2023年1月4日</v>
      </c>
    </row>
    <row r="13" spans="1:2" s="1200" customFormat="1">
      <c r="A13" s="1198" t="s">
        <v>528</v>
      </c>
      <c r="B13" s="1199"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0" customFormat="1">
      <c r="A14" s="1198" t="s">
        <v>529</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530</v>
      </c>
      <c r="B15" s="1199" t="str">
        <f>'预评函-1'!A20</f>
        <v>本次估价的“房地产抵押价值”是指估价对象在价值时点的“房地产价值”扣减估价师于价值时点所知悉的法定优先受偿款后的余额。</v>
      </c>
    </row>
    <row r="16" spans="1:2" s="1200" customFormat="1">
      <c r="A16" s="1198" t="s">
        <v>531</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532</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533</v>
      </c>
      <c r="B18" s="1202" t="str">
        <f>'预评函-1'!A24</f>
        <v>本次评估采用的主估价方法为成本法和收益法。</v>
      </c>
    </row>
    <row r="19" spans="1:2" s="1197" customFormat="1" ht="15" thickTop="1">
      <c r="A19" s="1195" t="s">
        <v>534</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535</v>
      </c>
      <c r="B20" s="1199">
        <f ca="1">'预评函-2'!D5</f>
        <v>520309</v>
      </c>
    </row>
    <row r="21" spans="1:2" s="1200" customFormat="1">
      <c r="A21" s="1198" t="s">
        <v>536</v>
      </c>
      <c r="B21" s="1199">
        <f ca="1">'预评函-2'!D7</f>
        <v>46396</v>
      </c>
    </row>
    <row r="22" spans="1:2" s="1200" customFormat="1">
      <c r="A22" s="1198" t="s">
        <v>537</v>
      </c>
      <c r="B22" s="1199" t="str">
        <f ca="1">'预评函-2'!D6</f>
        <v>伍拾贰亿零叁佰零玖万元整</v>
      </c>
    </row>
    <row r="23" spans="1:2" s="1200" customFormat="1">
      <c r="A23" s="1198" t="s">
        <v>588</v>
      </c>
      <c r="B23" s="1199" t="str">
        <f>'预评函-2'!B8</f>
        <v>2.估价师知悉的法定优先受偿款</v>
      </c>
    </row>
    <row r="24" spans="1:2" s="1200" customFormat="1">
      <c r="A24" s="1198" t="s">
        <v>594</v>
      </c>
      <c r="B24" s="1199">
        <f>'预评函-2'!D8</f>
        <v>0</v>
      </c>
    </row>
    <row r="25" spans="1:2" s="1200" customFormat="1">
      <c r="A25" s="1198" t="s">
        <v>538</v>
      </c>
      <c r="B25" s="1199" t="str">
        <f>'预评函-2'!D9</f>
        <v>零元整</v>
      </c>
    </row>
    <row r="26" spans="1:2" s="1200" customFormat="1">
      <c r="A26" s="1198" t="s">
        <v>539</v>
      </c>
      <c r="B26" s="1199">
        <f>'预评函-2'!D10</f>
        <v>0</v>
      </c>
    </row>
    <row r="27" spans="1:2" s="1200" customFormat="1">
      <c r="A27" s="1198" t="s">
        <v>540</v>
      </c>
      <c r="B27" s="1199">
        <f>'预评函-2'!D11</f>
        <v>0</v>
      </c>
    </row>
    <row r="28" spans="1:2" s="1200" customFormat="1">
      <c r="A28" s="1198" t="s">
        <v>541</v>
      </c>
      <c r="B28" s="1199">
        <f>'预评函-2'!D12</f>
        <v>0</v>
      </c>
    </row>
    <row r="29" spans="1:2" s="1200" customFormat="1">
      <c r="A29" s="1198" t="s">
        <v>592</v>
      </c>
      <c r="B29" s="1199" t="str">
        <f>'预评函-2'!B13</f>
        <v>3.房地产抵押价值</v>
      </c>
    </row>
    <row r="30" spans="1:2" s="1200" customFormat="1">
      <c r="A30" s="1198" t="s">
        <v>593</v>
      </c>
      <c r="B30" s="1199">
        <f ca="1">'预评函-2'!D13</f>
        <v>520309</v>
      </c>
    </row>
    <row r="31" spans="1:2" s="1200" customFormat="1">
      <c r="A31" s="1198" t="s">
        <v>575</v>
      </c>
      <c r="B31" s="1199">
        <f ca="1">'预评函-2'!D15</f>
        <v>46396</v>
      </c>
    </row>
    <row r="32" spans="1:2" s="1200" customFormat="1">
      <c r="A32" s="1198" t="s">
        <v>542</v>
      </c>
      <c r="B32" s="1199" t="str">
        <f ca="1">'预评函-2'!D14</f>
        <v>伍拾贰亿零叁佰零玖万元整</v>
      </c>
    </row>
    <row r="33" spans="1:2" s="1200" customFormat="1">
      <c r="A33" s="1198" t="s">
        <v>577</v>
      </c>
      <c r="B33" s="1199" t="str">
        <f>'预评函-2'!B16</f>
        <v>——</v>
      </c>
    </row>
    <row r="34" spans="1:2" s="1200" customFormat="1">
      <c r="A34" s="1198" t="s">
        <v>595</v>
      </c>
      <c r="B34" s="1199" t="str">
        <f>'预评函-2'!D16</f>
        <v>——</v>
      </c>
    </row>
    <row r="35" spans="1:2" s="1200" customFormat="1">
      <c r="A35" s="1198" t="s">
        <v>576</v>
      </c>
      <c r="B35" s="1199" t="str">
        <f>'预评函-2'!D18</f>
        <v>——</v>
      </c>
    </row>
    <row r="36" spans="1:2" s="1200" customFormat="1">
      <c r="A36" s="1198" t="s">
        <v>543</v>
      </c>
      <c r="B36" s="1199" t="e">
        <f>'预评函-2'!D17</f>
        <v>#VALUE!</v>
      </c>
    </row>
    <row r="37" spans="1:2" s="1200" customFormat="1">
      <c r="A37" s="1198" t="s">
        <v>578</v>
      </c>
      <c r="B37" s="1199" t="str">
        <f>'预评函-2'!B19</f>
        <v>4.抵押净值</v>
      </c>
    </row>
    <row r="38" spans="1:2" s="1200" customFormat="1">
      <c r="A38" s="1198" t="s">
        <v>596</v>
      </c>
      <c r="B38" s="1199">
        <f ca="1">'预评函-2'!D19</f>
        <v>444381</v>
      </c>
    </row>
    <row r="39" spans="1:2" s="1200" customFormat="1">
      <c r="A39" s="1198" t="s">
        <v>544</v>
      </c>
      <c r="B39" s="1199">
        <f ca="1">'预评函-2'!D21</f>
        <v>39626</v>
      </c>
    </row>
    <row r="40" spans="1:2" s="1200" customFormat="1">
      <c r="A40" s="1198" t="s">
        <v>545</v>
      </c>
      <c r="B40" s="1199" t="str">
        <f ca="1">'预评函-2'!D20</f>
        <v>肆拾肆亿肆仟叁佰捌拾壹万元整</v>
      </c>
    </row>
    <row r="41" spans="1:2" s="1200" customFormat="1">
      <c r="A41" s="1198" t="s">
        <v>591</v>
      </c>
      <c r="B41" s="1199" t="str">
        <f>'预评函-3'!A4</f>
        <v>北京市海淀区魏公村路6号院1号楼房地产</v>
      </c>
    </row>
    <row r="42" spans="1:2" s="1200" customFormat="1">
      <c r="A42" s="1198" t="s">
        <v>589</v>
      </c>
      <c r="B42" s="1199" t="str">
        <f>'预评函-3'!B2</f>
        <v>建筑面积</v>
      </c>
    </row>
    <row r="43" spans="1:2" s="1200" customFormat="1">
      <c r="A43" s="1198" t="s">
        <v>590</v>
      </c>
      <c r="B43" s="1199">
        <f>'预评函-3'!B4</f>
        <v>112144.48</v>
      </c>
    </row>
    <row r="44" spans="1:2" s="1200" customFormat="1">
      <c r="A44" s="1198" t="s">
        <v>574</v>
      </c>
      <c r="B44" s="1199" t="str">
        <f>'预评函-3'!C2</f>
        <v>(分摊)土地面积</v>
      </c>
    </row>
    <row r="45" spans="1:2" s="1200" customFormat="1">
      <c r="A45" s="1198" t="s">
        <v>546</v>
      </c>
      <c r="B45" s="1199">
        <f>'预评函-3'!C4</f>
        <v>10426.780000000001</v>
      </c>
    </row>
    <row r="46" spans="1:2" s="1200" customFormat="1">
      <c r="A46" s="1198" t="s">
        <v>572</v>
      </c>
      <c r="B46" s="1199" t="str">
        <f>'预评函-3'!D2</f>
        <v>出让国有建设用地使用权价值</v>
      </c>
    </row>
    <row r="47" spans="1:2" s="1200" customFormat="1">
      <c r="A47" s="1198" t="s">
        <v>547</v>
      </c>
      <c r="B47" s="1199">
        <f ca="1">'预评函-3'!D4</f>
        <v>393874</v>
      </c>
    </row>
    <row r="48" spans="1:2" s="1200" customFormat="1">
      <c r="A48" s="1198" t="s">
        <v>548</v>
      </c>
      <c r="B48" s="1199">
        <f ca="1">'预评函-3'!E4</f>
        <v>35122</v>
      </c>
    </row>
    <row r="49" spans="1:2" s="1200" customFormat="1">
      <c r="A49" s="1198" t="s">
        <v>549</v>
      </c>
      <c r="B49" s="1199" t="str">
        <f ca="1">'预评函-3'!D5</f>
        <v>叁拾玖亿叁仟捌佰柒拾肆万元整</v>
      </c>
    </row>
    <row r="50" spans="1:2" s="1200" customFormat="1">
      <c r="A50" s="1198" t="s">
        <v>573</v>
      </c>
      <c r="B50" s="1199" t="str">
        <f>'预评函-3'!F2</f>
        <v>在建建筑物价值</v>
      </c>
    </row>
    <row r="51" spans="1:2" s="1200" customFormat="1">
      <c r="A51" s="1198" t="s">
        <v>550</v>
      </c>
      <c r="B51" s="1199">
        <f ca="1">'预评函-3'!F4</f>
        <v>126435</v>
      </c>
    </row>
    <row r="52" spans="1:2" s="1200" customFormat="1">
      <c r="A52" s="1198" t="s">
        <v>551</v>
      </c>
      <c r="B52" s="1199">
        <f ca="1">'预评函-3'!G4</f>
        <v>11274</v>
      </c>
    </row>
    <row r="53" spans="1:2" s="1200" customFormat="1">
      <c r="A53" s="1198" t="s">
        <v>579</v>
      </c>
      <c r="B53" s="1199" t="str">
        <f ca="1">'预评函-3'!F5</f>
        <v>壹拾贰亿陆仟肆佰叁拾伍万元整</v>
      </c>
    </row>
    <row r="54" spans="1:2" s="1200" customFormat="1">
      <c r="A54" s="1198" t="s">
        <v>597</v>
      </c>
      <c r="B54" s="1199" t="str">
        <f>'预评函-3'!A8</f>
        <v>房地产抵押价值</v>
      </c>
    </row>
    <row r="55" spans="1:2" s="1200" customFormat="1">
      <c r="A55" s="1198" t="s">
        <v>580</v>
      </c>
      <c r="B55" s="1199" t="str">
        <f>'预评函-3'!A10</f>
        <v/>
      </c>
    </row>
    <row r="56" spans="1:2" s="1200" customFormat="1">
      <c r="A56" s="1198" t="s">
        <v>581</v>
      </c>
      <c r="B56" s="1199" t="str">
        <f>'预评函-3'!A12</f>
        <v>抵押净值</v>
      </c>
    </row>
    <row r="57" spans="1:2" s="1194" customFormat="1" ht="15" thickBot="1">
      <c r="A57" s="1201" t="s">
        <v>598</v>
      </c>
      <c r="B57" s="1202" t="str">
        <f>'预评函-3'!A6</f>
        <v>估价师知悉的法定优先受偿款</v>
      </c>
    </row>
    <row r="58" spans="1:2" s="1197" customFormat="1" ht="15" thickTop="1">
      <c r="A58" s="1195" t="s">
        <v>552</v>
      </c>
      <c r="B58" s="1196" t="str">
        <f>'预评函-4'!A12</f>
        <v>2.本《评估意见函》仅供金融机构进行内部审核使用，不做其他目的之用。</v>
      </c>
    </row>
    <row r="59" spans="1:2" s="1200" customFormat="1">
      <c r="A59" s="1198" t="s">
        <v>553</v>
      </c>
      <c r="B59" s="1199" t="str">
        <f>'预评函-4'!A13</f>
        <v>3.抵押双方在办理抵押登记手续时，应使用本公司出具的正式《房地产评估报告》，特提醒报告使用者注意。</v>
      </c>
    </row>
    <row r="60" spans="1:2" s="1200" customFormat="1">
      <c r="A60" s="1198" t="s">
        <v>554</v>
      </c>
      <c r="B60" s="1199" t="str">
        <f>'预评函-4'!A14</f>
        <v>4.本次评估估价师所知悉的法定优先受偿款情况说明如下：</v>
      </c>
    </row>
    <row r="61" spans="1:2" s="1200" customFormat="1">
      <c r="A61" s="1198" t="s">
        <v>555</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556</v>
      </c>
      <c r="B62" s="1199" t="str">
        <f>'预评函-4'!A16</f>
        <v>（2）根据《工程款支付情况说明》，截至价值时点，估价对象不存在应付未付工程款项。（只要没有施工方盖章的，均“设定”进行表述）</v>
      </c>
    </row>
    <row r="63" spans="1:2" s="1200" customFormat="1">
      <c r="A63" s="1198" t="s">
        <v>557</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569</v>
      </c>
      <c r="B64" s="1199" t="str">
        <f>'预评函-4'!A18</f>
        <v>故，本次评估不存在估价师知悉的法定优先受偿款</v>
      </c>
    </row>
    <row r="65" spans="1:2" s="1200" customFormat="1">
      <c r="A65" s="1198" t="s">
        <v>558</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559</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570</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571</v>
      </c>
      <c r="B68" s="1199" t="str">
        <f>'预评函-4'!A22</f>
        <v>8.其他需特殊说明事项：无（注意调整序号）</v>
      </c>
    </row>
    <row r="69" spans="1:2" s="1194" customFormat="1" ht="15" thickBot="1">
      <c r="A69" s="1201" t="s">
        <v>560</v>
      </c>
      <c r="B69" s="1203">
        <f>'预评函-4'!C31</f>
        <v>42551</v>
      </c>
    </row>
    <row r="70" spans="1:2" ht="15" thickTop="1">
      <c r="A70" s="1204" t="s">
        <v>561</v>
      </c>
      <c r="B70" s="1205" t="str">
        <f>'预评函-4'!A4</f>
        <v>崔锴</v>
      </c>
    </row>
    <row r="71" spans="1:2">
      <c r="A71" s="1198" t="s">
        <v>562</v>
      </c>
      <c r="B71" s="1199">
        <f ca="1">'预评函-4'!B4</f>
        <v>1120100036</v>
      </c>
    </row>
    <row r="72" spans="1:2">
      <c r="A72" s="1198" t="s">
        <v>563</v>
      </c>
      <c r="B72" s="1207" t="str">
        <f>'预评函-4'!A5</f>
        <v>郑燚</v>
      </c>
    </row>
    <row r="73" spans="1:2" s="1194" customFormat="1" ht="15" thickBot="1">
      <c r="A73" s="1201" t="s">
        <v>564</v>
      </c>
      <c r="B73" s="1202">
        <f ca="1">'预评函-4'!B5</f>
        <v>1120070131</v>
      </c>
    </row>
    <row r="74" spans="1:2" ht="15" thickTop="1">
      <c r="A74" s="1191" t="s">
        <v>600</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976</v>
      </c>
      <c r="C1" s="1538" t="s">
        <v>313</v>
      </c>
      <c r="D1" s="1540" t="s">
        <v>3352</v>
      </c>
      <c r="E1" s="1539" t="s">
        <v>977</v>
      </c>
      <c r="F1" s="1539" t="s">
        <v>978</v>
      </c>
      <c r="G1" s="1539" t="s">
        <v>979</v>
      </c>
      <c r="H1" s="1539" t="s">
        <v>980</v>
      </c>
      <c r="I1" s="1539" t="s">
        <v>981</v>
      </c>
      <c r="J1" s="1539" t="s">
        <v>982</v>
      </c>
      <c r="K1" s="1539" t="s">
        <v>983</v>
      </c>
      <c r="L1" s="1539" t="s">
        <v>984</v>
      </c>
      <c r="M1" s="1539" t="s">
        <v>985</v>
      </c>
      <c r="N1" s="1539" t="s">
        <v>986</v>
      </c>
      <c r="O1" s="1539" t="s">
        <v>987</v>
      </c>
      <c r="P1" s="1540" t="s">
        <v>309</v>
      </c>
      <c r="Q1" s="1540" t="s">
        <v>446</v>
      </c>
      <c r="R1" s="1539" t="s">
        <v>440</v>
      </c>
      <c r="S1" s="1539" t="s">
        <v>988</v>
      </c>
      <c r="T1" s="1541" t="s">
        <v>989</v>
      </c>
      <c r="U1" s="1539" t="s">
        <v>990</v>
      </c>
      <c r="V1" s="1539" t="s">
        <v>991</v>
      </c>
      <c r="W1" s="1539" t="s">
        <v>311</v>
      </c>
    </row>
    <row r="2" spans="1:23">
      <c r="A2" s="1543" t="s">
        <v>19</v>
      </c>
      <c r="B2" s="1543" t="s">
        <v>992</v>
      </c>
      <c r="C2" s="1544" t="s">
        <v>314</v>
      </c>
      <c r="D2" s="1545" t="s">
        <v>993</v>
      </c>
      <c r="E2" s="1545" t="s">
        <v>994</v>
      </c>
      <c r="F2" s="1545" t="s">
        <v>995</v>
      </c>
      <c r="G2" s="1545">
        <v>20</v>
      </c>
      <c r="H2" s="1545" t="s">
        <v>995</v>
      </c>
      <c r="I2" s="1545" t="s">
        <v>3338</v>
      </c>
      <c r="J2" s="1545" t="s">
        <v>996</v>
      </c>
      <c r="K2" s="1545" t="s">
        <v>997</v>
      </c>
      <c r="L2" s="1545" t="s">
        <v>997</v>
      </c>
      <c r="M2" s="1545" t="s">
        <v>997</v>
      </c>
      <c r="N2" s="1545" t="s">
        <v>997</v>
      </c>
      <c r="O2" s="1545" t="s">
        <v>997</v>
      </c>
      <c r="P2" s="1545" t="s">
        <v>997</v>
      </c>
      <c r="Q2" s="1545" t="s">
        <v>997</v>
      </c>
      <c r="R2" s="1545" t="s">
        <v>442</v>
      </c>
      <c r="S2" s="1545" t="s">
        <v>997</v>
      </c>
      <c r="T2" s="1545" t="s">
        <v>998</v>
      </c>
      <c r="U2" s="1545" t="s">
        <v>997</v>
      </c>
      <c r="V2" s="1545" t="s">
        <v>999</v>
      </c>
      <c r="W2" s="1545" t="s">
        <v>997</v>
      </c>
    </row>
    <row r="3" spans="1:23">
      <c r="A3" s="1543" t="s">
        <v>1000</v>
      </c>
      <c r="B3" s="1546" t="s">
        <v>447</v>
      </c>
      <c r="C3" s="1547" t="s">
        <v>315</v>
      </c>
      <c r="D3" s="1545" t="s">
        <v>1001</v>
      </c>
      <c r="E3" s="1545" t="s">
        <v>13</v>
      </c>
      <c r="F3" s="1545" t="s">
        <v>1002</v>
      </c>
      <c r="G3" s="1545">
        <v>40</v>
      </c>
      <c r="H3" s="1545" t="s">
        <v>1002</v>
      </c>
      <c r="I3" s="1545" t="s">
        <v>3339</v>
      </c>
      <c r="J3" s="1545" t="s">
        <v>1003</v>
      </c>
      <c r="K3" s="1545" t="s">
        <v>1004</v>
      </c>
      <c r="L3" s="1545" t="s">
        <v>1004</v>
      </c>
      <c r="M3" s="1545" t="s">
        <v>1004</v>
      </c>
      <c r="N3" s="1545" t="s">
        <v>1004</v>
      </c>
      <c r="O3" s="1545" t="s">
        <v>1004</v>
      </c>
      <c r="P3" s="1545" t="s">
        <v>1004</v>
      </c>
      <c r="Q3" s="1545" t="s">
        <v>1004</v>
      </c>
      <c r="R3" s="1545" t="s">
        <v>441</v>
      </c>
      <c r="S3" s="1545" t="s">
        <v>1004</v>
      </c>
      <c r="T3" s="1545" t="s">
        <v>1005</v>
      </c>
      <c r="U3" s="1545" t="s">
        <v>1004</v>
      </c>
      <c r="V3" s="1545" t="s">
        <v>1006</v>
      </c>
      <c r="W3" s="1545" t="s">
        <v>1004</v>
      </c>
    </row>
    <row r="4" spans="1:23">
      <c r="A4" s="1543" t="s">
        <v>1007</v>
      </c>
      <c r="B4" s="1543" t="s">
        <v>1008</v>
      </c>
      <c r="C4" s="1544" t="s">
        <v>316</v>
      </c>
      <c r="D4" s="1545" t="s">
        <v>388</v>
      </c>
      <c r="E4" s="1545" t="s">
        <v>1009</v>
      </c>
      <c r="F4" s="1545" t="s">
        <v>1010</v>
      </c>
      <c r="G4" s="1545">
        <v>50</v>
      </c>
      <c r="H4" s="1545" t="s">
        <v>1010</v>
      </c>
      <c r="I4" s="1545" t="s">
        <v>3340</v>
      </c>
      <c r="K4" s="1545" t="s">
        <v>1011</v>
      </c>
      <c r="L4" s="1545" t="s">
        <v>1011</v>
      </c>
      <c r="M4" s="1545" t="s">
        <v>1011</v>
      </c>
      <c r="N4" s="1545" t="s">
        <v>1011</v>
      </c>
      <c r="O4" s="1545" t="s">
        <v>1011</v>
      </c>
      <c r="P4" s="1545" t="s">
        <v>1011</v>
      </c>
      <c r="Q4" s="1545" t="s">
        <v>1011</v>
      </c>
      <c r="R4" s="1545" t="s">
        <v>443</v>
      </c>
      <c r="S4" s="1545" t="s">
        <v>1011</v>
      </c>
      <c r="T4" s="1545" t="s">
        <v>1012</v>
      </c>
      <c r="U4" s="1545" t="s">
        <v>1011</v>
      </c>
      <c r="W4" s="1545" t="s">
        <v>1011</v>
      </c>
    </row>
    <row r="5" spans="1:23">
      <c r="A5" s="1543" t="s">
        <v>1013</v>
      </c>
      <c r="B5" s="1546" t="s">
        <v>3455</v>
      </c>
      <c r="C5" s="1544" t="s">
        <v>317</v>
      </c>
      <c r="F5" s="1545" t="s">
        <v>1014</v>
      </c>
      <c r="G5" s="1545">
        <v>70</v>
      </c>
      <c r="H5" s="1545" t="s">
        <v>1015</v>
      </c>
      <c r="I5" s="1545" t="s">
        <v>3341</v>
      </c>
      <c r="K5" s="1545" t="s">
        <v>1016</v>
      </c>
      <c r="L5" s="1545" t="s">
        <v>1016</v>
      </c>
      <c r="M5" s="1545" t="s">
        <v>1016</v>
      </c>
      <c r="N5" s="1545" t="s">
        <v>1016</v>
      </c>
      <c r="O5" s="1545" t="s">
        <v>1016</v>
      </c>
      <c r="P5" s="1545" t="s">
        <v>1016</v>
      </c>
      <c r="Q5" s="1545" t="s">
        <v>1016</v>
      </c>
      <c r="R5" s="1545" t="s">
        <v>444</v>
      </c>
      <c r="S5" s="1545" t="s">
        <v>1016</v>
      </c>
      <c r="T5" s="1545" t="s">
        <v>1017</v>
      </c>
      <c r="U5" s="1545" t="s">
        <v>1016</v>
      </c>
      <c r="W5" s="1545" t="s">
        <v>1016</v>
      </c>
    </row>
    <row r="6" spans="1:23">
      <c r="A6" s="1543" t="s">
        <v>1018</v>
      </c>
      <c r="B6" s="1546" t="s">
        <v>448</v>
      </c>
      <c r="C6" s="1549" t="s">
        <v>24</v>
      </c>
      <c r="F6" s="1545" t="s">
        <v>1015</v>
      </c>
      <c r="H6" s="1545" t="s">
        <v>1019</v>
      </c>
      <c r="I6" s="1545" t="s">
        <v>3342</v>
      </c>
      <c r="K6" s="1545" t="s">
        <v>1020</v>
      </c>
      <c r="L6" s="1545" t="s">
        <v>1020</v>
      </c>
      <c r="M6" s="1545" t="s">
        <v>1020</v>
      </c>
      <c r="N6" s="1545" t="s">
        <v>1020</v>
      </c>
      <c r="O6" s="1545" t="s">
        <v>1020</v>
      </c>
      <c r="P6" s="1545" t="s">
        <v>1020</v>
      </c>
      <c r="Q6" s="1545" t="s">
        <v>1020</v>
      </c>
      <c r="R6" s="1545" t="s">
        <v>445</v>
      </c>
      <c r="S6" s="1545" t="s">
        <v>1020</v>
      </c>
      <c r="T6" s="1545"/>
      <c r="U6" s="1545" t="s">
        <v>1020</v>
      </c>
      <c r="W6" s="1545" t="s">
        <v>1020</v>
      </c>
    </row>
    <row r="7" spans="1:23">
      <c r="A7" s="1543" t="s">
        <v>1021</v>
      </c>
      <c r="B7" s="1546" t="s">
        <v>449</v>
      </c>
      <c r="C7" s="1544" t="s">
        <v>25</v>
      </c>
      <c r="F7" s="1545" t="s">
        <v>1022</v>
      </c>
      <c r="H7" s="1545" t="s">
        <v>1023</v>
      </c>
      <c r="I7" s="1545" t="s">
        <v>3343</v>
      </c>
    </row>
    <row r="8" spans="1:23">
      <c r="A8" s="1543" t="s">
        <v>1024</v>
      </c>
      <c r="B8" s="1543" t="s">
        <v>1025</v>
      </c>
      <c r="C8" s="1544" t="s">
        <v>318</v>
      </c>
      <c r="F8" s="1545" t="s">
        <v>1026</v>
      </c>
      <c r="H8" s="1545" t="s">
        <v>2578</v>
      </c>
      <c r="I8" s="1545" t="s">
        <v>3344</v>
      </c>
    </row>
    <row r="9" spans="1:23">
      <c r="A9" s="1543" t="s">
        <v>1027</v>
      </c>
      <c r="B9" s="1543" t="s">
        <v>1028</v>
      </c>
      <c r="C9" s="1544" t="s">
        <v>319</v>
      </c>
      <c r="F9" s="1545" t="s">
        <v>1029</v>
      </c>
      <c r="H9" s="1545"/>
      <c r="I9" s="1548" t="s">
        <v>3345</v>
      </c>
    </row>
    <row r="10" spans="1:23">
      <c r="A10" s="1543" t="s">
        <v>1030</v>
      </c>
      <c r="B10" s="1543" t="s">
        <v>1031</v>
      </c>
      <c r="C10" s="1544" t="s">
        <v>320</v>
      </c>
      <c r="F10" s="1545" t="s">
        <v>2579</v>
      </c>
      <c r="I10" s="1548" t="s">
        <v>3346</v>
      </c>
    </row>
    <row r="11" spans="1:23">
      <c r="A11" s="1543" t="s">
        <v>1032</v>
      </c>
      <c r="B11" s="1543" t="s">
        <v>1033</v>
      </c>
      <c r="C11" s="1544" t="s">
        <v>321</v>
      </c>
      <c r="F11" s="1545" t="s">
        <v>13</v>
      </c>
      <c r="I11" s="1548" t="s">
        <v>3347</v>
      </c>
    </row>
    <row r="12" spans="1:23">
      <c r="A12" s="1543" t="s">
        <v>1034</v>
      </c>
      <c r="B12" s="1543" t="s">
        <v>1035</v>
      </c>
      <c r="C12" s="1544" t="s">
        <v>322</v>
      </c>
      <c r="I12" s="1548" t="s">
        <v>3348</v>
      </c>
    </row>
    <row r="13" spans="1:23">
      <c r="A13" s="1543" t="s">
        <v>1036</v>
      </c>
      <c r="B13" s="1543" t="s">
        <v>1037</v>
      </c>
      <c r="C13" s="1544" t="s">
        <v>323</v>
      </c>
      <c r="I13" s="1548" t="s">
        <v>3349</v>
      </c>
    </row>
    <row r="14" spans="1:23">
      <c r="A14" s="1543" t="s">
        <v>1038</v>
      </c>
      <c r="B14" s="1543" t="s">
        <v>1039</v>
      </c>
      <c r="C14" s="1545" t="s">
        <v>13</v>
      </c>
      <c r="I14" s="1548" t="s">
        <v>3350</v>
      </c>
    </row>
    <row r="15" spans="1:23">
      <c r="A15" s="1543" t="s">
        <v>1040</v>
      </c>
      <c r="B15" s="1543" t="s">
        <v>1041</v>
      </c>
      <c r="C15" s="1544"/>
      <c r="I15" s="1548" t="s">
        <v>3351</v>
      </c>
    </row>
    <row r="16" spans="1:23">
      <c r="A16" s="1543" t="s">
        <v>1042</v>
      </c>
      <c r="B16" s="1543" t="s">
        <v>3481</v>
      </c>
      <c r="C16" s="1544"/>
    </row>
    <row r="17" spans="1:3">
      <c r="A17" s="1543" t="s">
        <v>1043</v>
      </c>
      <c r="B17" s="1543" t="s">
        <v>2290</v>
      </c>
      <c r="C17" s="1544"/>
    </row>
    <row r="18" spans="1:3">
      <c r="A18" s="1543" t="s">
        <v>1044</v>
      </c>
      <c r="B18" s="1543" t="s">
        <v>2434</v>
      </c>
      <c r="C18" s="1544"/>
    </row>
    <row r="19" spans="1:3">
      <c r="A19" s="1543" t="s">
        <v>1045</v>
      </c>
      <c r="B19" s="1546" t="s">
        <v>3457</v>
      </c>
      <c r="C19" s="1544"/>
    </row>
    <row r="20" spans="1:3">
      <c r="A20" s="1543" t="s">
        <v>1046</v>
      </c>
      <c r="B20" s="1546" t="s">
        <v>3459</v>
      </c>
      <c r="C20" s="1544"/>
    </row>
    <row r="21" spans="1:3">
      <c r="A21" s="1543" t="s">
        <v>1047</v>
      </c>
      <c r="B21" s="1546" t="s">
        <v>3461</v>
      </c>
      <c r="C21" s="1544"/>
    </row>
    <row r="22" spans="1:3">
      <c r="A22" s="1543" t="s">
        <v>1048</v>
      </c>
      <c r="B22" s="1543" t="s">
        <v>3483</v>
      </c>
      <c r="C22" s="1544"/>
    </row>
    <row r="23" spans="1:3">
      <c r="A23" s="1543" t="s">
        <v>1049</v>
      </c>
      <c r="B23" s="1543" t="s">
        <v>312</v>
      </c>
      <c r="C23" s="1544"/>
    </row>
    <row r="24" spans="1:3">
      <c r="A24" s="1543" t="s">
        <v>1050</v>
      </c>
      <c r="B24" s="1543" t="s">
        <v>312</v>
      </c>
      <c r="C24" s="1544"/>
    </row>
    <row r="25" spans="1:3">
      <c r="A25" s="1543" t="s">
        <v>1051</v>
      </c>
      <c r="B25" s="1543" t="s">
        <v>312</v>
      </c>
      <c r="C25" s="1544"/>
    </row>
    <row r="26" spans="1:3">
      <c r="A26" s="1543" t="s">
        <v>1052</v>
      </c>
      <c r="B26" s="1543" t="s">
        <v>312</v>
      </c>
      <c r="C26" s="1544"/>
    </row>
    <row r="27" spans="1:3">
      <c r="A27" s="1543" t="s">
        <v>312</v>
      </c>
      <c r="B27" s="1543" t="s">
        <v>312</v>
      </c>
      <c r="C27" s="1544"/>
    </row>
    <row r="28" spans="1:3">
      <c r="A28" s="1543" t="s">
        <v>312</v>
      </c>
      <c r="B28" s="1543" t="s">
        <v>312</v>
      </c>
      <c r="C28" s="1544"/>
    </row>
    <row r="29" spans="1:3">
      <c r="A29" s="1543" t="s">
        <v>312</v>
      </c>
      <c r="B29" s="1543" t="s">
        <v>312</v>
      </c>
      <c r="C29" s="1544"/>
    </row>
    <row r="30" spans="1:3">
      <c r="A30" s="1543" t="s">
        <v>312</v>
      </c>
      <c r="B30" s="1543" t="s">
        <v>312</v>
      </c>
      <c r="C30" s="1544"/>
    </row>
    <row r="31" spans="1:3">
      <c r="A31" s="1543" t="s">
        <v>312</v>
      </c>
      <c r="B31" s="1543" t="s">
        <v>312</v>
      </c>
      <c r="C31" s="1544"/>
    </row>
    <row r="32" spans="1:3">
      <c r="A32" s="1543" t="s">
        <v>312</v>
      </c>
      <c r="B32" s="1543" t="s">
        <v>312</v>
      </c>
      <c r="C32" s="1544"/>
    </row>
    <row r="33" spans="1:3">
      <c r="A33" s="1543" t="s">
        <v>312</v>
      </c>
      <c r="B33" s="1543" t="s">
        <v>312</v>
      </c>
      <c r="C33" s="1544"/>
    </row>
    <row r="34" spans="1:3">
      <c r="A34" s="1543" t="s">
        <v>312</v>
      </c>
      <c r="B34" s="1543" t="s">
        <v>312</v>
      </c>
      <c r="C34" s="1544"/>
    </row>
    <row r="35" spans="1:3">
      <c r="A35" s="1543" t="s">
        <v>312</v>
      </c>
      <c r="B35" s="1543" t="s">
        <v>312</v>
      </c>
      <c r="C35" s="1544"/>
    </row>
    <row r="36" spans="1:3">
      <c r="A36" s="1543" t="s">
        <v>312</v>
      </c>
      <c r="B36" s="1543" t="s">
        <v>312</v>
      </c>
      <c r="C36" s="1544"/>
    </row>
    <row r="37" spans="1:3">
      <c r="A37" s="1543" t="s">
        <v>312</v>
      </c>
      <c r="B37" s="1543" t="s">
        <v>312</v>
      </c>
      <c r="C37" s="1544"/>
    </row>
    <row r="38" spans="1:3">
      <c r="A38" s="1543" t="s">
        <v>312</v>
      </c>
      <c r="B38" s="1543" t="s">
        <v>312</v>
      </c>
      <c r="C38" s="1544"/>
    </row>
    <row r="39" spans="1:3">
      <c r="A39" s="1543" t="s">
        <v>312</v>
      </c>
      <c r="B39" s="1543" t="s">
        <v>312</v>
      </c>
      <c r="C39" s="1544"/>
    </row>
    <row r="40" spans="1:3">
      <c r="A40" s="1543" t="s">
        <v>312</v>
      </c>
      <c r="B40" s="1543" t="s">
        <v>312</v>
      </c>
      <c r="C40" s="1544"/>
    </row>
    <row r="41" spans="1:3">
      <c r="A41" s="1543" t="s">
        <v>312</v>
      </c>
      <c r="B41" s="1543" t="s">
        <v>312</v>
      </c>
      <c r="C41" s="1544"/>
    </row>
    <row r="42" spans="1:3">
      <c r="A42" s="1543" t="s">
        <v>312</v>
      </c>
      <c r="B42" s="1543" t="s">
        <v>312</v>
      </c>
      <c r="C42" s="1544"/>
    </row>
    <row r="43" spans="1:3">
      <c r="A43" s="1543" t="s">
        <v>312</v>
      </c>
      <c r="B43" s="1543" t="s">
        <v>312</v>
      </c>
      <c r="C43" s="1544"/>
    </row>
    <row r="44" spans="1:3">
      <c r="A44" s="1543" t="s">
        <v>312</v>
      </c>
      <c r="B44" s="1543" t="s">
        <v>312</v>
      </c>
      <c r="C44" s="1544"/>
    </row>
    <row r="45" spans="1:3">
      <c r="A45" s="1543" t="s">
        <v>312</v>
      </c>
      <c r="B45" s="1543" t="s">
        <v>312</v>
      </c>
      <c r="C45" s="1544"/>
    </row>
    <row r="46" spans="1:3">
      <c r="A46" s="1543" t="s">
        <v>312</v>
      </c>
      <c r="B46" s="1543" t="s">
        <v>312</v>
      </c>
      <c r="C46" s="1544"/>
    </row>
    <row r="47" spans="1:3">
      <c r="A47" s="1543" t="s">
        <v>312</v>
      </c>
      <c r="B47" s="1543" t="s">
        <v>312</v>
      </c>
      <c r="C47" s="1544"/>
    </row>
    <row r="48" spans="1:3">
      <c r="A48" s="1543" t="s">
        <v>312</v>
      </c>
      <c r="B48" s="1543" t="s">
        <v>312</v>
      </c>
      <c r="C48" s="1544"/>
    </row>
    <row r="49" spans="1:4">
      <c r="A49" s="1543" t="s">
        <v>312</v>
      </c>
      <c r="B49" s="1543" t="s">
        <v>312</v>
      </c>
      <c r="C49" s="1544"/>
    </row>
    <row r="50" spans="1:4">
      <c r="A50" s="1543" t="s">
        <v>312</v>
      </c>
      <c r="B50" s="1543" t="s">
        <v>312</v>
      </c>
      <c r="C50" s="1544"/>
    </row>
    <row r="51" spans="1:4">
      <c r="A51" s="1550" t="s">
        <v>377</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c r="D51" s="1551" t="s">
        <v>585</v>
      </c>
    </row>
    <row r="52" spans="1:4">
      <c r="A52" s="1550" t="s">
        <v>378</v>
      </c>
      <c r="B52" s="1550" t="s">
        <v>379</v>
      </c>
      <c r="C52" s="1548" t="s">
        <v>380</v>
      </c>
      <c r="D52" s="1548" t="s">
        <v>381</v>
      </c>
    </row>
    <row r="53" spans="1:4">
      <c r="A53" s="3601" t="s">
        <v>382</v>
      </c>
      <c r="B53" s="1551" t="s">
        <v>383</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1551" t="s">
        <v>384</v>
      </c>
      <c r="C54" s="1548" t="s">
        <v>582</v>
      </c>
    </row>
    <row r="55" spans="1:4">
      <c r="A55" s="3601"/>
      <c r="B55" s="1551" t="s">
        <v>385</v>
      </c>
      <c r="C55" s="1548" t="s">
        <v>583</v>
      </c>
    </row>
    <row r="56" spans="1:4">
      <c r="A56" s="3601"/>
      <c r="B56" s="1551" t="s">
        <v>386</v>
      </c>
      <c r="C56" s="1548" t="s">
        <v>587</v>
      </c>
    </row>
    <row r="57" spans="1:4">
      <c r="A57" s="3601"/>
      <c r="B57" s="1551" t="s">
        <v>387</v>
      </c>
      <c r="C57" s="1548" t="s">
        <v>584</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602" t="s">
        <v>2581</v>
      </c>
      <c r="J2" s="3602"/>
      <c r="K2" s="3602"/>
      <c r="L2" s="3602"/>
      <c r="M2" s="3602"/>
      <c r="N2" s="3602"/>
      <c r="O2" s="3602"/>
      <c r="P2" s="3602"/>
      <c r="Q2" s="3602"/>
      <c r="R2" s="3602"/>
    </row>
    <row r="3" spans="1:18">
      <c r="A3" s="3017" t="s">
        <v>2502</v>
      </c>
      <c r="B3" s="3018">
        <f>项目基本情况!D3</f>
        <v>44930</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3.95</v>
      </c>
      <c r="D5" s="3022">
        <f>IF(ISERROR(ROUND(POWER(1+E5,A5-C5)*(POWER(1+E5,C5)-1)/(POWER(1+E5,A5)-1),3)),0,ROUND(POWER(1+E5,A5-C5)*(POWER(1+E5,C5)-1)/(POWER(1+E5,A5)-1),4))</f>
        <v>0.18129999999999999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13.96</v>
      </c>
      <c r="D6" s="3022">
        <f>IF(ISERROR(ROUND(POWER(1+E6,A6-C6)*(POWER(1+E6,C6)-1)/(POWER(1+E6,A6)-1),3)),0,ROUND(POWER(1+E6,A6-C6)*(POWER(1+E6,C6)-1)/(POWER(1+E6,A6)-1),4))</f>
        <v>0.49070000000000003</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33.979999999999997</v>
      </c>
      <c r="D7" s="3022">
        <f>IF(ISERROR(ROUND(POWER(1+E7,A7-C7)*(POWER(1+E7,C7)-1)/(POWER(1+E7,A7)-1),3)),0,ROUND(POWER(1+E7,A7-C7)*(POWER(1+E7,C7)-1)/(POWER(1+E7,A7)-1),4))</f>
        <v>0.78680000000000005</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R51" sqref="R51"/>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603" t="str">
        <f>IF(B10="北京市","北京市",C10)&amp;F10&amp;IF(结果表!G1="在建","出让国有建设用地使用权及在建建筑物",IF(结果表!G1="土地","出让国有建设用地使用权",))&amp;B9&amp;"预评估"</f>
        <v>北京市海淀区魏公村路6号院1号楼房地产抵押价值预评估</v>
      </c>
      <c r="C1" s="3604"/>
      <c r="D1" s="3604"/>
      <c r="E1" s="3604"/>
      <c r="F1" s="3604"/>
      <c r="G1" s="3604"/>
      <c r="H1" s="3604"/>
      <c r="I1" s="360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北京市海淀区魏公村路6号院1号楼房地产抵押价值</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北京市海淀区魏公村路6号院1号楼房地产</v>
      </c>
      <c r="T2" s="1742"/>
      <c r="U2" s="1742"/>
      <c r="V2" s="1742"/>
      <c r="W2" s="1742"/>
      <c r="X2" s="1742"/>
      <c r="Y2" s="1742"/>
      <c r="Z2" s="1742"/>
      <c r="AA2" s="1742"/>
      <c r="AB2" s="1742"/>
    </row>
    <row r="3" spans="1:30">
      <c r="A3" s="302" t="s">
        <v>2167</v>
      </c>
      <c r="B3" s="2370"/>
      <c r="C3" s="2371" t="s">
        <v>2168</v>
      </c>
      <c r="D3" s="2370">
        <v>44930</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t="s">
        <v>3381</v>
      </c>
      <c r="C4" s="2373">
        <f ca="1">SUMIF(注册房地产估价师,B4,估价师及机构信息!B3:B24)</f>
        <v>1120100036</v>
      </c>
      <c r="D4" s="2372" t="s">
        <v>3382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606" t="s">
        <v>2174</v>
      </c>
      <c r="E8" s="2388" t="s">
        <v>3383</v>
      </c>
      <c r="F8" s="2389"/>
      <c r="G8" s="2660"/>
      <c r="H8" s="2660"/>
      <c r="I8" s="2660"/>
      <c r="J8" s="2436"/>
      <c r="K8" s="2611"/>
      <c r="L8" s="2610"/>
      <c r="M8" s="2610"/>
      <c r="N8" s="2436"/>
      <c r="O8" s="2447"/>
      <c r="P8" s="2436"/>
      <c r="Q8" s="2436"/>
      <c r="R8" s="2436"/>
    </row>
    <row r="9" spans="1:30" ht="13.5" thickBot="1">
      <c r="A9" s="2390" t="s">
        <v>2175</v>
      </c>
      <c r="B9" s="2391" t="s">
        <v>3383</v>
      </c>
      <c r="C9" s="2392"/>
      <c r="D9" s="3607"/>
      <c r="E9" s="2391" t="s">
        <v>586</v>
      </c>
      <c r="F9" s="2393"/>
      <c r="G9" s="2662"/>
      <c r="H9" s="2662"/>
      <c r="I9" s="2662"/>
      <c r="J9" s="2436"/>
      <c r="K9" s="2613"/>
      <c r="L9" s="2610"/>
      <c r="M9" s="2610"/>
      <c r="N9" s="2436"/>
      <c r="O9" s="2447"/>
      <c r="P9" s="2436"/>
      <c r="Q9" s="2436"/>
      <c r="R9" s="2436"/>
    </row>
    <row r="10" spans="1:30" ht="13.5" thickTop="1">
      <c r="A10" s="2394" t="s">
        <v>2176</v>
      </c>
      <c r="B10" s="2395" t="s">
        <v>3384</v>
      </c>
      <c r="C10" s="2396"/>
      <c r="D10" s="2379"/>
      <c r="E10" s="2397" t="s">
        <v>2177</v>
      </c>
      <c r="F10" s="2663" t="s">
        <v>3389</v>
      </c>
      <c r="G10" s="2664"/>
      <c r="H10" s="2665"/>
      <c r="I10" s="2666"/>
      <c r="J10" s="2436"/>
      <c r="K10" s="2613"/>
      <c r="L10" s="2610"/>
      <c r="M10" s="2610"/>
      <c r="N10" s="2436"/>
      <c r="O10" s="2447"/>
      <c r="P10" s="2436"/>
      <c r="Q10" s="2436"/>
      <c r="R10" s="2436"/>
    </row>
    <row r="11" spans="1:30">
      <c r="A11" s="2398" t="s">
        <v>2178</v>
      </c>
      <c r="B11" s="2399" t="s">
        <v>3385</v>
      </c>
      <c r="C11" s="2400"/>
      <c r="D11" s="2401"/>
      <c r="E11" s="2367"/>
      <c r="F11" s="2367"/>
      <c r="G11" s="2367"/>
      <c r="H11" s="2367"/>
      <c r="I11" s="2367"/>
      <c r="J11" s="3058"/>
      <c r="K11" s="3057"/>
      <c r="L11" s="2610"/>
      <c r="M11" s="2610"/>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3"/>
      <c r="D13" s="853">
        <v>52525</v>
      </c>
      <c r="E13" s="853">
        <v>56178</v>
      </c>
      <c r="F13" s="853">
        <v>56178</v>
      </c>
      <c r="G13" s="853">
        <v>56178</v>
      </c>
      <c r="H13" s="853"/>
      <c r="I13" s="853"/>
      <c r="J13" s="3059"/>
      <c r="K13" s="2610"/>
      <c r="L13" s="2610"/>
      <c r="M13" s="2436"/>
      <c r="N13" s="2447"/>
      <c r="O13" s="2436"/>
      <c r="P13" s="2436"/>
      <c r="Q13" s="2436"/>
      <c r="AD13" s="1742"/>
    </row>
    <row r="14" spans="1:30">
      <c r="A14" s="1078"/>
      <c r="B14" s="2404" t="s">
        <v>2188</v>
      </c>
      <c r="C14" s="2405"/>
      <c r="D14" s="2405">
        <v>40</v>
      </c>
      <c r="E14" s="2405">
        <v>50</v>
      </c>
      <c r="F14" s="2405">
        <v>50</v>
      </c>
      <c r="G14" s="2405">
        <v>50</v>
      </c>
      <c r="H14" s="2405"/>
      <c r="I14" s="2405"/>
      <c r="J14" s="3060"/>
      <c r="K14" s="2610"/>
      <c r="L14" s="2610"/>
      <c r="M14" s="2436"/>
      <c r="N14" s="2447"/>
      <c r="O14" s="2436"/>
      <c r="P14" s="2436"/>
      <c r="Q14" s="2436"/>
      <c r="AD14" s="1742"/>
    </row>
    <row r="15" spans="1:30">
      <c r="A15" s="320"/>
      <c r="B15" s="2406" t="s">
        <v>2189</v>
      </c>
      <c r="C15" s="2407" t="str">
        <f>IF(A13="出让",IF(C13="","",ROUNDDOWN(MIN((C13-$D$3)/365,C14),2)),C14)</f>
        <v/>
      </c>
      <c r="D15" s="2407">
        <f>IF(A13="出让",IF(D13="","",ROUNDDOWN(MIN((D13-$D$3)/365,D14),2)),D14)</f>
        <v>20.8</v>
      </c>
      <c r="E15" s="2407">
        <f>IF(A13="出让",IF(E13="","",ROUNDDOWN(MIN((E13-$D$3)/365,E14),2)),E14)</f>
        <v>30.81</v>
      </c>
      <c r="F15" s="2407">
        <f>IF(A13="出让",IF(F13="","",ROUNDDOWN(MIN((F13-$D$3)/365,F14),2)),F14)</f>
        <v>30.81</v>
      </c>
      <c r="G15" s="2407">
        <f>IF(A13="出让",IF(G13="","",ROUNDDOWN(MIN((G13-$D$3)/365,G14),2)),G14)</f>
        <v>30.81</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2190</v>
      </c>
      <c r="B16" s="3613"/>
      <c r="C16" s="3614"/>
      <c r="D16" s="3615"/>
      <c r="E16" s="2410" t="s">
        <v>2191</v>
      </c>
      <c r="F16" s="3616"/>
      <c r="G16" s="3617"/>
      <c r="H16" s="3617"/>
      <c r="I16" s="3618"/>
      <c r="J16" s="2436"/>
      <c r="K16" s="2614"/>
      <c r="L16" s="2448"/>
      <c r="M16" s="2448"/>
      <c r="N16" s="2506"/>
      <c r="O16" s="2448"/>
      <c r="P16" s="2506"/>
      <c r="Q16" s="2436"/>
      <c r="R16" s="2436"/>
    </row>
    <row r="17" spans="1:28">
      <c r="A17" s="313" t="s">
        <v>2192</v>
      </c>
      <c r="B17" s="302" t="s">
        <v>2193</v>
      </c>
      <c r="C17" s="8">
        <f>'数据-汇总表'!E3</f>
        <v>112144.48</v>
      </c>
      <c r="D17" s="2319" t="s">
        <v>2194</v>
      </c>
      <c r="E17" s="3619" t="s">
        <v>2195</v>
      </c>
      <c r="F17" s="3620"/>
      <c r="G17" s="3620"/>
      <c r="H17" s="3620"/>
      <c r="I17" s="3621"/>
      <c r="J17" s="2436"/>
      <c r="K17" s="2615"/>
      <c r="L17" s="2448"/>
      <c r="M17" s="2448"/>
      <c r="N17" s="2506"/>
      <c r="O17" s="2448"/>
      <c r="P17" s="2506"/>
      <c r="Q17" s="2436"/>
      <c r="R17" s="2436"/>
      <c r="S17" s="2436"/>
      <c r="T17" s="2436"/>
      <c r="U17" s="2436"/>
      <c r="V17" s="2436"/>
    </row>
    <row r="18" spans="1:28" ht="24.75" thickBot="1">
      <c r="A18" s="2411" t="s">
        <v>2196</v>
      </c>
      <c r="B18" s="1087" t="s">
        <v>2197</v>
      </c>
      <c r="C18" s="2412">
        <f>'数据-汇总表'!D3</f>
        <v>10426.780000000001</v>
      </c>
      <c r="D18" s="1089" t="s">
        <v>2198</v>
      </c>
      <c r="E18" s="3622" t="s">
        <v>2199</v>
      </c>
      <c r="F18" s="3623"/>
      <c r="G18" s="3623"/>
      <c r="H18" s="3623"/>
      <c r="I18" s="3624"/>
      <c r="J18" s="2436"/>
      <c r="K18" s="2615"/>
      <c r="L18" s="2448"/>
      <c r="M18" s="2448"/>
      <c r="N18" s="2506"/>
      <c r="O18" s="2448"/>
      <c r="P18" s="2506"/>
      <c r="Q18" s="2436"/>
      <c r="R18" s="2436"/>
      <c r="S18" s="2436"/>
      <c r="T18" s="2436"/>
      <c r="U18" s="2436"/>
      <c r="V18" s="2436"/>
    </row>
    <row r="19" spans="1:28" ht="37.5" thickTop="1" thickBot="1">
      <c r="A19" s="327" t="s">
        <v>1053</v>
      </c>
      <c r="B19" s="307"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609" t="s">
        <v>2203</v>
      </c>
      <c r="C20" s="3610"/>
      <c r="D20" s="3611" t="s">
        <v>2204</v>
      </c>
      <c r="E20" s="3612"/>
      <c r="F20" s="2644" t="s">
        <v>1054</v>
      </c>
      <c r="G20" s="2661"/>
      <c r="H20" s="2661"/>
      <c r="I20" s="2661"/>
      <c r="J20" s="2436"/>
      <c r="K20" s="360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2206</v>
      </c>
      <c r="C21" s="2631" t="s">
        <v>1055</v>
      </c>
      <c r="D21" s="1565" t="s">
        <v>2207</v>
      </c>
      <c r="E21" s="2632" t="s">
        <v>1055</v>
      </c>
      <c r="F21" s="2645"/>
      <c r="G21" s="2661"/>
      <c r="H21" s="2661"/>
      <c r="I21" s="2661"/>
      <c r="J21" s="2436"/>
      <c r="K21" s="36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2208</v>
      </c>
      <c r="C22" s="2631" t="s">
        <v>1056</v>
      </c>
      <c r="D22" s="2660"/>
      <c r="E22" s="2660"/>
      <c r="F22" s="2660"/>
      <c r="G22" s="2661"/>
      <c r="H22" s="2661"/>
      <c r="I22" s="2661"/>
      <c r="J22" s="2436"/>
      <c r="K22" s="36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1057</v>
      </c>
      <c r="C24" s="2638"/>
      <c r="D24" s="2634" t="s">
        <v>1057</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1058</v>
      </c>
      <c r="C25" s="2638"/>
      <c r="D25" s="2634" t="s">
        <v>1058</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1059</v>
      </c>
      <c r="C26" s="2642"/>
      <c r="D26" s="2640" t="s">
        <v>1059</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6" t="s">
        <v>2211</v>
      </c>
      <c r="B27" s="320"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6"/>
      <c r="B28" s="302"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6"/>
      <c r="B29" s="302"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7"/>
      <c r="B30" s="302" t="s">
        <v>2215</v>
      </c>
      <c r="C30" s="3628"/>
      <c r="D30" s="3629"/>
      <c r="E30" s="2661"/>
      <c r="F30" s="2661"/>
      <c r="G30" s="2661"/>
      <c r="H30" s="2661"/>
      <c r="I30" s="2661"/>
      <c r="J30" s="2436"/>
      <c r="K30" s="2613"/>
      <c r="L30" s="2610"/>
      <c r="M30" s="2610"/>
      <c r="N30" s="2436"/>
      <c r="O30" s="2447"/>
      <c r="P30" s="2436"/>
      <c r="Q30" s="2436"/>
      <c r="R30" s="2436"/>
      <c r="S30" s="2436"/>
      <c r="T30" s="2436"/>
      <c r="U30" s="2436"/>
      <c r="V30" s="2436"/>
    </row>
    <row r="31" spans="1:28">
      <c r="A31" s="3630" t="s">
        <v>2216</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631"/>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631"/>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2217</v>
      </c>
      <c r="B34" s="2023"/>
      <c r="C34" s="2023"/>
      <c r="D34" s="2023"/>
      <c r="E34" s="2023"/>
      <c r="F34" s="2023"/>
      <c r="G34" s="2023"/>
      <c r="H34" s="2023"/>
      <c r="I34" s="2661"/>
      <c r="J34" s="2436"/>
      <c r="K34" s="2424">
        <f>COUNTIF(B34:H34,"——")</f>
        <v>0</v>
      </c>
      <c r="L34" s="323" t="s">
        <v>2218</v>
      </c>
      <c r="M34" s="323" t="s">
        <v>2219</v>
      </c>
      <c r="N34" s="323" t="s">
        <v>2220</v>
      </c>
      <c r="O34" s="323" t="s">
        <v>2221</v>
      </c>
      <c r="P34" s="323" t="s">
        <v>2222</v>
      </c>
      <c r="Q34" s="323" t="s">
        <v>2223</v>
      </c>
      <c r="R34" s="323" t="s">
        <v>2224</v>
      </c>
      <c r="S34" s="3625" t="s">
        <v>2225</v>
      </c>
      <c r="T34" s="2425" t="str">
        <f>NUMBERSTRING(7-K34,1)&amp;"通"</f>
        <v>七通</v>
      </c>
      <c r="U34" s="2436"/>
      <c r="V34" s="2436"/>
    </row>
    <row r="35" spans="1:30">
      <c r="A35" s="2426"/>
      <c r="B35" s="3632" t="s">
        <v>2226</v>
      </c>
      <c r="C35" s="3632"/>
      <c r="D35" s="3632"/>
      <c r="E35" s="3632"/>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5"/>
      <c r="T35" s="329" t="str">
        <f>IF(T34="一通",L35,IF(T34="二通",M35,IF(T34="三通",N35,IF(T34="四通",O35,IF(T34="五通",P35,IF(T34="六通",Q35,R35))))))</f>
        <v>、、、、、、</v>
      </c>
      <c r="U35" s="2436"/>
      <c r="V35" s="2436"/>
    </row>
    <row r="36" spans="1:30">
      <c r="A36" s="2427"/>
      <c r="B36" s="664" t="s">
        <v>2182</v>
      </c>
      <c r="C36" s="664" t="s">
        <v>2183</v>
      </c>
      <c r="D36" s="664" t="s">
        <v>2181</v>
      </c>
      <c r="E36" s="664"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t="s">
        <v>296</v>
      </c>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2228</v>
      </c>
      <c r="B38" s="2429" t="s">
        <v>138</v>
      </c>
      <c r="C38" s="2429" t="s">
        <v>111</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24"/>
  <sheetViews>
    <sheetView workbookViewId="0">
      <selection activeCell="I45" sqref="I45"/>
    </sheetView>
  </sheetViews>
  <sheetFormatPr defaultRowHeight="12"/>
  <cols>
    <col min="1" max="1" width="11" style="3448" bestFit="1" customWidth="1"/>
    <col min="2" max="16384" width="9" style="3448"/>
  </cols>
  <sheetData>
    <row r="1" spans="1:20">
      <c r="A1" s="3449" t="s">
        <v>3386</v>
      </c>
      <c r="B1" s="3454"/>
      <c r="C1" s="3633" t="s">
        <v>3407</v>
      </c>
      <c r="D1" s="3633"/>
      <c r="E1" s="3633"/>
    </row>
    <row r="2" spans="1:20">
      <c r="A2" s="3449" t="s">
        <v>3391</v>
      </c>
      <c r="B2" s="3452" t="s">
        <v>3387</v>
      </c>
      <c r="C2" s="3452" t="s">
        <v>3388</v>
      </c>
      <c r="D2" s="3452" t="s">
        <v>3390</v>
      </c>
      <c r="E2" s="3449" t="s">
        <v>3392</v>
      </c>
      <c r="F2" s="3452" t="s">
        <v>3387</v>
      </c>
      <c r="G2" s="3452" t="s">
        <v>3388</v>
      </c>
      <c r="H2" s="3452" t="s">
        <v>3390</v>
      </c>
      <c r="I2" s="3449" t="s">
        <v>3393</v>
      </c>
      <c r="J2" s="3452" t="s">
        <v>3387</v>
      </c>
      <c r="K2" s="3452" t="s">
        <v>3388</v>
      </c>
      <c r="L2" s="3452" t="s">
        <v>3390</v>
      </c>
      <c r="M2" s="3449" t="s">
        <v>3396</v>
      </c>
      <c r="N2" s="3452" t="s">
        <v>3387</v>
      </c>
      <c r="O2" s="3452" t="s">
        <v>3388</v>
      </c>
      <c r="P2" s="3452" t="s">
        <v>3390</v>
      </c>
      <c r="Q2" s="3449" t="s">
        <v>3400</v>
      </c>
      <c r="R2" s="3452" t="s">
        <v>3387</v>
      </c>
      <c r="S2" s="3452" t="s">
        <v>3388</v>
      </c>
      <c r="T2" s="3452" t="s">
        <v>3390</v>
      </c>
    </row>
    <row r="3" spans="1:20">
      <c r="B3" s="3453">
        <v>401</v>
      </c>
      <c r="C3" s="3453">
        <v>943.9</v>
      </c>
      <c r="D3" s="3450" t="s">
        <v>21</v>
      </c>
      <c r="F3" s="3455">
        <v>401</v>
      </c>
      <c r="G3" s="3455">
        <v>721.51</v>
      </c>
      <c r="H3" s="3456" t="s">
        <v>21</v>
      </c>
      <c r="J3" s="3457">
        <v>-4001</v>
      </c>
      <c r="K3" s="3457">
        <v>87.19</v>
      </c>
      <c r="L3" s="3458" t="s">
        <v>3394</v>
      </c>
      <c r="N3" s="3446">
        <v>-3001</v>
      </c>
      <c r="O3" s="3446">
        <v>163.62</v>
      </c>
      <c r="P3" s="3447" t="s">
        <v>3394</v>
      </c>
      <c r="R3" s="3446">
        <v>-2001</v>
      </c>
      <c r="S3" s="3446">
        <v>27.48</v>
      </c>
      <c r="T3" s="3447" t="s">
        <v>3394</v>
      </c>
    </row>
    <row r="4" spans="1:20">
      <c r="B4" s="3453">
        <v>402</v>
      </c>
      <c r="C4" s="3453">
        <v>776.32</v>
      </c>
      <c r="D4" s="3450" t="s">
        <v>21</v>
      </c>
      <c r="F4" s="3455">
        <v>402</v>
      </c>
      <c r="G4" s="3455">
        <v>829.74</v>
      </c>
      <c r="H4" s="3456" t="s">
        <v>21</v>
      </c>
      <c r="J4" s="3457">
        <v>-4002</v>
      </c>
      <c r="K4" s="3457">
        <v>87.19</v>
      </c>
      <c r="L4" s="3458" t="s">
        <v>3394</v>
      </c>
      <c r="N4" s="3446">
        <v>-3002</v>
      </c>
      <c r="O4" s="3446">
        <v>163.62</v>
      </c>
      <c r="P4" s="3447" t="s">
        <v>3394</v>
      </c>
      <c r="R4" s="3446">
        <v>-201</v>
      </c>
      <c r="S4" s="3446">
        <v>916.28</v>
      </c>
      <c r="T4" s="3447" t="s">
        <v>3401</v>
      </c>
    </row>
    <row r="5" spans="1:20">
      <c r="A5" s="3449" t="s">
        <v>3408</v>
      </c>
      <c r="B5" s="3453">
        <v>403</v>
      </c>
      <c r="C5" s="3453">
        <v>908.78</v>
      </c>
      <c r="D5" s="3450" t="s">
        <v>21</v>
      </c>
      <c r="F5" s="3455">
        <v>403</v>
      </c>
      <c r="G5" s="3455">
        <v>1080.1400000000001</v>
      </c>
      <c r="H5" s="3456" t="s">
        <v>21</v>
      </c>
      <c r="J5" s="3457">
        <v>-4003</v>
      </c>
      <c r="K5" s="3457">
        <v>87.19</v>
      </c>
      <c r="L5" s="3458" t="s">
        <v>3394</v>
      </c>
      <c r="N5" s="3446">
        <v>-3003</v>
      </c>
      <c r="O5" s="3446">
        <v>87.19</v>
      </c>
      <c r="P5" s="3447" t="s">
        <v>3394</v>
      </c>
      <c r="R5" s="3446">
        <v>-202</v>
      </c>
      <c r="S5" s="3446">
        <v>359.23</v>
      </c>
      <c r="T5" s="3447" t="s">
        <v>3401</v>
      </c>
    </row>
    <row r="6" spans="1:20">
      <c r="A6" s="3449">
        <f>C56+G59+K46+O124+S44+S37+S28+S19+S12</f>
        <v>180927.82</v>
      </c>
      <c r="B6" s="3453">
        <v>404</v>
      </c>
      <c r="C6" s="3453">
        <v>1060.48</v>
      </c>
      <c r="D6" s="3450" t="s">
        <v>21</v>
      </c>
      <c r="F6" s="3455">
        <v>404</v>
      </c>
      <c r="G6" s="3455">
        <v>929.37</v>
      </c>
      <c r="H6" s="3456" t="s">
        <v>21</v>
      </c>
      <c r="J6" s="3457">
        <v>-4004</v>
      </c>
      <c r="K6" s="3457">
        <v>87.19</v>
      </c>
      <c r="L6" s="3458" t="s">
        <v>3394</v>
      </c>
      <c r="N6" s="3446">
        <v>-3004</v>
      </c>
      <c r="O6" s="3446">
        <v>87.19</v>
      </c>
      <c r="P6" s="3447" t="s">
        <v>3394</v>
      </c>
      <c r="R6" s="3446">
        <v>-203</v>
      </c>
      <c r="S6" s="3446">
        <v>10160.94</v>
      </c>
      <c r="T6" s="3447" t="s">
        <v>672</v>
      </c>
    </row>
    <row r="7" spans="1:20">
      <c r="B7" s="3453">
        <v>501</v>
      </c>
      <c r="C7" s="3453">
        <v>939</v>
      </c>
      <c r="D7" s="3450" t="s">
        <v>21</v>
      </c>
      <c r="F7" s="3455">
        <v>501</v>
      </c>
      <c r="G7" s="3455">
        <v>721.91</v>
      </c>
      <c r="H7" s="3456" t="s">
        <v>21</v>
      </c>
      <c r="J7" s="3457">
        <v>-4005</v>
      </c>
      <c r="K7" s="3457">
        <v>134.41999999999999</v>
      </c>
      <c r="L7" s="3458" t="s">
        <v>3394</v>
      </c>
      <c r="N7" s="3446">
        <v>-3005</v>
      </c>
      <c r="O7" s="3446">
        <v>87.19</v>
      </c>
      <c r="P7" s="3447" t="s">
        <v>3394</v>
      </c>
      <c r="R7" s="3446">
        <v>-204</v>
      </c>
      <c r="S7" s="3446">
        <v>1502.28</v>
      </c>
      <c r="T7" s="3447" t="s">
        <v>3401</v>
      </c>
    </row>
    <row r="8" spans="1:20">
      <c r="B8" s="3453">
        <v>502</v>
      </c>
      <c r="C8" s="3453">
        <v>782.02</v>
      </c>
      <c r="D8" s="3450" t="s">
        <v>21</v>
      </c>
      <c r="F8" s="3455">
        <v>502</v>
      </c>
      <c r="G8" s="3455">
        <v>803.93</v>
      </c>
      <c r="H8" s="3456" t="s">
        <v>21</v>
      </c>
      <c r="J8" s="3457">
        <v>-4006</v>
      </c>
      <c r="K8" s="3457">
        <v>87.19</v>
      </c>
      <c r="L8" s="3458" t="s">
        <v>3394</v>
      </c>
      <c r="N8" s="3446">
        <v>-3006</v>
      </c>
      <c r="O8" s="3446">
        <v>87.19</v>
      </c>
      <c r="P8" s="3447" t="s">
        <v>3394</v>
      </c>
      <c r="R8" s="3446">
        <v>-205</v>
      </c>
      <c r="S8" s="3446">
        <v>203</v>
      </c>
      <c r="T8" s="3447" t="s">
        <v>672</v>
      </c>
    </row>
    <row r="9" spans="1:20">
      <c r="B9" s="3453">
        <v>503</v>
      </c>
      <c r="C9" s="3453">
        <v>3906.24</v>
      </c>
      <c r="D9" s="3450" t="s">
        <v>21</v>
      </c>
      <c r="F9" s="3455">
        <v>503</v>
      </c>
      <c r="G9" s="3455">
        <v>1058.1500000000001</v>
      </c>
      <c r="H9" s="3456" t="s">
        <v>21</v>
      </c>
      <c r="J9" s="3457">
        <v>-4007</v>
      </c>
      <c r="K9" s="3457">
        <v>87.19</v>
      </c>
      <c r="L9" s="3458" t="s">
        <v>3394</v>
      </c>
      <c r="N9" s="3446">
        <v>-3007</v>
      </c>
      <c r="O9" s="3446">
        <v>87.19</v>
      </c>
      <c r="P9" s="3447" t="s">
        <v>3394</v>
      </c>
      <c r="R9" s="3446">
        <v>-206</v>
      </c>
      <c r="S9" s="3446">
        <v>15.59</v>
      </c>
      <c r="T9" s="3447" t="s">
        <v>3395</v>
      </c>
    </row>
    <row r="10" spans="1:20">
      <c r="B10" s="3453">
        <v>601</v>
      </c>
      <c r="C10" s="3453">
        <v>959.04</v>
      </c>
      <c r="D10" s="3450" t="s">
        <v>21</v>
      </c>
      <c r="F10" s="3455">
        <v>504</v>
      </c>
      <c r="G10" s="3455">
        <v>920.59</v>
      </c>
      <c r="H10" s="3456" t="s">
        <v>21</v>
      </c>
      <c r="J10" s="3457">
        <v>-4008</v>
      </c>
      <c r="K10" s="3457">
        <v>87.19</v>
      </c>
      <c r="L10" s="3458" t="s">
        <v>3394</v>
      </c>
      <c r="N10" s="3446">
        <v>-3008</v>
      </c>
      <c r="O10" s="3446">
        <v>87.19</v>
      </c>
      <c r="P10" s="3447" t="s">
        <v>3394</v>
      </c>
      <c r="R10" s="3446">
        <v>-207</v>
      </c>
      <c r="S10" s="3446">
        <v>465.36</v>
      </c>
      <c r="T10" s="3447" t="s">
        <v>672</v>
      </c>
    </row>
    <row r="11" spans="1:20">
      <c r="B11" s="3453">
        <v>602</v>
      </c>
      <c r="C11" s="3453">
        <v>829.73</v>
      </c>
      <c r="D11" s="3450" t="s">
        <v>21</v>
      </c>
      <c r="F11" s="3455">
        <v>601</v>
      </c>
      <c r="G11" s="3455">
        <v>794.59</v>
      </c>
      <c r="H11" s="3456" t="s">
        <v>21</v>
      </c>
      <c r="J11" s="3457">
        <v>-4009</v>
      </c>
      <c r="K11" s="3457">
        <v>87.19</v>
      </c>
      <c r="L11" s="3458" t="s">
        <v>3394</v>
      </c>
      <c r="N11" s="3446">
        <v>-3009</v>
      </c>
      <c r="O11" s="3446">
        <v>87.19</v>
      </c>
      <c r="P11" s="3447" t="s">
        <v>3394</v>
      </c>
      <c r="R11" s="3446">
        <v>-208</v>
      </c>
      <c r="S11" s="3446">
        <v>893.63</v>
      </c>
      <c r="T11" s="3447" t="s">
        <v>672</v>
      </c>
    </row>
    <row r="12" spans="1:20">
      <c r="B12" s="3453">
        <v>701</v>
      </c>
      <c r="C12" s="3453">
        <v>958.87</v>
      </c>
      <c r="D12" s="3450" t="s">
        <v>21</v>
      </c>
      <c r="F12" s="3455">
        <v>602</v>
      </c>
      <c r="G12" s="3455">
        <v>807.37</v>
      </c>
      <c r="H12" s="3456" t="s">
        <v>21</v>
      </c>
      <c r="J12" s="3446">
        <v>-401</v>
      </c>
      <c r="K12" s="3446">
        <v>620.24</v>
      </c>
      <c r="L12" s="3447" t="s">
        <v>3395</v>
      </c>
      <c r="N12" s="3446">
        <v>-301</v>
      </c>
      <c r="O12" s="3446">
        <v>18.23</v>
      </c>
      <c r="P12" s="3447" t="s">
        <v>3395</v>
      </c>
      <c r="S12" s="3448">
        <f>SUM(S3:S11)</f>
        <v>14543.79</v>
      </c>
    </row>
    <row r="13" spans="1:20">
      <c r="B13" s="3453">
        <v>702</v>
      </c>
      <c r="C13" s="3453">
        <v>1010.33</v>
      </c>
      <c r="D13" s="3450" t="s">
        <v>21</v>
      </c>
      <c r="F13" s="3455">
        <v>603</v>
      </c>
      <c r="G13" s="3455">
        <v>1029.51</v>
      </c>
      <c r="H13" s="3456" t="s">
        <v>21</v>
      </c>
      <c r="J13" s="3457">
        <v>-4010</v>
      </c>
      <c r="K13" s="3457">
        <v>87.19</v>
      </c>
      <c r="L13" s="3458" t="s">
        <v>3394</v>
      </c>
      <c r="N13" s="3446">
        <v>-3010</v>
      </c>
      <c r="O13" s="3446">
        <v>87.19</v>
      </c>
      <c r="P13" s="3447" t="s">
        <v>3394</v>
      </c>
      <c r="Q13" s="3449" t="s">
        <v>3402</v>
      </c>
      <c r="R13" s="3452" t="s">
        <v>3387</v>
      </c>
      <c r="S13" s="3452" t="s">
        <v>3388</v>
      </c>
      <c r="T13" s="3452" t="s">
        <v>3390</v>
      </c>
    </row>
    <row r="14" spans="1:20">
      <c r="B14" s="3453">
        <v>703</v>
      </c>
      <c r="C14" s="3453">
        <v>1183.54</v>
      </c>
      <c r="D14" s="3450" t="s">
        <v>21</v>
      </c>
      <c r="F14" s="3455">
        <v>604</v>
      </c>
      <c r="G14" s="3455">
        <v>1115.79</v>
      </c>
      <c r="H14" s="3456" t="s">
        <v>21</v>
      </c>
      <c r="J14" s="3457">
        <v>-4011</v>
      </c>
      <c r="K14" s="3457">
        <v>87.19</v>
      </c>
      <c r="L14" s="3458" t="s">
        <v>3394</v>
      </c>
      <c r="N14" s="3446">
        <v>-3011</v>
      </c>
      <c r="O14" s="3446">
        <v>87.19</v>
      </c>
      <c r="P14" s="3447" t="s">
        <v>3394</v>
      </c>
      <c r="R14" s="3446">
        <v>-101</v>
      </c>
      <c r="S14" s="3446">
        <v>2369.2199999999998</v>
      </c>
      <c r="T14" s="3447" t="s">
        <v>3403</v>
      </c>
    </row>
    <row r="15" spans="1:20">
      <c r="B15" s="3453">
        <v>704</v>
      </c>
      <c r="C15" s="3453">
        <v>1019.64</v>
      </c>
      <c r="D15" s="3450" t="s">
        <v>21</v>
      </c>
      <c r="F15" s="3455">
        <v>701</v>
      </c>
      <c r="G15" s="3455">
        <v>972.69</v>
      </c>
      <c r="H15" s="3456" t="s">
        <v>21</v>
      </c>
      <c r="J15" s="3446">
        <v>-4012</v>
      </c>
      <c r="K15" s="3446">
        <v>87.19</v>
      </c>
      <c r="L15" s="3447" t="s">
        <v>3394</v>
      </c>
      <c r="N15" s="3446">
        <v>-3012</v>
      </c>
      <c r="O15" s="3446">
        <v>87.19</v>
      </c>
      <c r="P15" s="3447" t="s">
        <v>3394</v>
      </c>
      <c r="R15" s="3446">
        <v>-102</v>
      </c>
      <c r="S15" s="3446">
        <v>418.31</v>
      </c>
      <c r="T15" s="3447" t="s">
        <v>21</v>
      </c>
    </row>
    <row r="16" spans="1:20">
      <c r="B16" s="3453">
        <v>801</v>
      </c>
      <c r="C16" s="3453">
        <v>958.87</v>
      </c>
      <c r="D16" s="3450" t="s">
        <v>21</v>
      </c>
      <c r="F16" s="3455">
        <v>702</v>
      </c>
      <c r="G16" s="3455">
        <v>807.36</v>
      </c>
      <c r="H16" s="3456" t="s">
        <v>21</v>
      </c>
      <c r="J16" s="3446">
        <v>-4013</v>
      </c>
      <c r="K16" s="3446">
        <v>87.19</v>
      </c>
      <c r="L16" s="3447" t="s">
        <v>3394</v>
      </c>
      <c r="N16" s="3446">
        <v>-3013</v>
      </c>
      <c r="O16" s="3446">
        <v>87.19</v>
      </c>
      <c r="P16" s="3447" t="s">
        <v>3394</v>
      </c>
      <c r="R16" s="3446">
        <v>-103</v>
      </c>
      <c r="S16" s="3446">
        <v>8022</v>
      </c>
      <c r="T16" s="3447" t="s">
        <v>672</v>
      </c>
    </row>
    <row r="17" spans="2:20">
      <c r="B17" s="3453">
        <v>802</v>
      </c>
      <c r="C17" s="3453">
        <v>1010.33</v>
      </c>
      <c r="D17" s="3450" t="s">
        <v>21</v>
      </c>
      <c r="F17" s="3455">
        <v>703</v>
      </c>
      <c r="G17" s="3455">
        <v>1029.51</v>
      </c>
      <c r="H17" s="3456" t="s">
        <v>21</v>
      </c>
      <c r="J17" s="3446">
        <v>-4014</v>
      </c>
      <c r="K17" s="3446">
        <v>87.19</v>
      </c>
      <c r="L17" s="3447" t="s">
        <v>3394</v>
      </c>
      <c r="N17" s="3446">
        <v>-3014</v>
      </c>
      <c r="O17" s="3446">
        <v>87.19</v>
      </c>
      <c r="P17" s="3447" t="s">
        <v>3394</v>
      </c>
      <c r="R17" s="3446">
        <v>-104</v>
      </c>
      <c r="S17" s="3446">
        <v>1467.6</v>
      </c>
      <c r="T17" s="3447" t="s">
        <v>672</v>
      </c>
    </row>
    <row r="18" spans="2:20">
      <c r="B18" s="3453">
        <v>803</v>
      </c>
      <c r="C18" s="3453">
        <v>1183.54</v>
      </c>
      <c r="D18" s="3450" t="s">
        <v>21</v>
      </c>
      <c r="F18" s="3455">
        <v>704</v>
      </c>
      <c r="G18" s="3455">
        <v>1197.99</v>
      </c>
      <c r="H18" s="3456" t="s">
        <v>21</v>
      </c>
      <c r="J18" s="3446">
        <v>-4015</v>
      </c>
      <c r="K18" s="3446">
        <v>87.19</v>
      </c>
      <c r="L18" s="3447" t="s">
        <v>3394</v>
      </c>
      <c r="N18" s="3446">
        <v>-3015</v>
      </c>
      <c r="O18" s="3446">
        <v>87.19</v>
      </c>
      <c r="P18" s="3447" t="s">
        <v>3394</v>
      </c>
      <c r="R18" s="3446">
        <v>-105</v>
      </c>
      <c r="S18" s="3446">
        <v>4083.52</v>
      </c>
      <c r="T18" s="3447" t="s">
        <v>672</v>
      </c>
    </row>
    <row r="19" spans="2:20">
      <c r="B19" s="3453">
        <v>804</v>
      </c>
      <c r="C19" s="3453">
        <v>1018.77</v>
      </c>
      <c r="D19" s="3450" t="s">
        <v>21</v>
      </c>
      <c r="F19" s="3455">
        <v>801</v>
      </c>
      <c r="G19" s="3455">
        <v>972.69</v>
      </c>
      <c r="H19" s="3456" t="s">
        <v>21</v>
      </c>
      <c r="J19" s="3446">
        <v>-4016</v>
      </c>
      <c r="K19" s="3446">
        <v>87.19</v>
      </c>
      <c r="L19" s="3447" t="s">
        <v>3394</v>
      </c>
      <c r="N19" s="3446">
        <v>-3016</v>
      </c>
      <c r="O19" s="3446">
        <v>87.19</v>
      </c>
      <c r="P19" s="3447" t="s">
        <v>3394</v>
      </c>
      <c r="S19" s="3448">
        <f>SUM(S14:S18)</f>
        <v>16360.65</v>
      </c>
    </row>
    <row r="20" spans="2:20">
      <c r="B20" s="3453">
        <v>901</v>
      </c>
      <c r="C20" s="3453">
        <v>958.87</v>
      </c>
      <c r="D20" s="3450" t="s">
        <v>21</v>
      </c>
      <c r="F20" s="3455">
        <v>802</v>
      </c>
      <c r="G20" s="3455">
        <v>807.36</v>
      </c>
      <c r="H20" s="3456" t="s">
        <v>21</v>
      </c>
      <c r="J20" s="3457">
        <v>-4017</v>
      </c>
      <c r="K20" s="3457">
        <v>87.19</v>
      </c>
      <c r="L20" s="3458" t="s">
        <v>3394</v>
      </c>
      <c r="N20" s="3446">
        <v>-3017</v>
      </c>
      <c r="O20" s="3446">
        <v>163.62</v>
      </c>
      <c r="P20" s="3447" t="s">
        <v>3394</v>
      </c>
      <c r="Q20" s="3449" t="s">
        <v>3404</v>
      </c>
      <c r="R20" s="3452" t="s">
        <v>3387</v>
      </c>
      <c r="S20" s="3452" t="s">
        <v>3388</v>
      </c>
      <c r="T20" s="3452" t="s">
        <v>3390</v>
      </c>
    </row>
    <row r="21" spans="2:20">
      <c r="B21" s="3453">
        <v>902</v>
      </c>
      <c r="C21" s="3453">
        <v>1010.33</v>
      </c>
      <c r="D21" s="3450" t="s">
        <v>21</v>
      </c>
      <c r="F21" s="3455">
        <v>803</v>
      </c>
      <c r="G21" s="3455">
        <v>1028.6300000000001</v>
      </c>
      <c r="H21" s="3456" t="s">
        <v>21</v>
      </c>
      <c r="J21" s="3457">
        <v>-4018</v>
      </c>
      <c r="K21" s="3457">
        <v>87.19</v>
      </c>
      <c r="L21" s="3458" t="s">
        <v>3394</v>
      </c>
      <c r="N21" s="3446">
        <v>-3018</v>
      </c>
      <c r="O21" s="3446">
        <v>163.62</v>
      </c>
      <c r="P21" s="3447" t="s">
        <v>3394</v>
      </c>
      <c r="R21" s="3446">
        <v>101</v>
      </c>
      <c r="S21" s="3446">
        <v>1025.52</v>
      </c>
      <c r="T21" s="3447" t="s">
        <v>672</v>
      </c>
    </row>
    <row r="22" spans="2:20">
      <c r="B22" s="3453">
        <v>903</v>
      </c>
      <c r="C22" s="3453">
        <v>1183.54</v>
      </c>
      <c r="D22" s="3450" t="s">
        <v>21</v>
      </c>
      <c r="F22" s="3455">
        <v>804</v>
      </c>
      <c r="G22" s="3455">
        <v>1197.99</v>
      </c>
      <c r="H22" s="3456" t="s">
        <v>21</v>
      </c>
      <c r="J22" s="3457">
        <v>-4019</v>
      </c>
      <c r="K22" s="3457">
        <v>87.19</v>
      </c>
      <c r="L22" s="3458" t="s">
        <v>3394</v>
      </c>
      <c r="N22" s="3446">
        <v>-3019</v>
      </c>
      <c r="O22" s="3446">
        <v>163.62</v>
      </c>
      <c r="P22" s="3447" t="s">
        <v>3394</v>
      </c>
      <c r="R22" s="3446">
        <v>102</v>
      </c>
      <c r="S22" s="3446">
        <v>681.01</v>
      </c>
      <c r="T22" s="3447" t="s">
        <v>672</v>
      </c>
    </row>
    <row r="23" spans="2:20">
      <c r="B23" s="3453">
        <v>904</v>
      </c>
      <c r="C23" s="3453">
        <v>1018.77</v>
      </c>
      <c r="D23" s="3450" t="s">
        <v>21</v>
      </c>
      <c r="F23" s="3455">
        <v>901</v>
      </c>
      <c r="G23" s="3455">
        <v>972.69</v>
      </c>
      <c r="H23" s="3456" t="s">
        <v>21</v>
      </c>
      <c r="J23" s="3446">
        <v>-402</v>
      </c>
      <c r="K23" s="3446">
        <v>21.02</v>
      </c>
      <c r="L23" s="3447" t="s">
        <v>3395</v>
      </c>
      <c r="N23" s="3446">
        <v>-302</v>
      </c>
      <c r="O23" s="3446">
        <v>24.94</v>
      </c>
      <c r="P23" s="3447" t="s">
        <v>3395</v>
      </c>
      <c r="R23" s="3457">
        <v>103</v>
      </c>
      <c r="S23" s="3457">
        <v>537.91</v>
      </c>
      <c r="T23" s="3458" t="s">
        <v>672</v>
      </c>
    </row>
    <row r="24" spans="2:20">
      <c r="B24" s="3453">
        <v>1001</v>
      </c>
      <c r="C24" s="3453">
        <v>958.87</v>
      </c>
      <c r="D24" s="3450" t="s">
        <v>21</v>
      </c>
      <c r="F24" s="3455">
        <v>902</v>
      </c>
      <c r="G24" s="3455">
        <v>807.36</v>
      </c>
      <c r="H24" s="3456" t="s">
        <v>21</v>
      </c>
      <c r="J24" s="3457">
        <v>-4020</v>
      </c>
      <c r="K24" s="3457">
        <v>87.19</v>
      </c>
      <c r="L24" s="3458" t="s">
        <v>3394</v>
      </c>
      <c r="N24" s="3446">
        <v>-3020</v>
      </c>
      <c r="O24" s="3446">
        <v>163.62</v>
      </c>
      <c r="P24" s="3447" t="s">
        <v>3394</v>
      </c>
      <c r="R24" s="3457">
        <v>104</v>
      </c>
      <c r="S24" s="3457">
        <v>581.14</v>
      </c>
      <c r="T24" s="3458" t="s">
        <v>672</v>
      </c>
    </row>
    <row r="25" spans="2:20">
      <c r="B25" s="3453">
        <v>1002</v>
      </c>
      <c r="C25" s="3453">
        <v>1010.33</v>
      </c>
      <c r="D25" s="3450" t="s">
        <v>21</v>
      </c>
      <c r="F25" s="3455">
        <v>903</v>
      </c>
      <c r="G25" s="3455">
        <v>1028.6300000000001</v>
      </c>
      <c r="H25" s="3456" t="s">
        <v>21</v>
      </c>
      <c r="J25" s="3457">
        <v>-4021</v>
      </c>
      <c r="K25" s="3457">
        <v>87.19</v>
      </c>
      <c r="L25" s="3458" t="s">
        <v>3394</v>
      </c>
      <c r="N25" s="3446">
        <v>-3021</v>
      </c>
      <c r="O25" s="3446">
        <v>87.19</v>
      </c>
      <c r="P25" s="3447" t="s">
        <v>3394</v>
      </c>
      <c r="R25" s="3457">
        <v>105</v>
      </c>
      <c r="S25" s="3457">
        <v>294.13</v>
      </c>
      <c r="T25" s="3458" t="s">
        <v>672</v>
      </c>
    </row>
    <row r="26" spans="2:20">
      <c r="B26" s="3453">
        <v>1003</v>
      </c>
      <c r="C26" s="3453">
        <v>1183.54</v>
      </c>
      <c r="D26" s="3450" t="s">
        <v>21</v>
      </c>
      <c r="F26" s="3455">
        <v>904</v>
      </c>
      <c r="G26" s="3455">
        <v>1197.99</v>
      </c>
      <c r="H26" s="3456" t="s">
        <v>21</v>
      </c>
      <c r="J26" s="3457">
        <v>-4022</v>
      </c>
      <c r="K26" s="3457">
        <v>87.19</v>
      </c>
      <c r="L26" s="3458" t="s">
        <v>3394</v>
      </c>
      <c r="N26" s="3446">
        <v>-3022</v>
      </c>
      <c r="O26" s="3446">
        <v>87.19</v>
      </c>
      <c r="P26" s="3447" t="s">
        <v>3394</v>
      </c>
      <c r="R26" s="3446">
        <v>106</v>
      </c>
      <c r="S26" s="3446">
        <v>75.930000000000007</v>
      </c>
      <c r="T26" s="3447" t="s">
        <v>21</v>
      </c>
    </row>
    <row r="27" spans="2:20">
      <c r="B27" s="3453">
        <v>1004</v>
      </c>
      <c r="C27" s="3453">
        <v>1018.77</v>
      </c>
      <c r="D27" s="3450" t="s">
        <v>21</v>
      </c>
      <c r="F27" s="3455">
        <v>1001</v>
      </c>
      <c r="G27" s="3455">
        <v>972.69</v>
      </c>
      <c r="H27" s="3456" t="s">
        <v>21</v>
      </c>
      <c r="J27" s="3457">
        <v>-4023</v>
      </c>
      <c r="K27" s="3457">
        <v>87.19</v>
      </c>
      <c r="L27" s="3458" t="s">
        <v>3394</v>
      </c>
      <c r="N27" s="3446">
        <v>-3023</v>
      </c>
      <c r="O27" s="3446">
        <v>87.19</v>
      </c>
      <c r="P27" s="3447" t="s">
        <v>3394</v>
      </c>
      <c r="R27" s="3446">
        <v>107</v>
      </c>
      <c r="S27" s="3446">
        <v>75.849999999999994</v>
      </c>
      <c r="T27" s="3447" t="s">
        <v>21</v>
      </c>
    </row>
    <row r="28" spans="2:20">
      <c r="B28" s="3453">
        <v>1101</v>
      </c>
      <c r="C28" s="3453">
        <v>1056.6099999999999</v>
      </c>
      <c r="D28" s="3450" t="s">
        <v>21</v>
      </c>
      <c r="F28" s="3455">
        <v>1002</v>
      </c>
      <c r="G28" s="3455">
        <v>807.36</v>
      </c>
      <c r="H28" s="3456" t="s">
        <v>21</v>
      </c>
      <c r="J28" s="3457">
        <v>-4024</v>
      </c>
      <c r="K28" s="3457">
        <v>87.19</v>
      </c>
      <c r="L28" s="3458" t="s">
        <v>3394</v>
      </c>
      <c r="N28" s="3446">
        <v>-3024</v>
      </c>
      <c r="O28" s="3446">
        <v>87.19</v>
      </c>
      <c r="P28" s="3447" t="s">
        <v>3394</v>
      </c>
      <c r="S28" s="3448">
        <f>SUM(S21:S27)</f>
        <v>3271.49</v>
      </c>
    </row>
    <row r="29" spans="2:20">
      <c r="B29" s="3453">
        <v>1102</v>
      </c>
      <c r="C29" s="3453">
        <v>983.25</v>
      </c>
      <c r="D29" s="3450" t="s">
        <v>21</v>
      </c>
      <c r="F29" s="3455">
        <v>1003</v>
      </c>
      <c r="G29" s="3455">
        <v>1028.6300000000001</v>
      </c>
      <c r="H29" s="3456" t="s">
        <v>21</v>
      </c>
      <c r="J29" s="3457">
        <v>-4025</v>
      </c>
      <c r="K29" s="3457">
        <v>87.19</v>
      </c>
      <c r="L29" s="3458" t="s">
        <v>3394</v>
      </c>
      <c r="N29" s="3446">
        <v>-3025</v>
      </c>
      <c r="O29" s="3446">
        <v>87.19</v>
      </c>
      <c r="P29" s="3447" t="s">
        <v>3394</v>
      </c>
      <c r="Q29" s="3449" t="s">
        <v>3405</v>
      </c>
      <c r="R29" s="3452" t="s">
        <v>3387</v>
      </c>
      <c r="S29" s="3452" t="s">
        <v>3388</v>
      </c>
      <c r="T29" s="3452" t="s">
        <v>3390</v>
      </c>
    </row>
    <row r="30" spans="2:20">
      <c r="B30" s="3453">
        <v>1103</v>
      </c>
      <c r="C30" s="3453">
        <v>1179.27</v>
      </c>
      <c r="D30" s="3450" t="s">
        <v>21</v>
      </c>
      <c r="F30" s="3455">
        <v>1004</v>
      </c>
      <c r="G30" s="3455">
        <v>1197.99</v>
      </c>
      <c r="H30" s="3456" t="s">
        <v>21</v>
      </c>
      <c r="J30" s="3457">
        <v>-4026</v>
      </c>
      <c r="K30" s="3457">
        <v>87.19</v>
      </c>
      <c r="L30" s="3458" t="s">
        <v>3394</v>
      </c>
      <c r="N30" s="3446">
        <v>-3026</v>
      </c>
      <c r="O30" s="3446">
        <v>87.19</v>
      </c>
      <c r="P30" s="3447" t="s">
        <v>3394</v>
      </c>
      <c r="R30" s="3446">
        <v>201</v>
      </c>
      <c r="S30" s="3446">
        <v>1577.59</v>
      </c>
      <c r="T30" s="3447" t="s">
        <v>672</v>
      </c>
    </row>
    <row r="31" spans="2:20">
      <c r="B31" s="3453">
        <v>1104</v>
      </c>
      <c r="C31" s="3453">
        <v>1017.74</v>
      </c>
      <c r="D31" s="3450" t="s">
        <v>21</v>
      </c>
      <c r="F31" s="3455">
        <v>1101</v>
      </c>
      <c r="G31" s="3455">
        <v>888.19</v>
      </c>
      <c r="H31" s="3456" t="s">
        <v>21</v>
      </c>
      <c r="J31" s="3457">
        <v>-4027</v>
      </c>
      <c r="K31" s="3457">
        <v>87.19</v>
      </c>
      <c r="L31" s="3458" t="s">
        <v>3394</v>
      </c>
      <c r="N31" s="3446">
        <v>-3027</v>
      </c>
      <c r="O31" s="3446">
        <v>87.19</v>
      </c>
      <c r="P31" s="3447" t="s">
        <v>3394</v>
      </c>
      <c r="R31" s="3446">
        <v>202</v>
      </c>
      <c r="S31" s="3446">
        <v>1647.66</v>
      </c>
      <c r="T31" s="3447" t="s">
        <v>672</v>
      </c>
    </row>
    <row r="32" spans="2:20">
      <c r="B32" s="3451">
        <v>1201</v>
      </c>
      <c r="C32" s="3451">
        <v>1056.6099999999999</v>
      </c>
      <c r="D32" s="3450" t="s">
        <v>21</v>
      </c>
      <c r="F32" s="3455">
        <v>1102</v>
      </c>
      <c r="G32" s="3455">
        <v>956.84</v>
      </c>
      <c r="H32" s="3456" t="s">
        <v>21</v>
      </c>
      <c r="J32" s="3457">
        <v>-4028</v>
      </c>
      <c r="K32" s="3457">
        <v>87.19</v>
      </c>
      <c r="L32" s="3458" t="s">
        <v>3394</v>
      </c>
      <c r="N32" s="3446">
        <v>-3028</v>
      </c>
      <c r="O32" s="3446">
        <v>87.19</v>
      </c>
      <c r="P32" s="3447" t="s">
        <v>3394</v>
      </c>
      <c r="R32" s="3446">
        <v>203</v>
      </c>
      <c r="S32" s="3446">
        <v>211.5</v>
      </c>
      <c r="T32" s="3447" t="s">
        <v>3395</v>
      </c>
    </row>
    <row r="33" spans="2:20">
      <c r="B33" s="3451">
        <v>1202</v>
      </c>
      <c r="C33" s="3451">
        <v>983.25</v>
      </c>
      <c r="D33" s="3450" t="s">
        <v>21</v>
      </c>
      <c r="F33" s="3455">
        <v>1103</v>
      </c>
      <c r="G33" s="3455">
        <v>1030.96</v>
      </c>
      <c r="H33" s="3456" t="s">
        <v>21</v>
      </c>
      <c r="J33" s="3457">
        <v>-4029</v>
      </c>
      <c r="K33" s="3457">
        <v>87.19</v>
      </c>
      <c r="L33" s="3458" t="s">
        <v>3394</v>
      </c>
      <c r="N33" s="3446">
        <v>-3029</v>
      </c>
      <c r="O33" s="3446">
        <v>134.41999999999999</v>
      </c>
      <c r="P33" s="3447" t="s">
        <v>3394</v>
      </c>
      <c r="R33" s="3457">
        <v>204</v>
      </c>
      <c r="S33" s="3457">
        <v>1627.28</v>
      </c>
      <c r="T33" s="3458" t="s">
        <v>672</v>
      </c>
    </row>
    <row r="34" spans="2:20">
      <c r="B34" s="3451">
        <v>1203</v>
      </c>
      <c r="C34" s="3451">
        <v>1179.27</v>
      </c>
      <c r="D34" s="3450" t="s">
        <v>21</v>
      </c>
      <c r="F34" s="3455">
        <v>1104</v>
      </c>
      <c r="G34" s="3455">
        <v>1194.76</v>
      </c>
      <c r="H34" s="3456" t="s">
        <v>21</v>
      </c>
      <c r="J34" s="3457">
        <v>-4030</v>
      </c>
      <c r="K34" s="3457">
        <v>87.19</v>
      </c>
      <c r="L34" s="3458" t="s">
        <v>3394</v>
      </c>
      <c r="N34" s="3446">
        <v>-303</v>
      </c>
      <c r="O34" s="3446">
        <v>1006.98</v>
      </c>
      <c r="P34" s="3447" t="s">
        <v>3395</v>
      </c>
      <c r="R34" s="3457">
        <v>205</v>
      </c>
      <c r="S34" s="3457">
        <v>1206.74</v>
      </c>
      <c r="T34" s="3458" t="s">
        <v>672</v>
      </c>
    </row>
    <row r="35" spans="2:20">
      <c r="B35" s="3451">
        <v>1204</v>
      </c>
      <c r="C35" s="3451">
        <v>1017.46</v>
      </c>
      <c r="D35" s="3450" t="s">
        <v>21</v>
      </c>
      <c r="F35" s="3455">
        <v>1201</v>
      </c>
      <c r="G35" s="3455">
        <v>888.19</v>
      </c>
      <c r="H35" s="3456" t="s">
        <v>21</v>
      </c>
      <c r="J35" s="3457">
        <v>-4031</v>
      </c>
      <c r="K35" s="3457">
        <v>87.19</v>
      </c>
      <c r="L35" s="3458" t="s">
        <v>3394</v>
      </c>
      <c r="N35" s="3446">
        <v>-3030</v>
      </c>
      <c r="O35" s="3446">
        <v>87.19</v>
      </c>
      <c r="P35" s="3447" t="s">
        <v>3394</v>
      </c>
      <c r="R35" s="3457">
        <v>206</v>
      </c>
      <c r="S35" s="3457">
        <v>1239.0999999999999</v>
      </c>
      <c r="T35" s="3458" t="s">
        <v>672</v>
      </c>
    </row>
    <row r="36" spans="2:20">
      <c r="B36" s="3451">
        <v>1301</v>
      </c>
      <c r="C36" s="3451">
        <v>985.45</v>
      </c>
      <c r="D36" s="3450" t="s">
        <v>21</v>
      </c>
      <c r="F36" s="3455">
        <v>1202</v>
      </c>
      <c r="G36" s="3455">
        <v>956.84</v>
      </c>
      <c r="H36" s="3456" t="s">
        <v>21</v>
      </c>
      <c r="J36" s="3457">
        <v>-4032</v>
      </c>
      <c r="K36" s="3457">
        <v>87.19</v>
      </c>
      <c r="L36" s="3458" t="s">
        <v>3394</v>
      </c>
      <c r="N36" s="3446">
        <v>-3031</v>
      </c>
      <c r="O36" s="3446">
        <v>87.19</v>
      </c>
      <c r="P36" s="3447" t="s">
        <v>3394</v>
      </c>
      <c r="R36" s="3457">
        <v>207</v>
      </c>
      <c r="S36" s="3457">
        <v>203.23</v>
      </c>
      <c r="T36" s="3458" t="s">
        <v>3395</v>
      </c>
    </row>
    <row r="37" spans="2:20">
      <c r="B37" s="3451">
        <v>1302</v>
      </c>
      <c r="C37" s="3451">
        <v>1051.25</v>
      </c>
      <c r="D37" s="3450" t="s">
        <v>21</v>
      </c>
      <c r="F37" s="3455">
        <v>1203</v>
      </c>
      <c r="G37" s="3455">
        <v>1030.96</v>
      </c>
      <c r="H37" s="3456" t="s">
        <v>21</v>
      </c>
      <c r="J37" s="3457">
        <v>-4033</v>
      </c>
      <c r="K37" s="3457">
        <v>87.19</v>
      </c>
      <c r="L37" s="3458" t="s">
        <v>3394</v>
      </c>
      <c r="N37" s="3446">
        <v>-3032</v>
      </c>
      <c r="O37" s="3446">
        <v>87.19</v>
      </c>
      <c r="P37" s="3447" t="s">
        <v>3394</v>
      </c>
      <c r="S37" s="3448">
        <f>SUM(S30:S36)</f>
        <v>7713.0999999999985</v>
      </c>
    </row>
    <row r="38" spans="2:20">
      <c r="B38" s="3451">
        <v>1303</v>
      </c>
      <c r="C38" s="3451">
        <v>1178.6099999999999</v>
      </c>
      <c r="D38" s="3450" t="s">
        <v>21</v>
      </c>
      <c r="F38" s="3455">
        <v>1204</v>
      </c>
      <c r="G38" s="3455">
        <v>1194.76</v>
      </c>
      <c r="H38" s="3456" t="s">
        <v>21</v>
      </c>
      <c r="J38" s="3457">
        <v>-4034</v>
      </c>
      <c r="K38" s="3457">
        <v>87.19</v>
      </c>
      <c r="L38" s="3458" t="s">
        <v>3394</v>
      </c>
      <c r="N38" s="3446">
        <v>-3033</v>
      </c>
      <c r="O38" s="3446">
        <v>87.19</v>
      </c>
      <c r="P38" s="3447" t="s">
        <v>3394</v>
      </c>
      <c r="Q38" s="3449" t="s">
        <v>3406</v>
      </c>
      <c r="R38" s="3452" t="s">
        <v>3387</v>
      </c>
      <c r="S38" s="3452" t="s">
        <v>3388</v>
      </c>
      <c r="T38" s="3452" t="s">
        <v>3390</v>
      </c>
    </row>
    <row r="39" spans="2:20">
      <c r="B39" s="3451">
        <v>1304</v>
      </c>
      <c r="C39" s="3451">
        <v>1016.79</v>
      </c>
      <c r="D39" s="3450" t="s">
        <v>21</v>
      </c>
      <c r="F39" s="3455">
        <v>1301</v>
      </c>
      <c r="G39" s="3455">
        <v>945.92</v>
      </c>
      <c r="H39" s="3456" t="s">
        <v>21</v>
      </c>
      <c r="J39" s="3457">
        <v>-4035</v>
      </c>
      <c r="K39" s="3457">
        <v>87.19</v>
      </c>
      <c r="L39" s="3458" t="s">
        <v>3394</v>
      </c>
      <c r="N39" s="3446">
        <v>-3034</v>
      </c>
      <c r="O39" s="3446">
        <v>87.19</v>
      </c>
      <c r="P39" s="3447" t="s">
        <v>3394</v>
      </c>
      <c r="R39" s="3446">
        <v>301</v>
      </c>
      <c r="S39" s="3446">
        <v>1967.72</v>
      </c>
      <c r="T39" s="3447" t="s">
        <v>672</v>
      </c>
    </row>
    <row r="40" spans="2:20">
      <c r="B40" s="3451">
        <v>1401</v>
      </c>
      <c r="C40" s="3451">
        <v>985.45</v>
      </c>
      <c r="D40" s="3450" t="s">
        <v>21</v>
      </c>
      <c r="F40" s="3455">
        <v>1302</v>
      </c>
      <c r="G40" s="3455">
        <v>895.88</v>
      </c>
      <c r="H40" s="3456" t="s">
        <v>21</v>
      </c>
      <c r="J40" s="3457">
        <v>-4036</v>
      </c>
      <c r="K40" s="3457">
        <v>87.19</v>
      </c>
      <c r="L40" s="3458" t="s">
        <v>3394</v>
      </c>
      <c r="N40" s="3446">
        <v>-3035</v>
      </c>
      <c r="O40" s="3446">
        <v>134.41999999999999</v>
      </c>
      <c r="P40" s="3447" t="s">
        <v>3394</v>
      </c>
      <c r="R40" s="3446">
        <v>302</v>
      </c>
      <c r="S40" s="3446">
        <v>1928.09</v>
      </c>
      <c r="T40" s="3447" t="s">
        <v>672</v>
      </c>
    </row>
    <row r="41" spans="2:20">
      <c r="B41" s="3451">
        <v>1402</v>
      </c>
      <c r="C41" s="3451">
        <v>1051.25</v>
      </c>
      <c r="D41" s="3450" t="s">
        <v>21</v>
      </c>
      <c r="F41" s="3455">
        <v>1303</v>
      </c>
      <c r="G41" s="3455">
        <v>1030</v>
      </c>
      <c r="H41" s="3456" t="s">
        <v>21</v>
      </c>
      <c r="J41" s="3457">
        <v>-4037</v>
      </c>
      <c r="K41" s="3457">
        <v>87.19</v>
      </c>
      <c r="L41" s="3458" t="s">
        <v>3394</v>
      </c>
      <c r="N41" s="3446">
        <v>-3036</v>
      </c>
      <c r="O41" s="3446">
        <v>87.19</v>
      </c>
      <c r="P41" s="3447" t="s">
        <v>3394</v>
      </c>
      <c r="R41" s="3457">
        <v>303</v>
      </c>
      <c r="S41" s="3457">
        <v>1446.17</v>
      </c>
      <c r="T41" s="3458" t="s">
        <v>672</v>
      </c>
    </row>
    <row r="42" spans="2:20">
      <c r="B42" s="3451">
        <v>1403</v>
      </c>
      <c r="C42" s="3451">
        <v>1178.6099999999999</v>
      </c>
      <c r="D42" s="3450" t="s">
        <v>21</v>
      </c>
      <c r="F42" s="3455">
        <v>1304</v>
      </c>
      <c r="G42" s="3455">
        <v>1194.1099999999999</v>
      </c>
      <c r="H42" s="3456" t="s">
        <v>21</v>
      </c>
      <c r="J42" s="3457">
        <v>-4038</v>
      </c>
      <c r="K42" s="3457">
        <v>87.19</v>
      </c>
      <c r="L42" s="3458" t="s">
        <v>3394</v>
      </c>
      <c r="N42" s="3446">
        <v>-3037</v>
      </c>
      <c r="O42" s="3446">
        <v>87.19</v>
      </c>
      <c r="P42" s="3447" t="s">
        <v>3394</v>
      </c>
      <c r="R42" s="3457">
        <v>304</v>
      </c>
      <c r="S42" s="3457">
        <v>1812.47</v>
      </c>
      <c r="T42" s="3458" t="s">
        <v>672</v>
      </c>
    </row>
    <row r="43" spans="2:20">
      <c r="B43" s="3451">
        <v>1404</v>
      </c>
      <c r="C43" s="3451">
        <v>1016.79</v>
      </c>
      <c r="D43" s="3450" t="s">
        <v>21</v>
      </c>
      <c r="F43" s="3455">
        <v>1401</v>
      </c>
      <c r="G43" s="3455">
        <v>945.92</v>
      </c>
      <c r="H43" s="3456" t="s">
        <v>21</v>
      </c>
      <c r="J43" s="3457">
        <v>-4039</v>
      </c>
      <c r="K43" s="3457">
        <v>87.19</v>
      </c>
      <c r="L43" s="3458" t="s">
        <v>3394</v>
      </c>
      <c r="N43" s="3446">
        <v>-3038</v>
      </c>
      <c r="O43" s="3446">
        <v>87.19</v>
      </c>
      <c r="P43" s="3447" t="s">
        <v>3394</v>
      </c>
      <c r="R43" s="3457">
        <v>305</v>
      </c>
      <c r="S43" s="3457">
        <v>1337.89</v>
      </c>
      <c r="T43" s="3458" t="s">
        <v>672</v>
      </c>
    </row>
    <row r="44" spans="2:20">
      <c r="B44" s="3451">
        <v>1501</v>
      </c>
      <c r="C44" s="3451">
        <v>985.45</v>
      </c>
      <c r="D44" s="3450" t="s">
        <v>21</v>
      </c>
      <c r="F44" s="3455">
        <v>1402</v>
      </c>
      <c r="G44" s="3455">
        <v>895.88</v>
      </c>
      <c r="H44" s="3456" t="s">
        <v>21</v>
      </c>
      <c r="J44" s="3457">
        <v>-4040</v>
      </c>
      <c r="K44" s="3457">
        <v>87.19</v>
      </c>
      <c r="L44" s="3458" t="s">
        <v>3394</v>
      </c>
      <c r="N44" s="3446">
        <v>-3039</v>
      </c>
      <c r="O44" s="3446">
        <v>87.19</v>
      </c>
      <c r="P44" s="3447" t="s">
        <v>3394</v>
      </c>
      <c r="S44" s="3448">
        <f>SUM(S39:S43)</f>
        <v>8492.34</v>
      </c>
    </row>
    <row r="45" spans="2:20">
      <c r="B45" s="3451">
        <v>1502</v>
      </c>
      <c r="C45" s="3451">
        <v>1051.25</v>
      </c>
      <c r="D45" s="3450" t="s">
        <v>21</v>
      </c>
      <c r="F45" s="3455">
        <v>1403</v>
      </c>
      <c r="G45" s="3455">
        <v>1030</v>
      </c>
      <c r="H45" s="3456" t="s">
        <v>21</v>
      </c>
      <c r="J45" s="3457">
        <v>-4041</v>
      </c>
      <c r="K45" s="3457">
        <v>87.19</v>
      </c>
      <c r="L45" s="3458" t="s">
        <v>3394</v>
      </c>
      <c r="N45" s="3446">
        <v>-304</v>
      </c>
      <c r="O45" s="3446">
        <v>146.87</v>
      </c>
      <c r="P45" s="3447" t="s">
        <v>3397</v>
      </c>
    </row>
    <row r="46" spans="2:20">
      <c r="B46" s="3451">
        <v>1503</v>
      </c>
      <c r="C46" s="3451">
        <v>1178.6099999999999</v>
      </c>
      <c r="D46" s="3450" t="s">
        <v>21</v>
      </c>
      <c r="F46" s="3455">
        <v>1404</v>
      </c>
      <c r="G46" s="3455">
        <v>1194.1099999999999</v>
      </c>
      <c r="H46" s="3456" t="s">
        <v>21</v>
      </c>
      <c r="K46" s="3448">
        <f>SUM(K3:K45)</f>
        <v>4263.2800000000007</v>
      </c>
      <c r="N46" s="3446">
        <v>-3040</v>
      </c>
      <c r="O46" s="3446">
        <v>87.19</v>
      </c>
      <c r="P46" s="3447" t="s">
        <v>3394</v>
      </c>
    </row>
    <row r="47" spans="2:20">
      <c r="B47" s="3451">
        <v>1504</v>
      </c>
      <c r="C47" s="3451">
        <v>1016.79</v>
      </c>
      <c r="D47" s="3450" t="s">
        <v>21</v>
      </c>
      <c r="F47" s="3455">
        <v>1501</v>
      </c>
      <c r="G47" s="3455">
        <v>945.92</v>
      </c>
      <c r="H47" s="3456" t="s">
        <v>21</v>
      </c>
      <c r="N47" s="3446">
        <v>-3041</v>
      </c>
      <c r="O47" s="3446">
        <v>87.19</v>
      </c>
      <c r="P47" s="3447" t="s">
        <v>3394</v>
      </c>
    </row>
    <row r="48" spans="2:20">
      <c r="B48" s="3451">
        <v>1601</v>
      </c>
      <c r="C48" s="3451">
        <v>985.45</v>
      </c>
      <c r="D48" s="3450" t="s">
        <v>21</v>
      </c>
      <c r="F48" s="3455">
        <v>1502</v>
      </c>
      <c r="G48" s="3455">
        <v>895.88</v>
      </c>
      <c r="H48" s="3456" t="s">
        <v>21</v>
      </c>
      <c r="N48" s="3446">
        <v>-3042</v>
      </c>
      <c r="O48" s="3446">
        <v>87.19</v>
      </c>
      <c r="P48" s="3447" t="s">
        <v>3394</v>
      </c>
    </row>
    <row r="49" spans="2:16">
      <c r="B49" s="3451">
        <v>1602</v>
      </c>
      <c r="C49" s="3451">
        <v>1051.25</v>
      </c>
      <c r="D49" s="3450" t="s">
        <v>21</v>
      </c>
      <c r="F49" s="3455">
        <v>1503</v>
      </c>
      <c r="G49" s="3455">
        <v>1030</v>
      </c>
      <c r="H49" s="3456" t="s">
        <v>21</v>
      </c>
      <c r="N49" s="3446">
        <v>-3043</v>
      </c>
      <c r="O49" s="3446">
        <v>87.19</v>
      </c>
      <c r="P49" s="3447" t="s">
        <v>3394</v>
      </c>
    </row>
    <row r="50" spans="2:16">
      <c r="B50" s="3451">
        <v>1603</v>
      </c>
      <c r="C50" s="3451">
        <v>1178.6099999999999</v>
      </c>
      <c r="D50" s="3450" t="s">
        <v>21</v>
      </c>
      <c r="F50" s="3455">
        <v>1504</v>
      </c>
      <c r="G50" s="3455">
        <v>1194.1099999999999</v>
      </c>
      <c r="H50" s="3456" t="s">
        <v>21</v>
      </c>
      <c r="N50" s="3446">
        <v>-3044</v>
      </c>
      <c r="O50" s="3446">
        <v>87.19</v>
      </c>
      <c r="P50" s="3447" t="s">
        <v>3394</v>
      </c>
    </row>
    <row r="51" spans="2:16">
      <c r="B51" s="3451">
        <v>1604</v>
      </c>
      <c r="C51" s="3451">
        <v>1016.79</v>
      </c>
      <c r="D51" s="3450" t="s">
        <v>21</v>
      </c>
      <c r="F51" s="3455">
        <v>1601</v>
      </c>
      <c r="G51" s="3455">
        <v>945.92</v>
      </c>
      <c r="H51" s="3456" t="s">
        <v>21</v>
      </c>
      <c r="N51" s="3446">
        <v>-3045</v>
      </c>
      <c r="O51" s="3446">
        <v>87.19</v>
      </c>
      <c r="P51" s="3447" t="s">
        <v>3394</v>
      </c>
    </row>
    <row r="52" spans="2:16">
      <c r="B52" s="3451">
        <v>1701</v>
      </c>
      <c r="C52" s="3451">
        <v>985.45</v>
      </c>
      <c r="D52" s="3450" t="s">
        <v>21</v>
      </c>
      <c r="F52" s="3455">
        <v>1602</v>
      </c>
      <c r="G52" s="3455">
        <v>895.88</v>
      </c>
      <c r="H52" s="3456" t="s">
        <v>21</v>
      </c>
      <c r="N52" s="3446">
        <v>-3046</v>
      </c>
      <c r="O52" s="3446">
        <v>87.19</v>
      </c>
      <c r="P52" s="3447" t="s">
        <v>3394</v>
      </c>
    </row>
    <row r="53" spans="2:16">
      <c r="B53" s="3451">
        <v>1702</v>
      </c>
      <c r="C53" s="3451">
        <v>1051.25</v>
      </c>
      <c r="D53" s="3450" t="s">
        <v>21</v>
      </c>
      <c r="F53" s="3455">
        <v>1603</v>
      </c>
      <c r="G53" s="3455">
        <v>1030</v>
      </c>
      <c r="H53" s="3456" t="s">
        <v>21</v>
      </c>
      <c r="N53" s="3446">
        <v>-3047</v>
      </c>
      <c r="O53" s="3446">
        <v>87.19</v>
      </c>
      <c r="P53" s="3447" t="s">
        <v>3394</v>
      </c>
    </row>
    <row r="54" spans="2:16">
      <c r="B54" s="3451">
        <v>1703</v>
      </c>
      <c r="C54" s="3451">
        <v>1178.6099999999999</v>
      </c>
      <c r="D54" s="3450" t="s">
        <v>21</v>
      </c>
      <c r="F54" s="3455">
        <v>1604</v>
      </c>
      <c r="G54" s="3455">
        <v>1194.1099999999999</v>
      </c>
      <c r="H54" s="3456" t="s">
        <v>21</v>
      </c>
      <c r="N54" s="3446">
        <v>-3048</v>
      </c>
      <c r="O54" s="3446">
        <v>87.19</v>
      </c>
      <c r="P54" s="3447" t="s">
        <v>3394</v>
      </c>
    </row>
    <row r="55" spans="2:16">
      <c r="B55" s="3451">
        <v>1704</v>
      </c>
      <c r="C55" s="3451">
        <v>1016.79</v>
      </c>
      <c r="D55" s="3450" t="s">
        <v>21</v>
      </c>
      <c r="F55" s="3455">
        <v>1701</v>
      </c>
      <c r="G55" s="3455">
        <v>945.92</v>
      </c>
      <c r="H55" s="3456" t="s">
        <v>21</v>
      </c>
      <c r="N55" s="3446">
        <v>-3049</v>
      </c>
      <c r="O55" s="3446">
        <v>87.19</v>
      </c>
      <c r="P55" s="3447" t="s">
        <v>3394</v>
      </c>
    </row>
    <row r="56" spans="2:16">
      <c r="C56" s="3448">
        <f>SUM(C3:C55)</f>
        <v>57426.38</v>
      </c>
      <c r="F56" s="3455">
        <v>1702</v>
      </c>
      <c r="G56" s="3455">
        <v>895.88</v>
      </c>
      <c r="H56" s="3456" t="s">
        <v>21</v>
      </c>
      <c r="N56" s="3446">
        <v>-305</v>
      </c>
      <c r="O56" s="3446">
        <v>16.36</v>
      </c>
      <c r="P56" s="3447" t="s">
        <v>3398</v>
      </c>
    </row>
    <row r="57" spans="2:16">
      <c r="F57" s="3455">
        <v>1703</v>
      </c>
      <c r="G57" s="3455">
        <v>1030</v>
      </c>
      <c r="H57" s="3456" t="s">
        <v>21</v>
      </c>
      <c r="N57" s="3446">
        <v>-3050</v>
      </c>
      <c r="O57" s="3446">
        <v>87.19</v>
      </c>
      <c r="P57" s="3447" t="s">
        <v>3394</v>
      </c>
    </row>
    <row r="58" spans="2:16">
      <c r="F58" s="3455">
        <v>1704</v>
      </c>
      <c r="G58" s="3455">
        <v>1194.1099999999999</v>
      </c>
      <c r="H58" s="3456" t="s">
        <v>21</v>
      </c>
      <c r="N58" s="3446">
        <v>-3051</v>
      </c>
      <c r="O58" s="3446">
        <v>87.19</v>
      </c>
      <c r="P58" s="3447" t="s">
        <v>3394</v>
      </c>
    </row>
    <row r="59" spans="2:16">
      <c r="G59" s="3448">
        <f>SUM(G3:G58)</f>
        <v>55311.209999999992</v>
      </c>
      <c r="N59" s="3446">
        <v>-3052</v>
      </c>
      <c r="O59" s="3446">
        <v>87.19</v>
      </c>
      <c r="P59" s="3447" t="s">
        <v>3394</v>
      </c>
    </row>
    <row r="60" spans="2:16">
      <c r="N60" s="3446">
        <v>-3053</v>
      </c>
      <c r="O60" s="3446">
        <v>87.19</v>
      </c>
      <c r="P60" s="3447" t="s">
        <v>3394</v>
      </c>
    </row>
    <row r="61" spans="2:16">
      <c r="N61" s="3446">
        <v>-3054</v>
      </c>
      <c r="O61" s="3446">
        <v>87.19</v>
      </c>
      <c r="P61" s="3447" t="s">
        <v>3394</v>
      </c>
    </row>
    <row r="62" spans="2:16">
      <c r="N62" s="3446">
        <v>-3055</v>
      </c>
      <c r="O62" s="3446">
        <v>87.19</v>
      </c>
      <c r="P62" s="3447" t="s">
        <v>3394</v>
      </c>
    </row>
    <row r="63" spans="2:16">
      <c r="N63" s="3446">
        <v>-3056</v>
      </c>
      <c r="O63" s="3446">
        <v>87.19</v>
      </c>
      <c r="P63" s="3447" t="s">
        <v>3394</v>
      </c>
    </row>
    <row r="64" spans="2:16">
      <c r="N64" s="3446">
        <v>-3057</v>
      </c>
      <c r="O64" s="3446">
        <v>87.19</v>
      </c>
      <c r="P64" s="3447" t="s">
        <v>3394</v>
      </c>
    </row>
    <row r="65" spans="14:16">
      <c r="N65" s="3446">
        <v>-3058</v>
      </c>
      <c r="O65" s="3446">
        <v>87.19</v>
      </c>
      <c r="P65" s="3447" t="s">
        <v>3394</v>
      </c>
    </row>
    <row r="66" spans="14:16">
      <c r="N66" s="3446">
        <v>-3059</v>
      </c>
      <c r="O66" s="3446">
        <v>87.19</v>
      </c>
      <c r="P66" s="3447" t="s">
        <v>3394</v>
      </c>
    </row>
    <row r="67" spans="14:16">
      <c r="N67" s="3446">
        <v>-306</v>
      </c>
      <c r="O67" s="3446">
        <v>41.81</v>
      </c>
      <c r="P67" s="3447" t="s">
        <v>3395</v>
      </c>
    </row>
    <row r="68" spans="14:16">
      <c r="N68" s="3446">
        <v>-3060</v>
      </c>
      <c r="O68" s="3446">
        <v>87.19</v>
      </c>
      <c r="P68" s="3447" t="s">
        <v>3394</v>
      </c>
    </row>
    <row r="69" spans="14:16">
      <c r="N69" s="3446">
        <v>-3061</v>
      </c>
      <c r="O69" s="3446">
        <v>87.19</v>
      </c>
      <c r="P69" s="3447" t="s">
        <v>3394</v>
      </c>
    </row>
    <row r="70" spans="14:16">
      <c r="N70" s="3446">
        <v>-3062</v>
      </c>
      <c r="O70" s="3446">
        <v>87.19</v>
      </c>
      <c r="P70" s="3447" t="s">
        <v>3394</v>
      </c>
    </row>
    <row r="71" spans="14:16">
      <c r="N71" s="3446">
        <v>-3063</v>
      </c>
      <c r="O71" s="3446">
        <v>87.19</v>
      </c>
      <c r="P71" s="3447" t="s">
        <v>3394</v>
      </c>
    </row>
    <row r="72" spans="14:16">
      <c r="N72" s="3446">
        <v>-3064</v>
      </c>
      <c r="O72" s="3446">
        <v>87.19</v>
      </c>
      <c r="P72" s="3447" t="s">
        <v>3394</v>
      </c>
    </row>
    <row r="73" spans="14:16">
      <c r="N73" s="3446">
        <v>-3065</v>
      </c>
      <c r="O73" s="3446">
        <v>87.19</v>
      </c>
      <c r="P73" s="3447" t="s">
        <v>3394</v>
      </c>
    </row>
    <row r="74" spans="14:16">
      <c r="N74" s="3446">
        <v>-3066</v>
      </c>
      <c r="O74" s="3446">
        <v>87.19</v>
      </c>
      <c r="P74" s="3447" t="s">
        <v>3394</v>
      </c>
    </row>
    <row r="75" spans="14:16">
      <c r="N75" s="3446">
        <v>-3067</v>
      </c>
      <c r="O75" s="3446">
        <v>87.19</v>
      </c>
      <c r="P75" s="3447" t="s">
        <v>3394</v>
      </c>
    </row>
    <row r="76" spans="14:16">
      <c r="N76" s="3446">
        <v>-3068</v>
      </c>
      <c r="O76" s="3446">
        <v>87.19</v>
      </c>
      <c r="P76" s="3447" t="s">
        <v>3394</v>
      </c>
    </row>
    <row r="77" spans="14:16">
      <c r="N77" s="3446">
        <v>-3069</v>
      </c>
      <c r="O77" s="3446">
        <v>87.19</v>
      </c>
      <c r="P77" s="3447" t="s">
        <v>3394</v>
      </c>
    </row>
    <row r="78" spans="14:16">
      <c r="N78" s="3446">
        <v>-307</v>
      </c>
      <c r="O78" s="3446">
        <v>197.78</v>
      </c>
      <c r="P78" s="3447" t="s">
        <v>3395</v>
      </c>
    </row>
    <row r="79" spans="14:16">
      <c r="N79" s="3446">
        <v>-3070</v>
      </c>
      <c r="O79" s="3446">
        <v>87.19</v>
      </c>
      <c r="P79" s="3447" t="s">
        <v>3394</v>
      </c>
    </row>
    <row r="80" spans="14:16">
      <c r="N80" s="3446">
        <v>-3071</v>
      </c>
      <c r="O80" s="3446">
        <v>87.19</v>
      </c>
      <c r="P80" s="3447" t="s">
        <v>3394</v>
      </c>
    </row>
    <row r="81" spans="14:16">
      <c r="N81" s="3446">
        <v>-3072</v>
      </c>
      <c r="O81" s="3446">
        <v>87.19</v>
      </c>
      <c r="P81" s="3447" t="s">
        <v>3394</v>
      </c>
    </row>
    <row r="82" spans="14:16">
      <c r="N82" s="3446">
        <v>-3073</v>
      </c>
      <c r="O82" s="3446">
        <v>87.19</v>
      </c>
      <c r="P82" s="3447" t="s">
        <v>3394</v>
      </c>
    </row>
    <row r="83" spans="14:16">
      <c r="N83" s="3446">
        <v>-3074</v>
      </c>
      <c r="O83" s="3446">
        <v>87.19</v>
      </c>
      <c r="P83" s="3447" t="s">
        <v>3394</v>
      </c>
    </row>
    <row r="84" spans="14:16">
      <c r="N84" s="3446">
        <v>-3075</v>
      </c>
      <c r="O84" s="3446">
        <v>87.19</v>
      </c>
      <c r="P84" s="3447" t="s">
        <v>3394</v>
      </c>
    </row>
    <row r="85" spans="14:16">
      <c r="N85" s="3446">
        <v>-3076</v>
      </c>
      <c r="O85" s="3446">
        <v>87.19</v>
      </c>
      <c r="P85" s="3447" t="s">
        <v>3394</v>
      </c>
    </row>
    <row r="86" spans="14:16">
      <c r="N86" s="3446">
        <v>-3077</v>
      </c>
      <c r="O86" s="3446">
        <v>87.19</v>
      </c>
      <c r="P86" s="3447" t="s">
        <v>3394</v>
      </c>
    </row>
    <row r="87" spans="14:16">
      <c r="N87" s="3446">
        <v>-3078</v>
      </c>
      <c r="O87" s="3446">
        <v>87.19</v>
      </c>
      <c r="P87" s="3447" t="s">
        <v>3394</v>
      </c>
    </row>
    <row r="88" spans="14:16">
      <c r="N88" s="3446">
        <v>-3079</v>
      </c>
      <c r="O88" s="3446">
        <v>87.19</v>
      </c>
      <c r="P88" s="3447" t="s">
        <v>3394</v>
      </c>
    </row>
    <row r="89" spans="14:16">
      <c r="N89" s="3446">
        <v>-308</v>
      </c>
      <c r="O89" s="3446">
        <v>89.5</v>
      </c>
      <c r="P89" s="3447" t="s">
        <v>3395</v>
      </c>
    </row>
    <row r="90" spans="14:16">
      <c r="N90" s="3446">
        <v>-3080</v>
      </c>
      <c r="O90" s="3446">
        <v>87.19</v>
      </c>
      <c r="P90" s="3447" t="s">
        <v>3394</v>
      </c>
    </row>
    <row r="91" spans="14:16">
      <c r="N91" s="3446">
        <v>-3081</v>
      </c>
      <c r="O91" s="3446">
        <v>87.19</v>
      </c>
      <c r="P91" s="3447" t="s">
        <v>3394</v>
      </c>
    </row>
    <row r="92" spans="14:16">
      <c r="N92" s="3446">
        <v>-3082</v>
      </c>
      <c r="O92" s="3446">
        <v>87.19</v>
      </c>
      <c r="P92" s="3447" t="s">
        <v>3394</v>
      </c>
    </row>
    <row r="93" spans="14:16">
      <c r="N93" s="3446">
        <v>-3083</v>
      </c>
      <c r="O93" s="3446">
        <v>87.19</v>
      </c>
      <c r="P93" s="3447" t="s">
        <v>3394</v>
      </c>
    </row>
    <row r="94" spans="14:16">
      <c r="N94" s="3446">
        <v>-3084</v>
      </c>
      <c r="O94" s="3446">
        <v>87.19</v>
      </c>
      <c r="P94" s="3447" t="s">
        <v>3394</v>
      </c>
    </row>
    <row r="95" spans="14:16">
      <c r="N95" s="3446">
        <v>-3085</v>
      </c>
      <c r="O95" s="3446">
        <v>87.19</v>
      </c>
      <c r="P95" s="3447" t="s">
        <v>3394</v>
      </c>
    </row>
    <row r="96" spans="14:16">
      <c r="N96" s="3446">
        <v>-3086</v>
      </c>
      <c r="O96" s="3446">
        <v>87.19</v>
      </c>
      <c r="P96" s="3447" t="s">
        <v>3394</v>
      </c>
    </row>
    <row r="97" spans="14:16">
      <c r="N97" s="3446">
        <v>-3087</v>
      </c>
      <c r="O97" s="3446">
        <v>87.19</v>
      </c>
      <c r="P97" s="3447" t="s">
        <v>3394</v>
      </c>
    </row>
    <row r="98" spans="14:16">
      <c r="N98" s="3446">
        <v>-3088</v>
      </c>
      <c r="O98" s="3446">
        <v>87.19</v>
      </c>
      <c r="P98" s="3447" t="s">
        <v>3394</v>
      </c>
    </row>
    <row r="99" spans="14:16">
      <c r="N99" s="3446">
        <v>-3089</v>
      </c>
      <c r="O99" s="3446">
        <v>87.19</v>
      </c>
      <c r="P99" s="3447" t="s">
        <v>3394</v>
      </c>
    </row>
    <row r="100" spans="14:16">
      <c r="N100" s="3446">
        <v>-309</v>
      </c>
      <c r="O100" s="3446">
        <v>126.48</v>
      </c>
      <c r="P100" s="3447" t="s">
        <v>3395</v>
      </c>
    </row>
    <row r="101" spans="14:16">
      <c r="N101" s="3446">
        <v>-3090</v>
      </c>
      <c r="O101" s="3446">
        <v>87.19</v>
      </c>
      <c r="P101" s="3447" t="s">
        <v>3394</v>
      </c>
    </row>
    <row r="102" spans="14:16">
      <c r="N102" s="3446">
        <v>-3091</v>
      </c>
      <c r="O102" s="3446">
        <v>87.19</v>
      </c>
      <c r="P102" s="3447" t="s">
        <v>3394</v>
      </c>
    </row>
    <row r="103" spans="14:16">
      <c r="N103" s="3446">
        <v>-3092</v>
      </c>
      <c r="O103" s="3446">
        <v>87.19</v>
      </c>
      <c r="P103" s="3447" t="s">
        <v>3394</v>
      </c>
    </row>
    <row r="104" spans="14:16">
      <c r="N104" s="3446">
        <v>-3093</v>
      </c>
      <c r="O104" s="3446">
        <v>87.19</v>
      </c>
      <c r="P104" s="3447" t="s">
        <v>3394</v>
      </c>
    </row>
    <row r="105" spans="14:16">
      <c r="N105" s="3446">
        <v>-3094</v>
      </c>
      <c r="O105" s="3446">
        <v>87.19</v>
      </c>
      <c r="P105" s="3447" t="s">
        <v>3394</v>
      </c>
    </row>
    <row r="106" spans="14:16">
      <c r="N106" s="3446">
        <v>-3095</v>
      </c>
      <c r="O106" s="3446">
        <v>87.19</v>
      </c>
      <c r="P106" s="3447" t="s">
        <v>3394</v>
      </c>
    </row>
    <row r="107" spans="14:16">
      <c r="N107" s="3446">
        <v>-3096</v>
      </c>
      <c r="O107" s="3446">
        <v>87.19</v>
      </c>
      <c r="P107" s="3447" t="s">
        <v>3394</v>
      </c>
    </row>
    <row r="108" spans="14:16">
      <c r="N108" s="3446">
        <v>-3097</v>
      </c>
      <c r="O108" s="3446">
        <v>87.19</v>
      </c>
      <c r="P108" s="3447" t="s">
        <v>3394</v>
      </c>
    </row>
    <row r="109" spans="14:16">
      <c r="N109" s="3446">
        <v>-3098</v>
      </c>
      <c r="O109" s="3446">
        <v>87.19</v>
      </c>
      <c r="P109" s="3447" t="s">
        <v>3394</v>
      </c>
    </row>
    <row r="110" spans="14:16">
      <c r="N110" s="3446">
        <v>-3099</v>
      </c>
      <c r="O110" s="3446">
        <v>87.19</v>
      </c>
      <c r="P110" s="3447" t="s">
        <v>3394</v>
      </c>
    </row>
    <row r="111" spans="14:16">
      <c r="N111" s="3446">
        <v>-310</v>
      </c>
      <c r="O111" s="3446">
        <v>147.47</v>
      </c>
      <c r="P111" s="3447" t="s">
        <v>3397</v>
      </c>
    </row>
    <row r="112" spans="14:16">
      <c r="N112" s="3446">
        <v>-3100</v>
      </c>
      <c r="O112" s="3446">
        <v>134.41999999999999</v>
      </c>
      <c r="P112" s="3447" t="s">
        <v>3394</v>
      </c>
    </row>
    <row r="113" spans="14:16">
      <c r="N113" s="3446">
        <v>-3101</v>
      </c>
      <c r="O113" s="3446">
        <v>87.19</v>
      </c>
      <c r="P113" s="3447" t="s">
        <v>3394</v>
      </c>
    </row>
    <row r="114" spans="14:16">
      <c r="N114" s="3446">
        <v>-3102</v>
      </c>
      <c r="O114" s="3446">
        <v>87.19</v>
      </c>
      <c r="P114" s="3447" t="s">
        <v>3394</v>
      </c>
    </row>
    <row r="115" spans="14:16">
      <c r="N115" s="3446">
        <v>-3103</v>
      </c>
      <c r="O115" s="3446">
        <v>87.19</v>
      </c>
      <c r="P115" s="3447" t="s">
        <v>3394</v>
      </c>
    </row>
    <row r="116" spans="14:16">
      <c r="N116" s="3446">
        <v>-3104</v>
      </c>
      <c r="O116" s="3446">
        <v>87.19</v>
      </c>
      <c r="P116" s="3447" t="s">
        <v>3394</v>
      </c>
    </row>
    <row r="117" spans="14:16">
      <c r="N117" s="3446">
        <v>-311</v>
      </c>
      <c r="O117" s="3446">
        <v>242.8</v>
      </c>
      <c r="P117" s="3447" t="s">
        <v>21</v>
      </c>
    </row>
    <row r="118" spans="14:16">
      <c r="N118" s="3446">
        <v>-312</v>
      </c>
      <c r="O118" s="3446">
        <v>180.49</v>
      </c>
      <c r="P118" s="3447" t="s">
        <v>21</v>
      </c>
    </row>
    <row r="119" spans="14:16">
      <c r="N119" s="3446">
        <v>-313</v>
      </c>
      <c r="O119" s="3446">
        <v>127.93</v>
      </c>
      <c r="P119" s="3447" t="s">
        <v>21</v>
      </c>
    </row>
    <row r="120" spans="14:16">
      <c r="N120" s="3446">
        <v>-314</v>
      </c>
      <c r="O120" s="3446">
        <v>169.28</v>
      </c>
      <c r="P120" s="3447" t="s">
        <v>3395</v>
      </c>
    </row>
    <row r="121" spans="14:16">
      <c r="N121" s="3446">
        <v>-315</v>
      </c>
      <c r="O121" s="3446">
        <v>37.29</v>
      </c>
      <c r="P121" s="3447" t="s">
        <v>3399</v>
      </c>
    </row>
    <row r="122" spans="14:16">
      <c r="N122" s="3446">
        <v>-316</v>
      </c>
      <c r="O122" s="3446">
        <v>1221.48</v>
      </c>
      <c r="P122" s="3447" t="s">
        <v>21</v>
      </c>
    </row>
    <row r="123" spans="14:16">
      <c r="N123" s="3446">
        <v>-317</v>
      </c>
      <c r="O123" s="3446">
        <v>81.86</v>
      </c>
      <c r="P123" s="3447" t="s">
        <v>21</v>
      </c>
    </row>
    <row r="124" spans="14:16">
      <c r="O124" s="3448">
        <f>SUM(O3:O123)</f>
        <v>13545.580000000002</v>
      </c>
    </row>
  </sheetData>
  <mergeCells count="1">
    <mergeCell ref="C1:E1"/>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0"/>
  <sheetViews>
    <sheetView topLeftCell="A190" zoomScale="115" zoomScaleNormal="115" workbookViewId="0">
      <selection activeCell="O220" sqref="O220"/>
    </sheetView>
  </sheetViews>
  <sheetFormatPr defaultRowHeight="13.5"/>
  <cols>
    <col min="1" max="6" width="9" style="3461"/>
    <col min="7" max="7" width="16.125" style="3461" bestFit="1" customWidth="1"/>
    <col min="8" max="16384" width="9" style="3461"/>
  </cols>
  <sheetData>
    <row r="1" spans="1:4">
      <c r="A1" s="3460" t="s">
        <v>3416</v>
      </c>
      <c r="B1" s="3460" t="s">
        <v>3387</v>
      </c>
      <c r="C1" s="3460" t="s">
        <v>3388</v>
      </c>
      <c r="D1" s="3460" t="s">
        <v>3390</v>
      </c>
    </row>
    <row r="2" spans="1:4">
      <c r="A2" s="3459"/>
      <c r="B2" s="3465">
        <v>-315</v>
      </c>
      <c r="C2" s="3465">
        <v>37.29</v>
      </c>
      <c r="D2" s="3464" t="s">
        <v>3399</v>
      </c>
    </row>
    <row r="3" spans="1:4">
      <c r="A3" s="3459" t="s">
        <v>3400</v>
      </c>
      <c r="B3" s="3472">
        <v>-203</v>
      </c>
      <c r="C3" s="3472">
        <v>10160.94</v>
      </c>
      <c r="D3" s="3473" t="s">
        <v>672</v>
      </c>
    </row>
    <row r="4" spans="1:4">
      <c r="A4" s="3459"/>
      <c r="B4" s="3465">
        <v>-205</v>
      </c>
      <c r="C4" s="3465">
        <v>203</v>
      </c>
      <c r="D4" s="3464" t="s">
        <v>672</v>
      </c>
    </row>
    <row r="5" spans="1:4">
      <c r="A5" s="3459"/>
      <c r="B5" s="3465">
        <v>-207</v>
      </c>
      <c r="C5" s="3465">
        <v>465.36</v>
      </c>
      <c r="D5" s="3464" t="s">
        <v>672</v>
      </c>
    </row>
    <row r="6" spans="1:4">
      <c r="A6" s="3459"/>
      <c r="B6" s="3465">
        <v>-208</v>
      </c>
      <c r="C6" s="3465">
        <v>893.63</v>
      </c>
      <c r="D6" s="3464" t="s">
        <v>672</v>
      </c>
    </row>
    <row r="7" spans="1:4">
      <c r="A7" s="3459" t="s">
        <v>3410</v>
      </c>
      <c r="B7" s="3465">
        <v>-103</v>
      </c>
      <c r="C7" s="3465">
        <v>8022</v>
      </c>
      <c r="D7" s="3464" t="s">
        <v>672</v>
      </c>
    </row>
    <row r="8" spans="1:4">
      <c r="A8" s="3459"/>
      <c r="B8" s="3465">
        <v>-104</v>
      </c>
      <c r="C8" s="3465">
        <v>1467.6</v>
      </c>
      <c r="D8" s="3464" t="s">
        <v>672</v>
      </c>
    </row>
    <row r="9" spans="1:4">
      <c r="A9" s="3459"/>
      <c r="B9" s="3465">
        <v>-105</v>
      </c>
      <c r="C9" s="3465">
        <v>4083.52</v>
      </c>
      <c r="D9" s="3464" t="s">
        <v>672</v>
      </c>
    </row>
    <row r="10" spans="1:4">
      <c r="A10" s="3459" t="s">
        <v>3411</v>
      </c>
      <c r="B10" s="3465">
        <v>101</v>
      </c>
      <c r="C10" s="3465">
        <v>1025.52</v>
      </c>
      <c r="D10" s="3464" t="s">
        <v>672</v>
      </c>
    </row>
    <row r="11" spans="1:4">
      <c r="A11" s="3462"/>
      <c r="B11" s="3465">
        <v>102</v>
      </c>
      <c r="C11" s="3465">
        <v>681.01</v>
      </c>
      <c r="D11" s="3464" t="s">
        <v>672</v>
      </c>
    </row>
    <row r="12" spans="1:4">
      <c r="A12" s="3459" t="s">
        <v>3405</v>
      </c>
      <c r="B12" s="3465">
        <v>201</v>
      </c>
      <c r="C12" s="3465">
        <v>1577.59</v>
      </c>
      <c r="D12" s="3464" t="s">
        <v>672</v>
      </c>
    </row>
    <row r="13" spans="1:4">
      <c r="A13" s="3462"/>
      <c r="B13" s="3465">
        <v>202</v>
      </c>
      <c r="C13" s="3465">
        <v>1647.66</v>
      </c>
      <c r="D13" s="3464" t="s">
        <v>672</v>
      </c>
    </row>
    <row r="14" spans="1:4">
      <c r="A14" s="3459" t="s">
        <v>3406</v>
      </c>
      <c r="B14" s="3465">
        <v>301</v>
      </c>
      <c r="C14" s="3465">
        <v>1967.72</v>
      </c>
      <c r="D14" s="3464" t="s">
        <v>672</v>
      </c>
    </row>
    <row r="15" spans="1:4">
      <c r="A15" s="3462"/>
      <c r="B15" s="3470">
        <v>302</v>
      </c>
      <c r="C15" s="3470">
        <v>1928.09</v>
      </c>
      <c r="D15" s="3471" t="s">
        <v>672</v>
      </c>
    </row>
    <row r="16" spans="1:4">
      <c r="A16" s="3634" t="s">
        <v>3412</v>
      </c>
      <c r="B16" s="3634"/>
      <c r="C16" s="3474">
        <f>SUM(C2:C15)</f>
        <v>34160.93</v>
      </c>
      <c r="D16" s="3464" t="s">
        <v>3415</v>
      </c>
    </row>
    <row r="17" spans="1:7">
      <c r="A17" s="3459" t="s">
        <v>3391</v>
      </c>
      <c r="B17" s="3475">
        <v>401</v>
      </c>
      <c r="C17" s="3475">
        <v>943.9</v>
      </c>
      <c r="D17" s="3473" t="s">
        <v>21</v>
      </c>
      <c r="F17" s="3466"/>
      <c r="G17" s="3467"/>
    </row>
    <row r="18" spans="1:7">
      <c r="A18" s="3462"/>
      <c r="B18" s="3463">
        <v>402</v>
      </c>
      <c r="C18" s="3463">
        <v>776.32</v>
      </c>
      <c r="D18" s="3464" t="s">
        <v>21</v>
      </c>
    </row>
    <row r="19" spans="1:7">
      <c r="A19" s="3459"/>
      <c r="B19" s="3463">
        <v>403</v>
      </c>
      <c r="C19" s="3463">
        <v>908.78</v>
      </c>
      <c r="D19" s="3464" t="s">
        <v>21</v>
      </c>
    </row>
    <row r="20" spans="1:7">
      <c r="A20" s="3459"/>
      <c r="B20" s="3463">
        <v>404</v>
      </c>
      <c r="C20" s="3463">
        <v>1060.48</v>
      </c>
      <c r="D20" s="3464" t="s">
        <v>21</v>
      </c>
    </row>
    <row r="21" spans="1:7">
      <c r="A21" s="3462"/>
      <c r="B21" s="3463">
        <v>501</v>
      </c>
      <c r="C21" s="3463">
        <v>939</v>
      </c>
      <c r="D21" s="3464" t="s">
        <v>21</v>
      </c>
    </row>
    <row r="22" spans="1:7">
      <c r="A22" s="3462"/>
      <c r="B22" s="3463">
        <v>502</v>
      </c>
      <c r="C22" s="3463">
        <v>782.02</v>
      </c>
      <c r="D22" s="3464" t="s">
        <v>21</v>
      </c>
    </row>
    <row r="23" spans="1:7">
      <c r="A23" s="3462"/>
      <c r="B23" s="3463">
        <v>503</v>
      </c>
      <c r="C23" s="3463">
        <v>3906.24</v>
      </c>
      <c r="D23" s="3464" t="s">
        <v>21</v>
      </c>
    </row>
    <row r="24" spans="1:7">
      <c r="A24" s="3462"/>
      <c r="B24" s="3463">
        <v>601</v>
      </c>
      <c r="C24" s="3463">
        <v>959.04</v>
      </c>
      <c r="D24" s="3464" t="s">
        <v>21</v>
      </c>
    </row>
    <row r="25" spans="1:7">
      <c r="A25" s="3462"/>
      <c r="B25" s="3463">
        <v>602</v>
      </c>
      <c r="C25" s="3463">
        <v>829.73</v>
      </c>
      <c r="D25" s="3464" t="s">
        <v>21</v>
      </c>
    </row>
    <row r="26" spans="1:7">
      <c r="A26" s="3462"/>
      <c r="B26" s="3463">
        <v>701</v>
      </c>
      <c r="C26" s="3463">
        <v>958.87</v>
      </c>
      <c r="D26" s="3464" t="s">
        <v>21</v>
      </c>
    </row>
    <row r="27" spans="1:7">
      <c r="A27" s="3462"/>
      <c r="B27" s="3463">
        <v>702</v>
      </c>
      <c r="C27" s="3463">
        <v>1010.33</v>
      </c>
      <c r="D27" s="3464" t="s">
        <v>21</v>
      </c>
    </row>
    <row r="28" spans="1:7">
      <c r="A28" s="3462"/>
      <c r="B28" s="3463">
        <v>703</v>
      </c>
      <c r="C28" s="3463">
        <v>1183.54</v>
      </c>
      <c r="D28" s="3464" t="s">
        <v>21</v>
      </c>
    </row>
    <row r="29" spans="1:7">
      <c r="A29" s="3462"/>
      <c r="B29" s="3463">
        <v>704</v>
      </c>
      <c r="C29" s="3463">
        <v>1019.64</v>
      </c>
      <c r="D29" s="3464" t="s">
        <v>21</v>
      </c>
    </row>
    <row r="30" spans="1:7">
      <c r="A30" s="3462"/>
      <c r="B30" s="3463">
        <v>801</v>
      </c>
      <c r="C30" s="3463">
        <v>958.87</v>
      </c>
      <c r="D30" s="3464" t="s">
        <v>21</v>
      </c>
    </row>
    <row r="31" spans="1:7">
      <c r="A31" s="3462"/>
      <c r="B31" s="3463">
        <v>802</v>
      </c>
      <c r="C31" s="3463">
        <v>1010.33</v>
      </c>
      <c r="D31" s="3464" t="s">
        <v>21</v>
      </c>
    </row>
    <row r="32" spans="1:7">
      <c r="A32" s="3462"/>
      <c r="B32" s="3463">
        <v>803</v>
      </c>
      <c r="C32" s="3463">
        <v>1183.54</v>
      </c>
      <c r="D32" s="3464" t="s">
        <v>21</v>
      </c>
    </row>
    <row r="33" spans="1:4">
      <c r="A33" s="3462"/>
      <c r="B33" s="3463">
        <v>804</v>
      </c>
      <c r="C33" s="3463">
        <v>1018.77</v>
      </c>
      <c r="D33" s="3464" t="s">
        <v>21</v>
      </c>
    </row>
    <row r="34" spans="1:4">
      <c r="A34" s="3462"/>
      <c r="B34" s="3463">
        <v>901</v>
      </c>
      <c r="C34" s="3463">
        <v>958.87</v>
      </c>
      <c r="D34" s="3464" t="s">
        <v>21</v>
      </c>
    </row>
    <row r="35" spans="1:4">
      <c r="A35" s="3462"/>
      <c r="B35" s="3463">
        <v>902</v>
      </c>
      <c r="C35" s="3463">
        <v>1010.33</v>
      </c>
      <c r="D35" s="3464" t="s">
        <v>21</v>
      </c>
    </row>
    <row r="36" spans="1:4">
      <c r="A36" s="3462"/>
      <c r="B36" s="3463">
        <v>903</v>
      </c>
      <c r="C36" s="3463">
        <v>1183.54</v>
      </c>
      <c r="D36" s="3464" t="s">
        <v>21</v>
      </c>
    </row>
    <row r="37" spans="1:4">
      <c r="A37" s="3462"/>
      <c r="B37" s="3463">
        <v>904</v>
      </c>
      <c r="C37" s="3463">
        <v>1018.77</v>
      </c>
      <c r="D37" s="3464" t="s">
        <v>21</v>
      </c>
    </row>
    <row r="38" spans="1:4">
      <c r="A38" s="3462"/>
      <c r="B38" s="3463">
        <v>1001</v>
      </c>
      <c r="C38" s="3463">
        <v>958.87</v>
      </c>
      <c r="D38" s="3464" t="s">
        <v>21</v>
      </c>
    </row>
    <row r="39" spans="1:4">
      <c r="A39" s="3462"/>
      <c r="B39" s="3463">
        <v>1002</v>
      </c>
      <c r="C39" s="3463">
        <v>1010.33</v>
      </c>
      <c r="D39" s="3464" t="s">
        <v>21</v>
      </c>
    </row>
    <row r="40" spans="1:4">
      <c r="A40" s="3462"/>
      <c r="B40" s="3463">
        <v>1003</v>
      </c>
      <c r="C40" s="3463">
        <v>1183.54</v>
      </c>
      <c r="D40" s="3464" t="s">
        <v>21</v>
      </c>
    </row>
    <row r="41" spans="1:4">
      <c r="A41" s="3462"/>
      <c r="B41" s="3463">
        <v>1004</v>
      </c>
      <c r="C41" s="3463">
        <v>1018.77</v>
      </c>
      <c r="D41" s="3464" t="s">
        <v>21</v>
      </c>
    </row>
    <row r="42" spans="1:4">
      <c r="A42" s="3462"/>
      <c r="B42" s="3463">
        <v>1101</v>
      </c>
      <c r="C42" s="3463">
        <v>1056.6099999999999</v>
      </c>
      <c r="D42" s="3464" t="s">
        <v>21</v>
      </c>
    </row>
    <row r="43" spans="1:4">
      <c r="A43" s="3462"/>
      <c r="B43" s="3463">
        <v>1102</v>
      </c>
      <c r="C43" s="3463">
        <v>983.25</v>
      </c>
      <c r="D43" s="3464" t="s">
        <v>21</v>
      </c>
    </row>
    <row r="44" spans="1:4">
      <c r="A44" s="3462"/>
      <c r="B44" s="3463">
        <v>1103</v>
      </c>
      <c r="C44" s="3463">
        <v>1179.27</v>
      </c>
      <c r="D44" s="3464" t="s">
        <v>21</v>
      </c>
    </row>
    <row r="45" spans="1:4">
      <c r="A45" s="3462"/>
      <c r="B45" s="3463">
        <v>1104</v>
      </c>
      <c r="C45" s="3463">
        <v>1017.74</v>
      </c>
      <c r="D45" s="3464" t="s">
        <v>21</v>
      </c>
    </row>
    <row r="46" spans="1:4">
      <c r="A46" s="3462"/>
      <c r="B46" s="3465">
        <v>1201</v>
      </c>
      <c r="C46" s="3465">
        <v>1056.6099999999999</v>
      </c>
      <c r="D46" s="3464" t="s">
        <v>21</v>
      </c>
    </row>
    <row r="47" spans="1:4">
      <c r="A47" s="3462"/>
      <c r="B47" s="3465">
        <v>1202</v>
      </c>
      <c r="C47" s="3465">
        <v>983.25</v>
      </c>
      <c r="D47" s="3464" t="s">
        <v>21</v>
      </c>
    </row>
    <row r="48" spans="1:4">
      <c r="A48" s="3462"/>
      <c r="B48" s="3465">
        <v>1203</v>
      </c>
      <c r="C48" s="3465">
        <v>1179.27</v>
      </c>
      <c r="D48" s="3464" t="s">
        <v>21</v>
      </c>
    </row>
    <row r="49" spans="1:4">
      <c r="A49" s="3462"/>
      <c r="B49" s="3465">
        <v>1204</v>
      </c>
      <c r="C49" s="3465">
        <v>1017.46</v>
      </c>
      <c r="D49" s="3464" t="s">
        <v>21</v>
      </c>
    </row>
    <row r="50" spans="1:4">
      <c r="A50" s="3462"/>
      <c r="B50" s="3465">
        <v>1301</v>
      </c>
      <c r="C50" s="3465">
        <v>985.45</v>
      </c>
      <c r="D50" s="3464" t="s">
        <v>21</v>
      </c>
    </row>
    <row r="51" spans="1:4">
      <c r="A51" s="3462"/>
      <c r="B51" s="3465">
        <v>1302</v>
      </c>
      <c r="C51" s="3465">
        <v>1051.25</v>
      </c>
      <c r="D51" s="3464" t="s">
        <v>21</v>
      </c>
    </row>
    <row r="52" spans="1:4">
      <c r="A52" s="3462"/>
      <c r="B52" s="3465">
        <v>1303</v>
      </c>
      <c r="C52" s="3465">
        <v>1178.6099999999999</v>
      </c>
      <c r="D52" s="3464" t="s">
        <v>21</v>
      </c>
    </row>
    <row r="53" spans="1:4">
      <c r="A53" s="3462"/>
      <c r="B53" s="3465">
        <v>1304</v>
      </c>
      <c r="C53" s="3465">
        <v>1016.79</v>
      </c>
      <c r="D53" s="3464" t="s">
        <v>21</v>
      </c>
    </row>
    <row r="54" spans="1:4">
      <c r="A54" s="3462"/>
      <c r="B54" s="3465">
        <v>1401</v>
      </c>
      <c r="C54" s="3465">
        <v>985.45</v>
      </c>
      <c r="D54" s="3464" t="s">
        <v>21</v>
      </c>
    </row>
    <row r="55" spans="1:4">
      <c r="A55" s="3462"/>
      <c r="B55" s="3465">
        <v>1402</v>
      </c>
      <c r="C55" s="3465">
        <v>1051.25</v>
      </c>
      <c r="D55" s="3464" t="s">
        <v>21</v>
      </c>
    </row>
    <row r="56" spans="1:4">
      <c r="A56" s="3462"/>
      <c r="B56" s="3465">
        <v>1403</v>
      </c>
      <c r="C56" s="3465">
        <v>1178.6099999999999</v>
      </c>
      <c r="D56" s="3464" t="s">
        <v>21</v>
      </c>
    </row>
    <row r="57" spans="1:4">
      <c r="A57" s="3462"/>
      <c r="B57" s="3465">
        <v>1404</v>
      </c>
      <c r="C57" s="3465">
        <v>1016.79</v>
      </c>
      <c r="D57" s="3464" t="s">
        <v>21</v>
      </c>
    </row>
    <row r="58" spans="1:4">
      <c r="A58" s="3462"/>
      <c r="B58" s="3465">
        <v>1501</v>
      </c>
      <c r="C58" s="3465">
        <v>985.45</v>
      </c>
      <c r="D58" s="3464" t="s">
        <v>21</v>
      </c>
    </row>
    <row r="59" spans="1:4">
      <c r="A59" s="3462"/>
      <c r="B59" s="3465">
        <v>1502</v>
      </c>
      <c r="C59" s="3465">
        <v>1051.25</v>
      </c>
      <c r="D59" s="3464" t="s">
        <v>21</v>
      </c>
    </row>
    <row r="60" spans="1:4">
      <c r="A60" s="3462"/>
      <c r="B60" s="3465">
        <v>1503</v>
      </c>
      <c r="C60" s="3465">
        <v>1178.6099999999999</v>
      </c>
      <c r="D60" s="3464" t="s">
        <v>21</v>
      </c>
    </row>
    <row r="61" spans="1:4">
      <c r="A61" s="3462"/>
      <c r="B61" s="3465">
        <v>1504</v>
      </c>
      <c r="C61" s="3465">
        <v>1016.79</v>
      </c>
      <c r="D61" s="3464" t="s">
        <v>21</v>
      </c>
    </row>
    <row r="62" spans="1:4">
      <c r="A62" s="3462"/>
      <c r="B62" s="3465">
        <v>1601</v>
      </c>
      <c r="C62" s="3465">
        <v>985.45</v>
      </c>
      <c r="D62" s="3464" t="s">
        <v>21</v>
      </c>
    </row>
    <row r="63" spans="1:4">
      <c r="A63" s="3462"/>
      <c r="B63" s="3465">
        <v>1602</v>
      </c>
      <c r="C63" s="3465">
        <v>1051.25</v>
      </c>
      <c r="D63" s="3464" t="s">
        <v>21</v>
      </c>
    </row>
    <row r="64" spans="1:4">
      <c r="A64" s="3462"/>
      <c r="B64" s="3465">
        <v>1603</v>
      </c>
      <c r="C64" s="3465">
        <v>1178.6099999999999</v>
      </c>
      <c r="D64" s="3464" t="s">
        <v>21</v>
      </c>
    </row>
    <row r="65" spans="1:4">
      <c r="A65" s="3462"/>
      <c r="B65" s="3465">
        <v>1604</v>
      </c>
      <c r="C65" s="3465">
        <v>1016.79</v>
      </c>
      <c r="D65" s="3464" t="s">
        <v>21</v>
      </c>
    </row>
    <row r="66" spans="1:4">
      <c r="A66" s="3462"/>
      <c r="B66" s="3465">
        <v>1701</v>
      </c>
      <c r="C66" s="3465">
        <v>985.45</v>
      </c>
      <c r="D66" s="3464" t="s">
        <v>21</v>
      </c>
    </row>
    <row r="67" spans="1:4">
      <c r="A67" s="3462"/>
      <c r="B67" s="3465">
        <v>1702</v>
      </c>
      <c r="C67" s="3465">
        <v>1051.25</v>
      </c>
      <c r="D67" s="3464" t="s">
        <v>21</v>
      </c>
    </row>
    <row r="68" spans="1:4">
      <c r="A68" s="3462"/>
      <c r="B68" s="3465">
        <v>1703</v>
      </c>
      <c r="C68" s="3465">
        <v>1178.6099999999999</v>
      </c>
      <c r="D68" s="3464" t="s">
        <v>21</v>
      </c>
    </row>
    <row r="69" spans="1:4">
      <c r="A69" s="3462"/>
      <c r="B69" s="3465">
        <v>1704</v>
      </c>
      <c r="C69" s="3465">
        <v>1016.79</v>
      </c>
      <c r="D69" s="3464" t="s">
        <v>21</v>
      </c>
    </row>
    <row r="70" spans="1:4">
      <c r="A70" s="3462"/>
      <c r="B70" s="3465">
        <v>106</v>
      </c>
      <c r="C70" s="3465">
        <v>75.930000000000007</v>
      </c>
      <c r="D70" s="3464" t="s">
        <v>21</v>
      </c>
    </row>
    <row r="71" spans="1:4">
      <c r="A71" s="3462"/>
      <c r="B71" s="3465">
        <v>107</v>
      </c>
      <c r="C71" s="3465">
        <v>75.849999999999994</v>
      </c>
      <c r="D71" s="3464" t="s">
        <v>21</v>
      </c>
    </row>
    <row r="72" spans="1:4">
      <c r="A72" s="3459" t="s">
        <v>3402</v>
      </c>
      <c r="B72" s="3465">
        <v>-101</v>
      </c>
      <c r="C72" s="3465">
        <v>2369.2199999999998</v>
      </c>
      <c r="D72" s="3464" t="s">
        <v>3403</v>
      </c>
    </row>
    <row r="73" spans="1:4">
      <c r="A73" s="3462"/>
      <c r="B73" s="3465">
        <v>-102</v>
      </c>
      <c r="C73" s="3465">
        <v>418.31</v>
      </c>
      <c r="D73" s="3464" t="s">
        <v>21</v>
      </c>
    </row>
    <row r="74" spans="1:4">
      <c r="A74" s="3462"/>
      <c r="B74" s="3465">
        <v>-311</v>
      </c>
      <c r="C74" s="3465">
        <v>242.8</v>
      </c>
      <c r="D74" s="3464" t="s">
        <v>21</v>
      </c>
    </row>
    <row r="75" spans="1:4">
      <c r="A75" s="3462"/>
      <c r="B75" s="3465">
        <v>-312</v>
      </c>
      <c r="C75" s="3465">
        <v>180.49</v>
      </c>
      <c r="D75" s="3464" t="s">
        <v>21</v>
      </c>
    </row>
    <row r="76" spans="1:4">
      <c r="A76" s="3462"/>
      <c r="B76" s="3465">
        <v>-313</v>
      </c>
      <c r="C76" s="3465">
        <v>127.93</v>
      </c>
      <c r="D76" s="3464" t="s">
        <v>21</v>
      </c>
    </row>
    <row r="77" spans="1:4">
      <c r="A77" s="3462"/>
      <c r="B77" s="3465">
        <v>-316</v>
      </c>
      <c r="C77" s="3465">
        <v>1221.48</v>
      </c>
      <c r="D77" s="3464" t="s">
        <v>21</v>
      </c>
    </row>
    <row r="78" spans="1:4">
      <c r="A78" s="3462"/>
      <c r="B78" s="3465">
        <v>-317</v>
      </c>
      <c r="C78" s="3465">
        <v>81.86</v>
      </c>
      <c r="D78" s="3464" t="s">
        <v>21</v>
      </c>
    </row>
    <row r="79" spans="1:4">
      <c r="A79" s="3462"/>
      <c r="B79" s="3465">
        <v>-201</v>
      </c>
      <c r="C79" s="3465">
        <v>916.28</v>
      </c>
      <c r="D79" s="3464" t="s">
        <v>3401</v>
      </c>
    </row>
    <row r="80" spans="1:4">
      <c r="A80" s="3462"/>
      <c r="B80" s="3465">
        <v>-202</v>
      </c>
      <c r="C80" s="3465">
        <v>359.23</v>
      </c>
      <c r="D80" s="3464" t="s">
        <v>3401</v>
      </c>
    </row>
    <row r="81" spans="1:4">
      <c r="A81" s="3462"/>
      <c r="B81" s="3470">
        <v>-204</v>
      </c>
      <c r="C81" s="3465">
        <v>1502.28</v>
      </c>
      <c r="D81" s="3464" t="s">
        <v>3401</v>
      </c>
    </row>
    <row r="82" spans="1:4">
      <c r="A82" s="3634" t="s">
        <v>3413</v>
      </c>
      <c r="B82" s="3634"/>
      <c r="C82" s="3474">
        <f>SUM(C17:C81)</f>
        <v>64998.04</v>
      </c>
      <c r="D82" s="3464"/>
    </row>
    <row r="83" spans="1:4">
      <c r="A83" s="3459" t="s">
        <v>3393</v>
      </c>
      <c r="B83" s="3465">
        <v>-4012</v>
      </c>
      <c r="C83" s="3465">
        <v>87.19</v>
      </c>
      <c r="D83" s="3464" t="s">
        <v>3394</v>
      </c>
    </row>
    <row r="84" spans="1:4">
      <c r="A84" s="3462"/>
      <c r="B84" s="3465">
        <v>-4013</v>
      </c>
      <c r="C84" s="3465">
        <v>87.19</v>
      </c>
      <c r="D84" s="3464" t="s">
        <v>3394</v>
      </c>
    </row>
    <row r="85" spans="1:4">
      <c r="A85" s="3462"/>
      <c r="B85" s="3465">
        <v>-4014</v>
      </c>
      <c r="C85" s="3465">
        <v>87.19</v>
      </c>
      <c r="D85" s="3464" t="s">
        <v>3394</v>
      </c>
    </row>
    <row r="86" spans="1:4">
      <c r="A86" s="3462"/>
      <c r="B86" s="3465">
        <v>-4015</v>
      </c>
      <c r="C86" s="3465">
        <v>87.19</v>
      </c>
      <c r="D86" s="3464" t="s">
        <v>3394</v>
      </c>
    </row>
    <row r="87" spans="1:4">
      <c r="A87" s="3462"/>
      <c r="B87" s="3465">
        <v>-4016</v>
      </c>
      <c r="C87" s="3465">
        <v>87.19</v>
      </c>
      <c r="D87" s="3464" t="s">
        <v>3394</v>
      </c>
    </row>
    <row r="88" spans="1:4">
      <c r="A88" s="3459" t="s">
        <v>3396</v>
      </c>
      <c r="B88" s="3465">
        <v>-3001</v>
      </c>
      <c r="C88" s="3465">
        <v>163.62</v>
      </c>
      <c r="D88" s="3464" t="s">
        <v>3394</v>
      </c>
    </row>
    <row r="89" spans="1:4">
      <c r="A89" s="3462"/>
      <c r="B89" s="3465">
        <v>-3002</v>
      </c>
      <c r="C89" s="3465">
        <v>163.62</v>
      </c>
      <c r="D89" s="3464" t="s">
        <v>3394</v>
      </c>
    </row>
    <row r="90" spans="1:4">
      <c r="A90" s="3462"/>
      <c r="B90" s="3465">
        <v>-3003</v>
      </c>
      <c r="C90" s="3465">
        <v>87.19</v>
      </c>
      <c r="D90" s="3464" t="s">
        <v>3394</v>
      </c>
    </row>
    <row r="91" spans="1:4">
      <c r="A91" s="3462"/>
      <c r="B91" s="3465">
        <v>-3004</v>
      </c>
      <c r="C91" s="3465">
        <v>87.19</v>
      </c>
      <c r="D91" s="3464" t="s">
        <v>3394</v>
      </c>
    </row>
    <row r="92" spans="1:4">
      <c r="A92" s="3462"/>
      <c r="B92" s="3465">
        <v>-3005</v>
      </c>
      <c r="C92" s="3465">
        <v>87.19</v>
      </c>
      <c r="D92" s="3464" t="s">
        <v>3394</v>
      </c>
    </row>
    <row r="93" spans="1:4">
      <c r="A93" s="3462"/>
      <c r="B93" s="3465">
        <v>-3006</v>
      </c>
      <c r="C93" s="3465">
        <v>87.19</v>
      </c>
      <c r="D93" s="3464" t="s">
        <v>3394</v>
      </c>
    </row>
    <row r="94" spans="1:4">
      <c r="A94" s="3462"/>
      <c r="B94" s="3465">
        <v>-3007</v>
      </c>
      <c r="C94" s="3465">
        <v>87.19</v>
      </c>
      <c r="D94" s="3464" t="s">
        <v>3394</v>
      </c>
    </row>
    <row r="95" spans="1:4">
      <c r="A95" s="3462"/>
      <c r="B95" s="3465">
        <v>-3008</v>
      </c>
      <c r="C95" s="3465">
        <v>87.19</v>
      </c>
      <c r="D95" s="3464" t="s">
        <v>3394</v>
      </c>
    </row>
    <row r="96" spans="1:4">
      <c r="A96" s="3462"/>
      <c r="B96" s="3465">
        <v>-3009</v>
      </c>
      <c r="C96" s="3465">
        <v>87.19</v>
      </c>
      <c r="D96" s="3464" t="s">
        <v>3394</v>
      </c>
    </row>
    <row r="97" spans="1:4">
      <c r="B97" s="3465">
        <v>-3010</v>
      </c>
      <c r="C97" s="3465">
        <v>87.19</v>
      </c>
      <c r="D97" s="3464" t="s">
        <v>3394</v>
      </c>
    </row>
    <row r="98" spans="1:4">
      <c r="B98" s="3465">
        <v>-3011</v>
      </c>
      <c r="C98" s="3465">
        <v>87.19</v>
      </c>
      <c r="D98" s="3464" t="s">
        <v>3394</v>
      </c>
    </row>
    <row r="99" spans="1:4">
      <c r="A99" s="3462"/>
      <c r="B99" s="3465">
        <v>-3012</v>
      </c>
      <c r="C99" s="3465">
        <v>87.19</v>
      </c>
      <c r="D99" s="3464" t="s">
        <v>3394</v>
      </c>
    </row>
    <row r="100" spans="1:4">
      <c r="A100" s="3462"/>
      <c r="B100" s="3465">
        <v>-3013</v>
      </c>
      <c r="C100" s="3465">
        <v>87.19</v>
      </c>
      <c r="D100" s="3464" t="s">
        <v>3394</v>
      </c>
    </row>
    <row r="101" spans="1:4">
      <c r="A101" s="3462"/>
      <c r="B101" s="3465">
        <v>-3014</v>
      </c>
      <c r="C101" s="3465">
        <v>87.19</v>
      </c>
      <c r="D101" s="3464" t="s">
        <v>3394</v>
      </c>
    </row>
    <row r="102" spans="1:4">
      <c r="A102" s="3462"/>
      <c r="B102" s="3465">
        <v>-3015</v>
      </c>
      <c r="C102" s="3465">
        <v>87.19</v>
      </c>
      <c r="D102" s="3464" t="s">
        <v>3394</v>
      </c>
    </row>
    <row r="103" spans="1:4">
      <c r="A103" s="3462"/>
      <c r="B103" s="3465">
        <v>-3016</v>
      </c>
      <c r="C103" s="3465">
        <v>87.19</v>
      </c>
      <c r="D103" s="3464" t="s">
        <v>3394</v>
      </c>
    </row>
    <row r="104" spans="1:4">
      <c r="A104" s="3462"/>
      <c r="B104" s="3465">
        <v>-3017</v>
      </c>
      <c r="C104" s="3465">
        <v>163.62</v>
      </c>
      <c r="D104" s="3464" t="s">
        <v>3394</v>
      </c>
    </row>
    <row r="105" spans="1:4">
      <c r="A105" s="3462"/>
      <c r="B105" s="3465">
        <v>-3018</v>
      </c>
      <c r="C105" s="3465">
        <v>163.62</v>
      </c>
      <c r="D105" s="3464" t="s">
        <v>3394</v>
      </c>
    </row>
    <row r="106" spans="1:4">
      <c r="A106" s="3462"/>
      <c r="B106" s="3465">
        <v>-3019</v>
      </c>
      <c r="C106" s="3465">
        <v>163.62</v>
      </c>
      <c r="D106" s="3464" t="s">
        <v>3394</v>
      </c>
    </row>
    <row r="107" spans="1:4">
      <c r="A107" s="3462"/>
      <c r="B107" s="3465">
        <v>-3020</v>
      </c>
      <c r="C107" s="3465">
        <v>163.62</v>
      </c>
      <c r="D107" s="3464" t="s">
        <v>3394</v>
      </c>
    </row>
    <row r="108" spans="1:4">
      <c r="A108" s="3462"/>
      <c r="B108" s="3465">
        <v>-3021</v>
      </c>
      <c r="C108" s="3465">
        <v>87.19</v>
      </c>
      <c r="D108" s="3464" t="s">
        <v>3394</v>
      </c>
    </row>
    <row r="109" spans="1:4">
      <c r="A109" s="3462"/>
      <c r="B109" s="3465">
        <v>-3022</v>
      </c>
      <c r="C109" s="3465">
        <v>87.19</v>
      </c>
      <c r="D109" s="3464" t="s">
        <v>3394</v>
      </c>
    </row>
    <row r="110" spans="1:4">
      <c r="A110" s="3462"/>
      <c r="B110" s="3465">
        <v>-3023</v>
      </c>
      <c r="C110" s="3465">
        <v>87.19</v>
      </c>
      <c r="D110" s="3464" t="s">
        <v>3394</v>
      </c>
    </row>
    <row r="111" spans="1:4">
      <c r="A111" s="3462"/>
      <c r="B111" s="3465">
        <v>-3024</v>
      </c>
      <c r="C111" s="3465">
        <v>87.19</v>
      </c>
      <c r="D111" s="3464" t="s">
        <v>3394</v>
      </c>
    </row>
    <row r="112" spans="1:4">
      <c r="A112" s="3462"/>
      <c r="B112" s="3465">
        <v>-3025</v>
      </c>
      <c r="C112" s="3465">
        <v>87.19</v>
      </c>
      <c r="D112" s="3464" t="s">
        <v>3394</v>
      </c>
    </row>
    <row r="113" spans="1:4">
      <c r="A113" s="3462"/>
      <c r="B113" s="3465">
        <v>-3026</v>
      </c>
      <c r="C113" s="3465">
        <v>87.19</v>
      </c>
      <c r="D113" s="3464" t="s">
        <v>3394</v>
      </c>
    </row>
    <row r="114" spans="1:4">
      <c r="A114" s="3462"/>
      <c r="B114" s="3465">
        <v>-3027</v>
      </c>
      <c r="C114" s="3465">
        <v>87.19</v>
      </c>
      <c r="D114" s="3464" t="s">
        <v>3394</v>
      </c>
    </row>
    <row r="115" spans="1:4">
      <c r="A115" s="3462"/>
      <c r="B115" s="3465">
        <v>-3028</v>
      </c>
      <c r="C115" s="3465">
        <v>87.19</v>
      </c>
      <c r="D115" s="3464" t="s">
        <v>3394</v>
      </c>
    </row>
    <row r="116" spans="1:4">
      <c r="A116" s="3462"/>
      <c r="B116" s="3465">
        <v>-3029</v>
      </c>
      <c r="C116" s="3465">
        <v>134.41999999999999</v>
      </c>
      <c r="D116" s="3464" t="s">
        <v>3394</v>
      </c>
    </row>
    <row r="117" spans="1:4">
      <c r="A117" s="3462"/>
      <c r="B117" s="3465">
        <v>-3030</v>
      </c>
      <c r="C117" s="3465">
        <v>87.19</v>
      </c>
      <c r="D117" s="3464" t="s">
        <v>3394</v>
      </c>
    </row>
    <row r="118" spans="1:4">
      <c r="A118" s="3462"/>
      <c r="B118" s="3465">
        <v>-3031</v>
      </c>
      <c r="C118" s="3465">
        <v>87.19</v>
      </c>
      <c r="D118" s="3464" t="s">
        <v>3394</v>
      </c>
    </row>
    <row r="119" spans="1:4">
      <c r="A119" s="3462"/>
      <c r="B119" s="3465">
        <v>-3032</v>
      </c>
      <c r="C119" s="3465">
        <v>87.19</v>
      </c>
      <c r="D119" s="3464" t="s">
        <v>3394</v>
      </c>
    </row>
    <row r="120" spans="1:4">
      <c r="A120" s="3462"/>
      <c r="B120" s="3465">
        <v>-3033</v>
      </c>
      <c r="C120" s="3465">
        <v>87.19</v>
      </c>
      <c r="D120" s="3464" t="s">
        <v>3394</v>
      </c>
    </row>
    <row r="121" spans="1:4">
      <c r="A121" s="3462"/>
      <c r="B121" s="3465">
        <v>-3034</v>
      </c>
      <c r="C121" s="3465">
        <v>87.19</v>
      </c>
      <c r="D121" s="3464" t="s">
        <v>3394</v>
      </c>
    </row>
    <row r="122" spans="1:4">
      <c r="A122" s="3462"/>
      <c r="B122" s="3465">
        <v>-3035</v>
      </c>
      <c r="C122" s="3465">
        <v>134.41999999999999</v>
      </c>
      <c r="D122" s="3464" t="s">
        <v>3394</v>
      </c>
    </row>
    <row r="123" spans="1:4">
      <c r="A123" s="3462"/>
      <c r="B123" s="3465">
        <v>-3036</v>
      </c>
      <c r="C123" s="3465">
        <v>87.19</v>
      </c>
      <c r="D123" s="3464" t="s">
        <v>3394</v>
      </c>
    </row>
    <row r="124" spans="1:4">
      <c r="A124" s="3462"/>
      <c r="B124" s="3465">
        <v>-3037</v>
      </c>
      <c r="C124" s="3465">
        <v>87.19</v>
      </c>
      <c r="D124" s="3464" t="s">
        <v>3394</v>
      </c>
    </row>
    <row r="125" spans="1:4">
      <c r="A125" s="3462"/>
      <c r="B125" s="3465">
        <v>-3038</v>
      </c>
      <c r="C125" s="3465">
        <v>87.19</v>
      </c>
      <c r="D125" s="3464" t="s">
        <v>3394</v>
      </c>
    </row>
    <row r="126" spans="1:4">
      <c r="A126" s="3462"/>
      <c r="B126" s="3465">
        <v>-3039</v>
      </c>
      <c r="C126" s="3465">
        <v>87.19</v>
      </c>
      <c r="D126" s="3464" t="s">
        <v>3394</v>
      </c>
    </row>
    <row r="127" spans="1:4">
      <c r="A127" s="3462"/>
      <c r="B127" s="3465">
        <v>-3040</v>
      </c>
      <c r="C127" s="3465">
        <v>87.19</v>
      </c>
      <c r="D127" s="3464" t="s">
        <v>3394</v>
      </c>
    </row>
    <row r="128" spans="1:4">
      <c r="A128" s="3462"/>
      <c r="B128" s="3465">
        <v>-3041</v>
      </c>
      <c r="C128" s="3465">
        <v>87.19</v>
      </c>
      <c r="D128" s="3464" t="s">
        <v>3394</v>
      </c>
    </row>
    <row r="129" spans="1:4">
      <c r="A129" s="3462"/>
      <c r="B129" s="3465">
        <v>-3042</v>
      </c>
      <c r="C129" s="3465">
        <v>87.19</v>
      </c>
      <c r="D129" s="3464" t="s">
        <v>3394</v>
      </c>
    </row>
    <row r="130" spans="1:4">
      <c r="A130" s="3462"/>
      <c r="B130" s="3465">
        <v>-3043</v>
      </c>
      <c r="C130" s="3465">
        <v>87.19</v>
      </c>
      <c r="D130" s="3464" t="s">
        <v>3394</v>
      </c>
    </row>
    <row r="131" spans="1:4">
      <c r="A131" s="3462"/>
      <c r="B131" s="3465">
        <v>-3044</v>
      </c>
      <c r="C131" s="3465">
        <v>87.19</v>
      </c>
      <c r="D131" s="3464" t="s">
        <v>3394</v>
      </c>
    </row>
    <row r="132" spans="1:4">
      <c r="A132" s="3462"/>
      <c r="B132" s="3465">
        <v>-3045</v>
      </c>
      <c r="C132" s="3465">
        <v>87.19</v>
      </c>
      <c r="D132" s="3464" t="s">
        <v>3394</v>
      </c>
    </row>
    <row r="133" spans="1:4">
      <c r="A133" s="3462"/>
      <c r="B133" s="3465">
        <v>-3046</v>
      </c>
      <c r="C133" s="3465">
        <v>87.19</v>
      </c>
      <c r="D133" s="3464" t="s">
        <v>3394</v>
      </c>
    </row>
    <row r="134" spans="1:4">
      <c r="A134" s="3462"/>
      <c r="B134" s="3465">
        <v>-3047</v>
      </c>
      <c r="C134" s="3465">
        <v>87.19</v>
      </c>
      <c r="D134" s="3464" t="s">
        <v>3394</v>
      </c>
    </row>
    <row r="135" spans="1:4">
      <c r="A135" s="3462"/>
      <c r="B135" s="3465">
        <v>-3048</v>
      </c>
      <c r="C135" s="3465">
        <v>87.19</v>
      </c>
      <c r="D135" s="3464" t="s">
        <v>3394</v>
      </c>
    </row>
    <row r="136" spans="1:4">
      <c r="A136" s="3462"/>
      <c r="B136" s="3465">
        <v>-3049</v>
      </c>
      <c r="C136" s="3465">
        <v>87.19</v>
      </c>
      <c r="D136" s="3464" t="s">
        <v>3394</v>
      </c>
    </row>
    <row r="137" spans="1:4">
      <c r="A137" s="3462"/>
      <c r="B137" s="3465">
        <v>-3050</v>
      </c>
      <c r="C137" s="3465">
        <v>87.19</v>
      </c>
      <c r="D137" s="3464" t="s">
        <v>3394</v>
      </c>
    </row>
    <row r="138" spans="1:4">
      <c r="A138" s="3462"/>
      <c r="B138" s="3465">
        <v>-3051</v>
      </c>
      <c r="C138" s="3465">
        <v>87.19</v>
      </c>
      <c r="D138" s="3464" t="s">
        <v>3394</v>
      </c>
    </row>
    <row r="139" spans="1:4">
      <c r="A139" s="3462"/>
      <c r="B139" s="3465">
        <v>-3052</v>
      </c>
      <c r="C139" s="3465">
        <v>87.19</v>
      </c>
      <c r="D139" s="3464" t="s">
        <v>3394</v>
      </c>
    </row>
    <row r="140" spans="1:4">
      <c r="A140" s="3462"/>
      <c r="B140" s="3465">
        <v>-3053</v>
      </c>
      <c r="C140" s="3465">
        <v>87.19</v>
      </c>
      <c r="D140" s="3464" t="s">
        <v>3394</v>
      </c>
    </row>
    <row r="141" spans="1:4">
      <c r="A141" s="3462"/>
      <c r="B141" s="3465">
        <v>-3054</v>
      </c>
      <c r="C141" s="3465">
        <v>87.19</v>
      </c>
      <c r="D141" s="3464" t="s">
        <v>3394</v>
      </c>
    </row>
    <row r="142" spans="1:4">
      <c r="A142" s="3462"/>
      <c r="B142" s="3465">
        <v>-3055</v>
      </c>
      <c r="C142" s="3465">
        <v>87.19</v>
      </c>
      <c r="D142" s="3464" t="s">
        <v>3394</v>
      </c>
    </row>
    <row r="143" spans="1:4">
      <c r="A143" s="3462"/>
      <c r="B143" s="3465">
        <v>-3056</v>
      </c>
      <c r="C143" s="3465">
        <v>87.19</v>
      </c>
      <c r="D143" s="3464" t="s">
        <v>3394</v>
      </c>
    </row>
    <row r="144" spans="1:4">
      <c r="A144" s="3462"/>
      <c r="B144" s="3465">
        <v>-3057</v>
      </c>
      <c r="C144" s="3465">
        <v>87.19</v>
      </c>
      <c r="D144" s="3464" t="s">
        <v>3394</v>
      </c>
    </row>
    <row r="145" spans="1:4">
      <c r="A145" s="3462"/>
      <c r="B145" s="3465">
        <v>-3058</v>
      </c>
      <c r="C145" s="3465">
        <v>87.19</v>
      </c>
      <c r="D145" s="3464" t="s">
        <v>3394</v>
      </c>
    </row>
    <row r="146" spans="1:4">
      <c r="A146" s="3462"/>
      <c r="B146" s="3465">
        <v>-3059</v>
      </c>
      <c r="C146" s="3465">
        <v>87.19</v>
      </c>
      <c r="D146" s="3464" t="s">
        <v>3394</v>
      </c>
    </row>
    <row r="147" spans="1:4">
      <c r="A147" s="3462"/>
      <c r="B147" s="3465">
        <v>-3060</v>
      </c>
      <c r="C147" s="3465">
        <v>87.19</v>
      </c>
      <c r="D147" s="3464" t="s">
        <v>3394</v>
      </c>
    </row>
    <row r="148" spans="1:4">
      <c r="A148" s="3462"/>
      <c r="B148" s="3465">
        <v>-3061</v>
      </c>
      <c r="C148" s="3465">
        <v>87.19</v>
      </c>
      <c r="D148" s="3464" t="s">
        <v>3394</v>
      </c>
    </row>
    <row r="149" spans="1:4">
      <c r="A149" s="3462"/>
      <c r="B149" s="3465">
        <v>-3062</v>
      </c>
      <c r="C149" s="3465">
        <v>87.19</v>
      </c>
      <c r="D149" s="3464" t="s">
        <v>3394</v>
      </c>
    </row>
    <row r="150" spans="1:4">
      <c r="A150" s="3462"/>
      <c r="B150" s="3465">
        <v>-3063</v>
      </c>
      <c r="C150" s="3465">
        <v>87.19</v>
      </c>
      <c r="D150" s="3464" t="s">
        <v>3394</v>
      </c>
    </row>
    <row r="151" spans="1:4">
      <c r="A151" s="3462"/>
      <c r="B151" s="3465">
        <v>-3064</v>
      </c>
      <c r="C151" s="3465">
        <v>87.19</v>
      </c>
      <c r="D151" s="3464" t="s">
        <v>3394</v>
      </c>
    </row>
    <row r="152" spans="1:4">
      <c r="A152" s="3462"/>
      <c r="B152" s="3465">
        <v>-3065</v>
      </c>
      <c r="C152" s="3465">
        <v>87.19</v>
      </c>
      <c r="D152" s="3464" t="s">
        <v>3394</v>
      </c>
    </row>
    <row r="153" spans="1:4">
      <c r="A153" s="3462"/>
      <c r="B153" s="3465">
        <v>-3066</v>
      </c>
      <c r="C153" s="3465">
        <v>87.19</v>
      </c>
      <c r="D153" s="3464" t="s">
        <v>3394</v>
      </c>
    </row>
    <row r="154" spans="1:4">
      <c r="A154" s="3462"/>
      <c r="B154" s="3465">
        <v>-3067</v>
      </c>
      <c r="C154" s="3465">
        <v>87.19</v>
      </c>
      <c r="D154" s="3464" t="s">
        <v>3394</v>
      </c>
    </row>
    <row r="155" spans="1:4">
      <c r="A155" s="3462"/>
      <c r="B155" s="3465">
        <v>-3068</v>
      </c>
      <c r="C155" s="3465">
        <v>87.19</v>
      </c>
      <c r="D155" s="3464" t="s">
        <v>3394</v>
      </c>
    </row>
    <row r="156" spans="1:4">
      <c r="A156" s="3462"/>
      <c r="B156" s="3465">
        <v>-3069</v>
      </c>
      <c r="C156" s="3465">
        <v>87.19</v>
      </c>
      <c r="D156" s="3464" t="s">
        <v>3394</v>
      </c>
    </row>
    <row r="157" spans="1:4">
      <c r="A157" s="3462"/>
      <c r="B157" s="3465">
        <v>-3070</v>
      </c>
      <c r="C157" s="3465">
        <v>87.19</v>
      </c>
      <c r="D157" s="3464" t="s">
        <v>3394</v>
      </c>
    </row>
    <row r="158" spans="1:4">
      <c r="A158" s="3462"/>
      <c r="B158" s="3465">
        <v>-3071</v>
      </c>
      <c r="C158" s="3465">
        <v>87.19</v>
      </c>
      <c r="D158" s="3464" t="s">
        <v>3394</v>
      </c>
    </row>
    <row r="159" spans="1:4">
      <c r="A159" s="3462"/>
      <c r="B159" s="3465">
        <v>-3072</v>
      </c>
      <c r="C159" s="3465">
        <v>87.19</v>
      </c>
      <c r="D159" s="3464" t="s">
        <v>3394</v>
      </c>
    </row>
    <row r="160" spans="1:4">
      <c r="A160" s="3462"/>
      <c r="B160" s="3465">
        <v>-3073</v>
      </c>
      <c r="C160" s="3465">
        <v>87.19</v>
      </c>
      <c r="D160" s="3464" t="s">
        <v>3394</v>
      </c>
    </row>
    <row r="161" spans="1:4">
      <c r="A161" s="3462"/>
      <c r="B161" s="3465">
        <v>-3074</v>
      </c>
      <c r="C161" s="3465">
        <v>87.19</v>
      </c>
      <c r="D161" s="3464" t="s">
        <v>3394</v>
      </c>
    </row>
    <row r="162" spans="1:4">
      <c r="A162" s="3462"/>
      <c r="B162" s="3465">
        <v>-3075</v>
      </c>
      <c r="C162" s="3465">
        <v>87.19</v>
      </c>
      <c r="D162" s="3464" t="s">
        <v>3394</v>
      </c>
    </row>
    <row r="163" spans="1:4">
      <c r="A163" s="3462"/>
      <c r="B163" s="3465">
        <v>-3076</v>
      </c>
      <c r="C163" s="3465">
        <v>87.19</v>
      </c>
      <c r="D163" s="3464" t="s">
        <v>3394</v>
      </c>
    </row>
    <row r="164" spans="1:4">
      <c r="A164" s="3462"/>
      <c r="B164" s="3465">
        <v>-3077</v>
      </c>
      <c r="C164" s="3465">
        <v>87.19</v>
      </c>
      <c r="D164" s="3464" t="s">
        <v>3394</v>
      </c>
    </row>
    <row r="165" spans="1:4">
      <c r="A165" s="3462"/>
      <c r="B165" s="3465">
        <v>-3078</v>
      </c>
      <c r="C165" s="3465">
        <v>87.19</v>
      </c>
      <c r="D165" s="3464" t="s">
        <v>3394</v>
      </c>
    </row>
    <row r="166" spans="1:4">
      <c r="A166" s="3462"/>
      <c r="B166" s="3465">
        <v>-3079</v>
      </c>
      <c r="C166" s="3465">
        <v>87.19</v>
      </c>
      <c r="D166" s="3464" t="s">
        <v>3394</v>
      </c>
    </row>
    <row r="167" spans="1:4">
      <c r="A167" s="3462"/>
      <c r="B167" s="3465">
        <v>-3080</v>
      </c>
      <c r="C167" s="3465">
        <v>87.19</v>
      </c>
      <c r="D167" s="3464" t="s">
        <v>3394</v>
      </c>
    </row>
    <row r="168" spans="1:4">
      <c r="A168" s="3462"/>
      <c r="B168" s="3465">
        <v>-3081</v>
      </c>
      <c r="C168" s="3465">
        <v>87.19</v>
      </c>
      <c r="D168" s="3464" t="s">
        <v>3394</v>
      </c>
    </row>
    <row r="169" spans="1:4">
      <c r="A169" s="3462"/>
      <c r="B169" s="3465">
        <v>-3082</v>
      </c>
      <c r="C169" s="3465">
        <v>87.19</v>
      </c>
      <c r="D169" s="3464" t="s">
        <v>3394</v>
      </c>
    </row>
    <row r="170" spans="1:4">
      <c r="A170" s="3462"/>
      <c r="B170" s="3465">
        <v>-3083</v>
      </c>
      <c r="C170" s="3465">
        <v>87.19</v>
      </c>
      <c r="D170" s="3464" t="s">
        <v>3394</v>
      </c>
    </row>
    <row r="171" spans="1:4">
      <c r="A171" s="3462"/>
      <c r="B171" s="3465">
        <v>-3084</v>
      </c>
      <c r="C171" s="3465">
        <v>87.19</v>
      </c>
      <c r="D171" s="3464" t="s">
        <v>3394</v>
      </c>
    </row>
    <row r="172" spans="1:4">
      <c r="A172" s="3462"/>
      <c r="B172" s="3465">
        <v>-3085</v>
      </c>
      <c r="C172" s="3465">
        <v>87.19</v>
      </c>
      <c r="D172" s="3464" t="s">
        <v>3394</v>
      </c>
    </row>
    <row r="173" spans="1:4">
      <c r="A173" s="3462"/>
      <c r="B173" s="3465">
        <v>-3086</v>
      </c>
      <c r="C173" s="3465">
        <v>87.19</v>
      </c>
      <c r="D173" s="3464" t="s">
        <v>3394</v>
      </c>
    </row>
    <row r="174" spans="1:4">
      <c r="A174" s="3462"/>
      <c r="B174" s="3465">
        <v>-3087</v>
      </c>
      <c r="C174" s="3465">
        <v>87.19</v>
      </c>
      <c r="D174" s="3464" t="s">
        <v>3394</v>
      </c>
    </row>
    <row r="175" spans="1:4">
      <c r="A175" s="3462"/>
      <c r="B175" s="3465">
        <v>-3088</v>
      </c>
      <c r="C175" s="3465">
        <v>87.19</v>
      </c>
      <c r="D175" s="3464" t="s">
        <v>3394</v>
      </c>
    </row>
    <row r="176" spans="1:4">
      <c r="A176" s="3462"/>
      <c r="B176" s="3465">
        <v>-3089</v>
      </c>
      <c r="C176" s="3465">
        <v>87.19</v>
      </c>
      <c r="D176" s="3464" t="s">
        <v>3394</v>
      </c>
    </row>
    <row r="177" spans="1:4">
      <c r="A177" s="3462"/>
      <c r="B177" s="3465">
        <v>-3090</v>
      </c>
      <c r="C177" s="3465">
        <v>87.19</v>
      </c>
      <c r="D177" s="3464" t="s">
        <v>3394</v>
      </c>
    </row>
    <row r="178" spans="1:4">
      <c r="A178" s="3462"/>
      <c r="B178" s="3465">
        <v>-3091</v>
      </c>
      <c r="C178" s="3465">
        <v>87.19</v>
      </c>
      <c r="D178" s="3464" t="s">
        <v>3394</v>
      </c>
    </row>
    <row r="179" spans="1:4">
      <c r="A179" s="3462"/>
      <c r="B179" s="3465">
        <v>-3092</v>
      </c>
      <c r="C179" s="3465">
        <v>87.19</v>
      </c>
      <c r="D179" s="3464" t="s">
        <v>3394</v>
      </c>
    </row>
    <row r="180" spans="1:4">
      <c r="A180" s="3462"/>
      <c r="B180" s="3465">
        <v>-3093</v>
      </c>
      <c r="C180" s="3465">
        <v>87.19</v>
      </c>
      <c r="D180" s="3464" t="s">
        <v>3394</v>
      </c>
    </row>
    <row r="181" spans="1:4">
      <c r="A181" s="3462"/>
      <c r="B181" s="3465">
        <v>-3094</v>
      </c>
      <c r="C181" s="3465">
        <v>87.19</v>
      </c>
      <c r="D181" s="3464" t="s">
        <v>3394</v>
      </c>
    </row>
    <row r="182" spans="1:4">
      <c r="A182" s="3462"/>
      <c r="B182" s="3465">
        <v>-3095</v>
      </c>
      <c r="C182" s="3465">
        <v>87.19</v>
      </c>
      <c r="D182" s="3464" t="s">
        <v>3394</v>
      </c>
    </row>
    <row r="183" spans="1:4">
      <c r="A183" s="3462"/>
      <c r="B183" s="3465">
        <v>-3096</v>
      </c>
      <c r="C183" s="3465">
        <v>87.19</v>
      </c>
      <c r="D183" s="3464" t="s">
        <v>3394</v>
      </c>
    </row>
    <row r="184" spans="1:4">
      <c r="A184" s="3462"/>
      <c r="B184" s="3465">
        <v>-3097</v>
      </c>
      <c r="C184" s="3465">
        <v>87.19</v>
      </c>
      <c r="D184" s="3464" t="s">
        <v>3394</v>
      </c>
    </row>
    <row r="185" spans="1:4">
      <c r="A185" s="3462"/>
      <c r="B185" s="3465">
        <v>-3098</v>
      </c>
      <c r="C185" s="3465">
        <v>87.19</v>
      </c>
      <c r="D185" s="3464" t="s">
        <v>3394</v>
      </c>
    </row>
    <row r="186" spans="1:4">
      <c r="A186" s="3462"/>
      <c r="B186" s="3465">
        <v>-3099</v>
      </c>
      <c r="C186" s="3465">
        <v>87.19</v>
      </c>
      <c r="D186" s="3464" t="s">
        <v>3394</v>
      </c>
    </row>
    <row r="187" spans="1:4">
      <c r="A187" s="3462"/>
      <c r="B187" s="3465">
        <v>-3100</v>
      </c>
      <c r="C187" s="3465">
        <v>134.41999999999999</v>
      </c>
      <c r="D187" s="3464" t="s">
        <v>3394</v>
      </c>
    </row>
    <row r="188" spans="1:4">
      <c r="A188" s="3462"/>
      <c r="B188" s="3465">
        <v>-3101</v>
      </c>
      <c r="C188" s="3465">
        <v>87.19</v>
      </c>
      <c r="D188" s="3464" t="s">
        <v>3394</v>
      </c>
    </row>
    <row r="189" spans="1:4">
      <c r="A189" s="3462"/>
      <c r="B189" s="3465">
        <v>-3102</v>
      </c>
      <c r="C189" s="3465">
        <v>87.19</v>
      </c>
      <c r="D189" s="3464" t="s">
        <v>3394</v>
      </c>
    </row>
    <row r="190" spans="1:4">
      <c r="A190" s="3462"/>
      <c r="B190" s="3465">
        <v>-3103</v>
      </c>
      <c r="C190" s="3465">
        <v>87.19</v>
      </c>
      <c r="D190" s="3464" t="s">
        <v>3394</v>
      </c>
    </row>
    <row r="191" spans="1:4">
      <c r="A191" s="3462"/>
      <c r="B191" s="3465">
        <v>-3104</v>
      </c>
      <c r="C191" s="3465">
        <v>87.19</v>
      </c>
      <c r="D191" s="3464" t="s">
        <v>3394</v>
      </c>
    </row>
    <row r="192" spans="1:4">
      <c r="B192" s="3470">
        <v>-2001</v>
      </c>
      <c r="C192" s="3470">
        <v>27.48</v>
      </c>
      <c r="D192" s="3471" t="s">
        <v>3394</v>
      </c>
    </row>
    <row r="193" spans="1:7">
      <c r="A193" s="3634" t="s">
        <v>3414</v>
      </c>
      <c r="B193" s="3634"/>
      <c r="C193" s="3474">
        <f>SUM(C83:C192)</f>
        <v>10131.459999999992</v>
      </c>
      <c r="D193" s="3464" t="s">
        <v>3415</v>
      </c>
    </row>
    <row r="194" spans="1:7">
      <c r="A194" s="3462"/>
      <c r="B194" s="3472">
        <v>-401</v>
      </c>
      <c r="C194" s="3472">
        <v>620.24</v>
      </c>
      <c r="D194" s="3473" t="s">
        <v>3395</v>
      </c>
      <c r="E194" s="3468"/>
      <c r="F194" s="3468"/>
      <c r="G194" s="3469"/>
    </row>
    <row r="195" spans="1:7">
      <c r="A195" s="3462"/>
      <c r="B195" s="3465">
        <v>-402</v>
      </c>
      <c r="C195" s="3465">
        <v>21.02</v>
      </c>
      <c r="D195" s="3464" t="s">
        <v>3395</v>
      </c>
      <c r="E195" s="3468"/>
      <c r="F195" s="3468"/>
      <c r="G195" s="3469"/>
    </row>
    <row r="196" spans="1:7">
      <c r="A196" s="3462"/>
      <c r="B196" s="3465">
        <v>-301</v>
      </c>
      <c r="C196" s="3465">
        <v>18.23</v>
      </c>
      <c r="D196" s="3464" t="s">
        <v>3395</v>
      </c>
      <c r="E196" s="3468"/>
      <c r="F196" s="3468"/>
      <c r="G196" s="3469"/>
    </row>
    <row r="197" spans="1:7">
      <c r="A197" s="3462"/>
      <c r="B197" s="3465">
        <v>-302</v>
      </c>
      <c r="C197" s="3465">
        <v>24.94</v>
      </c>
      <c r="D197" s="3464" t="s">
        <v>3395</v>
      </c>
      <c r="E197" s="3468"/>
      <c r="F197" s="3468"/>
      <c r="G197" s="3469"/>
    </row>
    <row r="198" spans="1:7">
      <c r="B198" s="3465">
        <v>-303</v>
      </c>
      <c r="C198" s="3465">
        <v>1006.98</v>
      </c>
      <c r="D198" s="3464" t="s">
        <v>3395</v>
      </c>
    </row>
    <row r="199" spans="1:7">
      <c r="B199" s="3465">
        <v>-304</v>
      </c>
      <c r="C199" s="3465">
        <v>146.87</v>
      </c>
      <c r="D199" s="3464" t="s">
        <v>3397</v>
      </c>
    </row>
    <row r="200" spans="1:7">
      <c r="B200" s="3465">
        <v>-305</v>
      </c>
      <c r="C200" s="3465">
        <v>16.36</v>
      </c>
      <c r="D200" s="3464" t="s">
        <v>3398</v>
      </c>
    </row>
    <row r="201" spans="1:7">
      <c r="B201" s="3465">
        <v>-306</v>
      </c>
      <c r="C201" s="3465">
        <v>41.81</v>
      </c>
      <c r="D201" s="3464" t="s">
        <v>3395</v>
      </c>
    </row>
    <row r="202" spans="1:7">
      <c r="B202" s="3465">
        <v>-307</v>
      </c>
      <c r="C202" s="3465">
        <v>197.78</v>
      </c>
      <c r="D202" s="3464" t="s">
        <v>3395</v>
      </c>
    </row>
    <row r="203" spans="1:7">
      <c r="B203" s="3465">
        <v>-308</v>
      </c>
      <c r="C203" s="3465">
        <v>89.5</v>
      </c>
      <c r="D203" s="3464" t="s">
        <v>3395</v>
      </c>
    </row>
    <row r="204" spans="1:7">
      <c r="B204" s="3465">
        <v>-309</v>
      </c>
      <c r="C204" s="3465">
        <v>126.48</v>
      </c>
      <c r="D204" s="3464" t="s">
        <v>3395</v>
      </c>
    </row>
    <row r="205" spans="1:7">
      <c r="B205" s="3465">
        <v>-310</v>
      </c>
      <c r="C205" s="3465">
        <v>147.47</v>
      </c>
      <c r="D205" s="3464" t="s">
        <v>3397</v>
      </c>
    </row>
    <row r="206" spans="1:7">
      <c r="B206" s="3465">
        <v>-314</v>
      </c>
      <c r="C206" s="3465">
        <v>169.28</v>
      </c>
      <c r="D206" s="3464" t="s">
        <v>3395</v>
      </c>
    </row>
    <row r="207" spans="1:7">
      <c r="B207" s="3465">
        <v>-206</v>
      </c>
      <c r="C207" s="3465">
        <v>15.59</v>
      </c>
      <c r="D207" s="3464" t="s">
        <v>3395</v>
      </c>
    </row>
    <row r="208" spans="1:7">
      <c r="B208" s="3465">
        <v>203</v>
      </c>
      <c r="C208" s="3465">
        <v>211.5</v>
      </c>
      <c r="D208" s="3464" t="s">
        <v>3395</v>
      </c>
    </row>
    <row r="209" spans="1:4">
      <c r="A209" s="3634" t="s">
        <v>3417</v>
      </c>
      <c r="B209" s="3634"/>
      <c r="C209" s="3474">
        <f>SUM(C194:C208)</f>
        <v>2854.05</v>
      </c>
      <c r="D209" s="3464" t="s">
        <v>3415</v>
      </c>
    </row>
    <row r="210" spans="1:4">
      <c r="A210" s="3634" t="s">
        <v>3409</v>
      </c>
      <c r="B210" s="3634"/>
      <c r="C210" s="3634">
        <f>C209+C82+C16+C193</f>
        <v>112144.47999999998</v>
      </c>
      <c r="D210" s="3634"/>
    </row>
  </sheetData>
  <mergeCells count="6">
    <mergeCell ref="C210:D210"/>
    <mergeCell ref="A16:B16"/>
    <mergeCell ref="A193:B193"/>
    <mergeCell ref="A82:B82"/>
    <mergeCell ref="A209:B209"/>
    <mergeCell ref="A210:B2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0" sqref="O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hidden="1" customWidth="1"/>
    <col min="11" max="11" width="11" style="1570" customWidth="1"/>
    <col min="12" max="12" width="9.5" style="1570" hidden="1" customWidth="1"/>
    <col min="13" max="13" width="9.5" style="1570" customWidth="1"/>
    <col min="14" max="14" width="9.5" style="1570" hidden="1" customWidth="1"/>
    <col min="15" max="15" width="9.875" style="1570" customWidth="1"/>
    <col min="16" max="16" width="9.75" style="1570" hidden="1" customWidth="1"/>
    <col min="17" max="17" width="9.375" style="1570" customWidth="1"/>
    <col min="18" max="18" width="9.25" style="1570" hidden="1" customWidth="1"/>
    <col min="19" max="19" width="10.875" style="1570" customWidth="1"/>
    <col min="20" max="20" width="10.75" style="1570" hidden="1" customWidth="1"/>
    <col min="21" max="21" width="10.75" style="1570"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16822</v>
      </c>
      <c r="B3" s="11">
        <f>IF(C3="否",G5-AT5,G5)</f>
        <v>180927.82</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180927.82</v>
      </c>
      <c r="H5" s="13">
        <f t="shared" ref="H5:AT5" si="0">SUM(H13:H656)</f>
        <v>180927.82</v>
      </c>
      <c r="I5" s="13">
        <f t="shared" si="0"/>
        <v>18910.419999999998</v>
      </c>
      <c r="J5" s="13">
        <f t="shared" si="0"/>
        <v>0</v>
      </c>
      <c r="K5" s="13">
        <f t="shared" si="0"/>
        <v>25333.34</v>
      </c>
      <c r="L5" s="13">
        <f t="shared" si="0"/>
        <v>0</v>
      </c>
      <c r="M5" s="13">
        <f t="shared" si="0"/>
        <v>112889.37</v>
      </c>
      <c r="N5" s="13">
        <f t="shared" si="0"/>
        <v>0</v>
      </c>
      <c r="O5" s="13">
        <f t="shared" si="0"/>
        <v>7419.8799999999983</v>
      </c>
      <c r="P5" s="13">
        <f t="shared" si="0"/>
        <v>0</v>
      </c>
      <c r="Q5" s="13">
        <f t="shared" si="0"/>
        <v>414.73</v>
      </c>
      <c r="R5" s="13">
        <f t="shared" si="0"/>
        <v>0</v>
      </c>
      <c r="S5" s="13">
        <f t="shared" si="0"/>
        <v>2642.55</v>
      </c>
      <c r="T5" s="13">
        <f t="shared" si="0"/>
        <v>0</v>
      </c>
      <c r="U5" s="13">
        <f t="shared" si="0"/>
        <v>13317.529999999992</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112144.48</v>
      </c>
      <c r="BA5" s="15">
        <f t="shared" si="1"/>
        <v>112144.48</v>
      </c>
      <c r="BB5" s="15">
        <f t="shared" si="1"/>
        <v>8827.59</v>
      </c>
      <c r="BC5" s="15">
        <f t="shared" si="1"/>
        <v>25333.34</v>
      </c>
      <c r="BD5" s="15">
        <f t="shared" si="1"/>
        <v>57578.159999999996</v>
      </c>
      <c r="BE5" s="15">
        <f t="shared" si="1"/>
        <v>7419.8799999999983</v>
      </c>
      <c r="BF5" s="15">
        <f t="shared" si="1"/>
        <v>211.5</v>
      </c>
      <c r="BG5" s="15">
        <f t="shared" si="1"/>
        <v>2642.55</v>
      </c>
      <c r="BH5" s="15">
        <f t="shared" si="1"/>
        <v>10131.459999999992</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16821.990000000002</v>
      </c>
      <c r="F6" s="13" t="s">
        <v>0</v>
      </c>
      <c r="G6" s="13" t="s">
        <v>1</v>
      </c>
      <c r="H6" s="17">
        <f>SUMIF(I$12:AB$12,"总值",I6:AB6)</f>
        <v>16821.990000000002</v>
      </c>
      <c r="I6" s="13">
        <f t="shared" ref="I6:AB6" si="2">ROUND($A$3*I5/$B$3,2)</f>
        <v>1758.22</v>
      </c>
      <c r="J6" s="13">
        <f t="shared" si="2"/>
        <v>0</v>
      </c>
      <c r="K6" s="13">
        <f t="shared" si="2"/>
        <v>2355.4</v>
      </c>
      <c r="L6" s="13">
        <f t="shared" si="2"/>
        <v>0</v>
      </c>
      <c r="M6" s="13">
        <f t="shared" si="2"/>
        <v>10496.04</v>
      </c>
      <c r="N6" s="13">
        <f t="shared" si="2"/>
        <v>0</v>
      </c>
      <c r="O6" s="13">
        <f t="shared" si="2"/>
        <v>689.87</v>
      </c>
      <c r="P6" s="13">
        <f t="shared" si="2"/>
        <v>0</v>
      </c>
      <c r="Q6" s="13">
        <f t="shared" si="2"/>
        <v>38.56</v>
      </c>
      <c r="R6" s="13">
        <f t="shared" si="2"/>
        <v>0</v>
      </c>
      <c r="S6" s="13">
        <f t="shared" si="2"/>
        <v>245.69</v>
      </c>
      <c r="T6" s="13">
        <f t="shared" si="2"/>
        <v>0</v>
      </c>
      <c r="U6" s="13">
        <f t="shared" si="2"/>
        <v>1238.21</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10426.780000000001</v>
      </c>
      <c r="AZ6" s="13" t="s">
        <v>2</v>
      </c>
      <c r="BA6" s="13">
        <f>ROUND($AY$6*BA5/$AZ$5,2)</f>
        <v>10426.780000000001</v>
      </c>
      <c r="BB6" s="13">
        <f>ROUND($AY$6*BB5/$AZ$5,2)</f>
        <v>820.76</v>
      </c>
      <c r="BC6" s="13">
        <f t="shared" ref="BC6:BH6" si="4">ROUND($AY$6*BC5/$AZ$5,2)</f>
        <v>2355.4</v>
      </c>
      <c r="BD6" s="13">
        <f t="shared" si="4"/>
        <v>5353.4</v>
      </c>
      <c r="BE6" s="13">
        <f t="shared" si="4"/>
        <v>689.87</v>
      </c>
      <c r="BF6" s="13">
        <f t="shared" si="4"/>
        <v>19.66</v>
      </c>
      <c r="BG6" s="13">
        <f t="shared" si="4"/>
        <v>245.69</v>
      </c>
      <c r="BH6" s="13">
        <f t="shared" si="4"/>
        <v>941.99</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3421</v>
      </c>
      <c r="J9" s="806"/>
      <c r="K9" s="1600" t="s">
        <v>3423</v>
      </c>
      <c r="L9" s="806"/>
      <c r="M9" s="1600" t="s">
        <v>3421</v>
      </c>
      <c r="N9" s="806"/>
      <c r="O9" s="1600" t="s">
        <v>3423</v>
      </c>
      <c r="P9" s="806"/>
      <c r="Q9" s="1600" t="s">
        <v>3421</v>
      </c>
      <c r="R9" s="806"/>
      <c r="S9" s="1600" t="s">
        <v>3423</v>
      </c>
      <c r="T9" s="806"/>
      <c r="U9" s="1600" t="s">
        <v>3423</v>
      </c>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672</v>
      </c>
      <c r="J10" s="806"/>
      <c r="K10" s="1600" t="s">
        <v>672</v>
      </c>
      <c r="L10" s="806"/>
      <c r="M10" s="1606" t="s">
        <v>21</v>
      </c>
      <c r="N10" s="806"/>
      <c r="O10" s="1606" t="s">
        <v>21</v>
      </c>
      <c r="P10" s="806"/>
      <c r="Q10" s="1606" t="s">
        <v>3335</v>
      </c>
      <c r="R10" s="806"/>
      <c r="S10" s="1606" t="s">
        <v>3335</v>
      </c>
      <c r="T10" s="806"/>
      <c r="U10" s="1606" t="s">
        <v>3334</v>
      </c>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t="str">
        <f>M9</f>
        <v>地上</v>
      </c>
      <c r="BE10" s="26" t="str">
        <f>O9</f>
        <v>地下</v>
      </c>
      <c r="BF10" s="26" t="str">
        <f>Q9</f>
        <v>地上</v>
      </c>
      <c r="BG10" s="26" t="str">
        <f>S9</f>
        <v>地下</v>
      </c>
      <c r="BH10" s="26" t="str">
        <f>U9</f>
        <v>地下</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3422</v>
      </c>
      <c r="J11" s="1612"/>
      <c r="K11" s="1611" t="s">
        <v>3422</v>
      </c>
      <c r="L11" s="1612"/>
      <c r="M11" s="1611" t="s">
        <v>3424</v>
      </c>
      <c r="N11" s="1612"/>
      <c r="O11" s="1611" t="s">
        <v>3424</v>
      </c>
      <c r="P11" s="1612"/>
      <c r="Q11" s="1611" t="s">
        <v>3395</v>
      </c>
      <c r="R11" s="1612"/>
      <c r="S11" s="1611" t="s">
        <v>3395</v>
      </c>
      <c r="T11" s="1612"/>
      <c r="U11" s="1611" t="s">
        <v>3334</v>
      </c>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办公</v>
      </c>
      <c r="BE11" s="1596" t="str">
        <f>O10</f>
        <v>办公</v>
      </c>
      <c r="BF11" s="1596" t="str">
        <f>Q10</f>
        <v>仓储</v>
      </c>
      <c r="BG11" s="1596" t="str">
        <f>S10</f>
        <v>仓储</v>
      </c>
      <c r="BH11" s="1596" t="str">
        <f>U10</f>
        <v>车库</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底商</v>
      </c>
      <c r="BC12" s="1621" t="str">
        <f>K11</f>
        <v>底商</v>
      </c>
      <c r="BD12" s="1621" t="str">
        <f>M11</f>
        <v>办公楼</v>
      </c>
      <c r="BE12" s="1596" t="str">
        <f>O11</f>
        <v>办公楼</v>
      </c>
      <c r="BF12" s="1596" t="str">
        <f>Q11</f>
        <v>戊类库房</v>
      </c>
      <c r="BG12" s="1596" t="str">
        <f>S11</f>
        <v>戊类库房</v>
      </c>
      <c r="BH12" s="1596" t="str">
        <f>U11</f>
        <v>车库</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3418</v>
      </c>
      <c r="E13" s="13">
        <f>IF($C$3="是",ROUND($A$3*G13/$B$3,2),ROUND($A$3*(G13-AT13)/$B$3,2))</f>
        <v>10426.780000000001</v>
      </c>
      <c r="F13" s="29"/>
      <c r="G13" s="30">
        <f>H13+AC13+AT13</f>
        <v>112144.48</v>
      </c>
      <c r="H13" s="17">
        <f>SUMIF(I$12:AB$12,"总值",I13:AB13)</f>
        <v>112144.48</v>
      </c>
      <c r="I13" s="1623">
        <f>SUM(抵押物清单!C10:C15)</f>
        <v>8827.59</v>
      </c>
      <c r="J13" s="1623"/>
      <c r="K13" s="1623">
        <f>SUM(抵押物清单!C2:C9)</f>
        <v>25333.34</v>
      </c>
      <c r="L13" s="1623"/>
      <c r="M13" s="1623">
        <f>SUM(抵押物清单!C17:C71)</f>
        <v>57578.159999999996</v>
      </c>
      <c r="N13" s="1623"/>
      <c r="O13" s="1623">
        <f>SUM(抵押物清单!C72:C81)</f>
        <v>7419.8799999999983</v>
      </c>
      <c r="P13" s="1623"/>
      <c r="Q13" s="1623">
        <f>抵押物清单!C208</f>
        <v>211.5</v>
      </c>
      <c r="R13" s="1623"/>
      <c r="S13" s="1623">
        <f>SUM(抵押物清单!C194:C207)</f>
        <v>2642.55</v>
      </c>
      <c r="T13" s="1623"/>
      <c r="U13" s="1623">
        <f>抵押物清单!C193</f>
        <v>10131.459999999992</v>
      </c>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10426.780000000001</v>
      </c>
      <c r="AZ13" s="13">
        <f>BA13+BL13</f>
        <v>112144.48</v>
      </c>
      <c r="BA13" s="13">
        <f>SUM(BB13:BK13)</f>
        <v>112144.48</v>
      </c>
      <c r="BB13" s="13">
        <f>IF($D13="是",I13-J13,0)</f>
        <v>8827.59</v>
      </c>
      <c r="BC13" s="13">
        <f>IF($D13="是",K13-L13,0)</f>
        <v>25333.34</v>
      </c>
      <c r="BD13" s="13">
        <f>IF($D13="是",M13-N13,0)</f>
        <v>57578.159999999996</v>
      </c>
      <c r="BE13" s="13">
        <f>IF($D13="是",O13-P13,0)</f>
        <v>7419.8799999999983</v>
      </c>
      <c r="BF13" s="13">
        <f>IF($D13="是",Q13-R13,0)</f>
        <v>211.5</v>
      </c>
      <c r="BG13" s="13">
        <f>IF($D13="是",S13-T13,0)</f>
        <v>2642.55</v>
      </c>
      <c r="BH13" s="13">
        <f>IF($D13="是",U13-V13,0)</f>
        <v>10131.459999999992</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97" t="s">
        <v>3420</v>
      </c>
      <c r="D14" s="1622" t="s">
        <v>3419</v>
      </c>
      <c r="E14" s="13">
        <f>IF($C$3="是",ROUND($A$3*G14/$B$3,2),ROUND($A$3*(G14-AT14)/$B$3,2))</f>
        <v>6395.22</v>
      </c>
      <c r="F14" s="29"/>
      <c r="G14" s="30">
        <f>H14+AC14+AT14</f>
        <v>68783.34</v>
      </c>
      <c r="H14" s="17">
        <f>SUMIF(I$12:AB$12,"总值",I14:AB14)</f>
        <v>68783.34</v>
      </c>
      <c r="I14" s="1623">
        <f>SUM(面积总表!S23:S25)+SUM(面积总表!S33:S35)+SUM(面积总表!S41:S43)</f>
        <v>10082.83</v>
      </c>
      <c r="J14" s="1623"/>
      <c r="K14" s="1623"/>
      <c r="L14" s="1623"/>
      <c r="M14" s="1623">
        <f>面积总表!G59</f>
        <v>55311.209999999992</v>
      </c>
      <c r="N14" s="1623"/>
      <c r="O14" s="1623"/>
      <c r="P14" s="1623"/>
      <c r="Q14" s="1623">
        <f>面积总表!S36</f>
        <v>203.23</v>
      </c>
      <c r="R14" s="1623"/>
      <c r="S14" s="1623"/>
      <c r="T14" s="1623"/>
      <c r="U14" s="1623">
        <f>SUM(面积总表!K3:K11)+SUM(面积总表!K13:K14)+SUM(面积总表!K20:K22)+SUM(面积总表!K24:K45)</f>
        <v>3186.0700000000006</v>
      </c>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已售</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6" sqref="K4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644" t="s">
        <v>1129</v>
      </c>
      <c r="B2" s="3644"/>
      <c r="C2" s="3644"/>
      <c r="D2" s="793" t="s">
        <v>1105</v>
      </c>
      <c r="E2" s="1636" t="s">
        <v>1106</v>
      </c>
      <c r="F2" s="2656"/>
      <c r="G2" s="2647"/>
      <c r="H2" s="2648"/>
      <c r="I2" s="2322" t="s">
        <v>1130</v>
      </c>
      <c r="J2" s="2656"/>
      <c r="K2" s="2656"/>
      <c r="L2" s="2656"/>
      <c r="M2" s="2656"/>
      <c r="N2" s="2658"/>
      <c r="O2" s="2656"/>
      <c r="P2" s="2656"/>
    </row>
    <row r="3" spans="1:16" ht="15.75" thickBot="1">
      <c r="A3" s="3645" t="s">
        <v>1103</v>
      </c>
      <c r="B3" s="3645"/>
      <c r="C3" s="3645"/>
      <c r="D3" s="43">
        <f>'数据-基础表'!AY6</f>
        <v>10426.780000000001</v>
      </c>
      <c r="E3" s="43">
        <f>'数据-基础表'!AZ5</f>
        <v>112144.48</v>
      </c>
      <c r="F3" s="2656"/>
      <c r="G3" s="1142"/>
      <c r="H3" s="1023" t="s">
        <v>1104</v>
      </c>
      <c r="I3" s="852">
        <f>ROUND('数据-基础表'!B3/'数据-基础表'!A3,2)</f>
        <v>10.76</v>
      </c>
      <c r="J3" s="2656"/>
      <c r="K3" s="2656"/>
      <c r="L3" s="2656"/>
      <c r="M3" s="2656"/>
      <c r="N3" s="2658"/>
      <c r="O3" s="2656"/>
      <c r="P3" s="2656"/>
    </row>
    <row r="4" spans="1:16" ht="15">
      <c r="A4" s="3646"/>
      <c r="B4" s="3647"/>
      <c r="C4" s="3648"/>
      <c r="D4" s="1638" t="s">
        <v>1105</v>
      </c>
      <c r="E4" s="1639" t="s">
        <v>1106</v>
      </c>
      <c r="F4" s="2656"/>
      <c r="G4" s="2649" t="s">
        <v>1131</v>
      </c>
      <c r="H4" s="1023" t="s">
        <v>1111</v>
      </c>
      <c r="I4" s="852">
        <f>ROUND(SUMIF('数据-基础表'!I9:AS9,"地上",'数据-基础表'!I5:AS5)/'数据-基础表'!A3,2)</f>
        <v>7.86</v>
      </c>
      <c r="J4" s="2656"/>
      <c r="K4" s="2656"/>
      <c r="L4" s="2656"/>
      <c r="M4" s="2656"/>
      <c r="N4" s="2658"/>
      <c r="O4" s="2656"/>
      <c r="P4" s="2656"/>
    </row>
    <row r="5" spans="1:16">
      <c r="A5" s="44" t="s">
        <v>1107</v>
      </c>
      <c r="B5" s="3649" t="s">
        <v>1108</v>
      </c>
      <c r="C5" s="3649"/>
      <c r="D5" s="45">
        <f>ROUND($D$3*E5/$E$3,2)</f>
        <v>0</v>
      </c>
      <c r="E5" s="46">
        <f>SUMIF('数据-基础表'!$11:$11,"住宅",'数据-基础表'!$5:$5)</f>
        <v>0</v>
      </c>
      <c r="F5" s="2656"/>
      <c r="G5" s="1142"/>
      <c r="H5" s="1023" t="s">
        <v>1104</v>
      </c>
      <c r="I5" s="852">
        <f>ROUND(E31/D31,2)</f>
        <v>10.76</v>
      </c>
      <c r="J5" s="2656"/>
      <c r="K5" s="2656"/>
      <c r="L5" s="2656"/>
      <c r="M5" s="2656"/>
      <c r="N5" s="2656"/>
      <c r="O5" s="2656"/>
      <c r="P5" s="2656"/>
    </row>
    <row r="6" spans="1:16" ht="15" thickBot="1">
      <c r="A6" s="1641"/>
      <c r="B6" s="3649" t="s">
        <v>1109</v>
      </c>
      <c r="C6" s="3649"/>
      <c r="D6" s="45">
        <f>ROUND($D$3*E6/$E$3,2)</f>
        <v>10426.780000000001</v>
      </c>
      <c r="E6" s="46">
        <f>E3-E5</f>
        <v>112144.48</v>
      </c>
      <c r="F6" s="2656"/>
      <c r="G6" s="2650" t="s">
        <v>1110</v>
      </c>
      <c r="H6" s="1143" t="s">
        <v>1111</v>
      </c>
      <c r="I6" s="2651">
        <f>ROUND(F31/D31,2)</f>
        <v>6.39</v>
      </c>
      <c r="J6" s="2656"/>
      <c r="K6" s="2656"/>
      <c r="L6" s="2656"/>
      <c r="M6" s="2656"/>
      <c r="N6" s="2656"/>
      <c r="O6" s="2656"/>
      <c r="P6" s="2656"/>
    </row>
    <row r="7" spans="1:16" ht="15.75" thickBot="1">
      <c r="A7" s="3641"/>
      <c r="B7" s="3642"/>
      <c r="C7" s="3643"/>
      <c r="D7" s="1638" t="s">
        <v>1105</v>
      </c>
      <c r="E7" s="1642" t="s">
        <v>1112</v>
      </c>
      <c r="F7" s="2656"/>
      <c r="G7" s="2652" t="s">
        <v>1113</v>
      </c>
      <c r="H7" s="2653"/>
      <c r="I7" s="2654"/>
      <c r="J7" s="2656"/>
      <c r="K7" s="2656"/>
      <c r="L7" s="2656"/>
      <c r="M7" s="2656"/>
      <c r="N7" s="2656"/>
      <c r="O7" s="2656"/>
      <c r="P7" s="2656"/>
    </row>
    <row r="8" spans="1:16">
      <c r="A8" s="44" t="s">
        <v>1114</v>
      </c>
      <c r="B8" s="47" t="s">
        <v>1115</v>
      </c>
      <c r="C8" s="45" t="s">
        <v>1116</v>
      </c>
      <c r="D8" s="45">
        <f t="shared" ref="D8:D15" si="0">ROUND($D$3*E8/$E$3,2)</f>
        <v>6193.83</v>
      </c>
      <c r="E8" s="48">
        <f>SUMIF('数据-基础表'!BB10:BK10,"地上",'数据-基础表'!BB5:BK5)</f>
        <v>66617.25</v>
      </c>
      <c r="F8" s="2656"/>
      <c r="G8" s="2657"/>
      <c r="H8" s="2657"/>
      <c r="I8" s="2656"/>
      <c r="J8" s="2656"/>
      <c r="K8" s="2656"/>
      <c r="L8" s="2656"/>
      <c r="M8" s="2656"/>
      <c r="N8" s="2656"/>
      <c r="O8" s="2656"/>
      <c r="P8" s="2656"/>
    </row>
    <row r="9" spans="1:16">
      <c r="A9" s="1643"/>
      <c r="B9" s="1644"/>
      <c r="C9" s="45" t="s">
        <v>1117</v>
      </c>
      <c r="D9" s="45">
        <f t="shared" si="0"/>
        <v>0</v>
      </c>
      <c r="E9" s="49">
        <v>0</v>
      </c>
      <c r="F9" s="2656"/>
      <c r="G9" s="2657"/>
      <c r="H9" s="2657"/>
      <c r="I9" s="2656"/>
      <c r="J9" s="2656"/>
      <c r="K9" s="2656"/>
      <c r="L9" s="2656"/>
      <c r="M9" s="2656"/>
      <c r="N9" s="2656"/>
      <c r="O9" s="2656"/>
      <c r="P9" s="2656"/>
    </row>
    <row r="10" spans="1:16">
      <c r="A10" s="1643"/>
      <c r="B10" s="1644"/>
      <c r="C10" s="45" t="s">
        <v>1126</v>
      </c>
      <c r="D10" s="45">
        <f t="shared" si="0"/>
        <v>2355.4</v>
      </c>
      <c r="E10" s="48">
        <f>SUMPRODUCT(('数据-基础表'!BB10:BK10="地下")*('数据-基础表'!BB11:BK11="商业")*('数据-基础表'!BB5:BK5))</f>
        <v>25333.34</v>
      </c>
      <c r="F10" s="2656"/>
      <c r="G10" s="2657"/>
      <c r="H10" s="2657"/>
      <c r="I10" s="2656"/>
      <c r="J10" s="2656"/>
      <c r="K10" s="2656"/>
      <c r="L10" s="2656"/>
      <c r="M10" s="2656"/>
      <c r="N10" s="2656"/>
      <c r="O10" s="2656"/>
      <c r="P10" s="2656"/>
    </row>
    <row r="11" spans="1:16">
      <c r="A11" s="1643"/>
      <c r="B11" s="1644"/>
      <c r="C11" s="45" t="s">
        <v>1118</v>
      </c>
      <c r="D11" s="45">
        <f t="shared" si="0"/>
        <v>689.87</v>
      </c>
      <c r="E11" s="48">
        <f>SUMPRODUCT(('数据-基础表'!BB10:BK10="地下")*('数据-基础表'!BB11:BK11="办公")*('数据-基础表'!BB5:BK5))+'数据-基础表'!BP5</f>
        <v>7419.8799999999983</v>
      </c>
      <c r="F11" s="2656"/>
      <c r="G11" s="2657"/>
      <c r="H11" s="2657"/>
      <c r="I11" s="2656"/>
      <c r="J11" s="2656"/>
      <c r="K11" s="2656"/>
      <c r="L11" s="2656"/>
      <c r="M11" s="2656"/>
      <c r="N11" s="2656"/>
      <c r="O11" s="2656"/>
      <c r="P11" s="2656"/>
    </row>
    <row r="12" spans="1:16">
      <c r="A12" s="1643"/>
      <c r="B12" s="1644"/>
      <c r="C12" s="45" t="s">
        <v>1119</v>
      </c>
      <c r="D12" s="45">
        <f t="shared" si="0"/>
        <v>245.69</v>
      </c>
      <c r="E12" s="48">
        <f>SUMPRODUCT(('数据-基础表'!BB10:BK10="地下")*('数据-基础表'!BB11:BK11="仓储")*('数据-基础表'!BB5:BK5))</f>
        <v>2642.55</v>
      </c>
      <c r="F12" s="2656"/>
      <c r="G12" s="2657"/>
      <c r="H12" s="2657"/>
      <c r="I12" s="2656"/>
      <c r="J12" s="2656"/>
      <c r="K12" s="2656"/>
      <c r="L12" s="2656"/>
      <c r="M12" s="2656"/>
      <c r="N12" s="2656"/>
      <c r="O12" s="2656"/>
      <c r="P12" s="2656"/>
    </row>
    <row r="13" spans="1:16">
      <c r="A13" s="1643"/>
      <c r="B13" s="1644"/>
      <c r="C13" s="45" t="s">
        <v>1120</v>
      </c>
      <c r="D13" s="45">
        <f t="shared" si="0"/>
        <v>941.99</v>
      </c>
      <c r="E13" s="48">
        <f>SUMPRODUCT(('数据-基础表'!BB10:BK10="地下")*('数据-基础表'!BB11:BK11="车库")*('数据-基础表'!BB5:BK5))</f>
        <v>10131.459999999992</v>
      </c>
      <c r="F13" s="2656"/>
      <c r="G13" s="2657"/>
      <c r="H13" s="2657"/>
      <c r="I13" s="2656"/>
      <c r="J13" s="2656"/>
      <c r="K13" s="2656"/>
      <c r="L13" s="2656"/>
      <c r="M13" s="2656"/>
      <c r="N13" s="2656"/>
      <c r="O13" s="2656"/>
      <c r="P13" s="2656"/>
    </row>
    <row r="14" spans="1:16">
      <c r="A14" s="1643"/>
      <c r="B14" s="1644"/>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1121</v>
      </c>
      <c r="D16" s="47">
        <f>SUM(D8:D15)</f>
        <v>10426.780000000001</v>
      </c>
      <c r="E16" s="50">
        <f>SUM(E8:E15)</f>
        <v>112144.48</v>
      </c>
      <c r="F16" s="2656"/>
      <c r="G16" s="2657"/>
      <c r="H16" s="1645" t="s">
        <v>1133</v>
      </c>
      <c r="I16" s="1646"/>
      <c r="J16" s="1136"/>
      <c r="K16" s="3638" t="s">
        <v>1133</v>
      </c>
      <c r="L16" s="3639"/>
      <c r="M16" s="3639"/>
      <c r="N16" s="3639"/>
      <c r="O16" s="3639"/>
      <c r="P16" s="3640"/>
    </row>
    <row r="17" spans="1:19" ht="15">
      <c r="A17" s="1647" t="s">
        <v>1134</v>
      </c>
      <c r="B17" s="1648" t="s">
        <v>1135</v>
      </c>
      <c r="C17" s="1649" t="s">
        <v>1136</v>
      </c>
      <c r="D17" s="1650" t="s">
        <v>1124</v>
      </c>
      <c r="E17" s="1651" t="s">
        <v>1125</v>
      </c>
      <c r="F17" s="1652"/>
      <c r="G17" s="1653"/>
      <c r="H17" s="1654" t="s">
        <v>1137</v>
      </c>
      <c r="I17" s="1655" t="s">
        <v>1122</v>
      </c>
      <c r="J17" s="1136"/>
      <c r="K17" s="3635" t="s">
        <v>1138</v>
      </c>
      <c r="L17" s="3636"/>
      <c r="M17" s="3637"/>
      <c r="N17" s="3635" t="s">
        <v>1139</v>
      </c>
      <c r="O17" s="3636"/>
      <c r="P17" s="3637"/>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4" t="s">
        <v>3434</v>
      </c>
      <c r="D19" s="45">
        <f>ROUND($D$3*E19/$E$3,2)</f>
        <v>6043.28</v>
      </c>
      <c r="E19" s="53">
        <f t="shared" ref="E19:E26" si="1">SUM(F19:G19)</f>
        <v>64998.039999999994</v>
      </c>
      <c r="F19" s="2792">
        <f>'数据-基础表'!M13</f>
        <v>57578.159999999996</v>
      </c>
      <c r="G19" s="2793">
        <f>'数据-基础表'!O13</f>
        <v>7419.8799999999983</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6043.28</v>
      </c>
      <c r="S19" s="1024">
        <f t="shared" si="5"/>
        <v>64998.039999999994</v>
      </c>
    </row>
    <row r="20" spans="1:19">
      <c r="A20" s="1667"/>
      <c r="B20" s="47" t="s">
        <v>1151</v>
      </c>
      <c r="C20" s="3414" t="s">
        <v>3435</v>
      </c>
      <c r="D20" s="45">
        <f t="shared" ref="D20:D26" si="6">ROUND($D$3*E20/$E$3,2)</f>
        <v>3176.16</v>
      </c>
      <c r="E20" s="53">
        <f t="shared" si="1"/>
        <v>34160.93</v>
      </c>
      <c r="F20" s="2792">
        <f>'数据-基础表'!I13</f>
        <v>8827.59</v>
      </c>
      <c r="G20" s="2793">
        <f>'数据-基础表'!K13</f>
        <v>25333.34</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3176.16</v>
      </c>
      <c r="S20" s="1024">
        <f t="shared" si="5"/>
        <v>34160.93</v>
      </c>
    </row>
    <row r="21" spans="1:19">
      <c r="A21" s="1667"/>
      <c r="B21" s="47" t="s">
        <v>1151</v>
      </c>
      <c r="C21" s="3414" t="s">
        <v>3436</v>
      </c>
      <c r="D21" s="45">
        <f t="shared" si="6"/>
        <v>941.99</v>
      </c>
      <c r="E21" s="53">
        <f t="shared" si="1"/>
        <v>10131.459999999992</v>
      </c>
      <c r="F21" s="2792"/>
      <c r="G21" s="2793">
        <f>'数据-基础表'!U13</f>
        <v>10131.459999999992</v>
      </c>
      <c r="H21" s="670">
        <f t="shared" si="7"/>
        <v>0</v>
      </c>
      <c r="I21" s="48">
        <f t="shared" si="2"/>
        <v>0</v>
      </c>
      <c r="J21" s="1136"/>
      <c r="K21" s="1135">
        <f t="shared" si="3"/>
        <v>0</v>
      </c>
      <c r="L21" s="1023">
        <f t="shared" si="4"/>
        <v>0</v>
      </c>
      <c r="M21" s="1147">
        <f t="shared" si="8"/>
        <v>0</v>
      </c>
      <c r="N21" s="1665"/>
      <c r="O21" s="1666"/>
      <c r="P21" s="1147">
        <f t="shared" si="9"/>
        <v>0</v>
      </c>
      <c r="R21" s="1023">
        <f t="shared" si="5"/>
        <v>941.99</v>
      </c>
      <c r="S21" s="1024">
        <f t="shared" si="5"/>
        <v>10131.459999999992</v>
      </c>
    </row>
    <row r="22" spans="1:19">
      <c r="A22" s="1667"/>
      <c r="B22" s="47" t="s">
        <v>1151</v>
      </c>
      <c r="C22" s="3415" t="s">
        <v>3438</v>
      </c>
      <c r="D22" s="45">
        <f t="shared" si="6"/>
        <v>265.36</v>
      </c>
      <c r="E22" s="53">
        <f t="shared" si="1"/>
        <v>2854.05</v>
      </c>
      <c r="F22" s="2794">
        <f>'数据-基础表'!Q13</f>
        <v>211.5</v>
      </c>
      <c r="G22" s="2795">
        <f>'数据-基础表'!S13</f>
        <v>2642.55</v>
      </c>
      <c r="H22" s="670">
        <f t="shared" si="7"/>
        <v>0</v>
      </c>
      <c r="I22" s="48">
        <f t="shared" si="2"/>
        <v>0</v>
      </c>
      <c r="J22" s="1136"/>
      <c r="K22" s="1135">
        <f t="shared" si="3"/>
        <v>0</v>
      </c>
      <c r="L22" s="1023">
        <f t="shared" si="4"/>
        <v>0</v>
      </c>
      <c r="M22" s="1147">
        <f t="shared" si="8"/>
        <v>0</v>
      </c>
      <c r="N22" s="1665"/>
      <c r="O22" s="1666"/>
      <c r="P22" s="1147">
        <f t="shared" si="9"/>
        <v>0</v>
      </c>
      <c r="R22" s="1023">
        <f t="shared" si="5"/>
        <v>265.36</v>
      </c>
      <c r="S22" s="1024">
        <f t="shared" si="5"/>
        <v>2854.05</v>
      </c>
    </row>
    <row r="23" spans="1:19">
      <c r="A23" s="1667"/>
      <c r="B23" s="47" t="s">
        <v>1151</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10426.789999999999</v>
      </c>
      <c r="E27" s="1138">
        <f>IF(SUM(E19:E26)='数据-基础表'!BA5,SUM(E19:E26),IF(F27="地上面积有误","面积有误","地下面积有误"))</f>
        <v>112144.48</v>
      </c>
      <c r="F27" s="1137">
        <f>IF(SUM(F19:F26)=E8,SUM(F19:F26),"地上面积有误")</f>
        <v>66617.25</v>
      </c>
      <c r="G27" s="1139">
        <f>SUM(G19:G26)</f>
        <v>45527.229999999996</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t="str">
        <f>IF(SUM(R19:R26)=$D$3,SUM(R19:R26),SUM(R19:R26)&amp;"误差"&amp;ROUND(SUM(R19:R26)-$D$3,2))</f>
        <v>10426.79误差0.01</v>
      </c>
      <c r="S27" s="1023">
        <f>IF(SUM(S19:S26)=$E$3,SUM(S19:S26),SUM(S19:S26)&amp;"误差"&amp;ROUND(SUM(S19:S26)-E3,2))</f>
        <v>112144.48</v>
      </c>
    </row>
    <row r="28" spans="1:19">
      <c r="A28" s="1667"/>
      <c r="B28" s="47" t="s">
        <v>1153</v>
      </c>
      <c r="C28" s="1035"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1153</v>
      </c>
      <c r="C29" s="1671"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1152</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1156</v>
      </c>
      <c r="D31" s="676">
        <f>D27+D30</f>
        <v>10426.789999999999</v>
      </c>
      <c r="E31" s="676">
        <f>E27+E30</f>
        <v>112144.48</v>
      </c>
      <c r="F31" s="677">
        <f>F27+F30</f>
        <v>66617.25</v>
      </c>
      <c r="G31" s="678">
        <f>G27+G30</f>
        <v>45527.229999999996</v>
      </c>
      <c r="H31" s="2656"/>
      <c r="I31" s="2656"/>
      <c r="J31" s="2656"/>
      <c r="K31" s="2656"/>
      <c r="L31" s="2656"/>
      <c r="M31" s="2656"/>
      <c r="N31" s="2656"/>
      <c r="O31" s="2656"/>
      <c r="P31" s="2656"/>
    </row>
    <row r="32" spans="1:19">
      <c r="A32" s="1640"/>
      <c r="B32" s="1640" t="s">
        <v>1157</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8" sqref="K38"/>
    </sheetView>
  </sheetViews>
  <sheetFormatPr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9" width="8.875" style="1679" customWidth="1"/>
    <col min="10" max="10" width="10.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8.8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9" style="1678"/>
    <col min="68" max="16384" width="9"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1159</v>
      </c>
      <c r="B2" s="1042">
        <f>项目基本情况!D3</f>
        <v>44930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5"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3439</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56178</v>
      </c>
      <c r="F6" s="64">
        <f>SUMIF(项目基本情况!C$12:I$12,C6,项目基本情况!C$15:I$15)</f>
        <v>30.81</v>
      </c>
      <c r="G6" s="65">
        <f>IF(ISERROR(ROUND(POWER(1+H6,D6-F6)*(POWER(1+H6,F6)-1)/(POWER(1+H6,D6)-1),3)),0,ROUND(POWER(1+H6,D6-F6)*(POWER(1+H6,F6)-1)/(POWER(1+H6,D6)-1),3))</f>
        <v>0.85199999999999998</v>
      </c>
      <c r="H6" s="732">
        <v>0.05</v>
      </c>
      <c r="I6" s="732">
        <v>5.5E-2</v>
      </c>
      <c r="J6" s="66">
        <v>7.0000000000000007E-2</v>
      </c>
      <c r="K6" s="1027">
        <f>SUMIF('数据-汇总表'!C$19:C$33,A6,'数据-汇总表'!E$19:E$33)</f>
        <v>64998.039999999994</v>
      </c>
      <c r="L6" s="733">
        <v>6500</v>
      </c>
      <c r="M6" s="67">
        <f t="shared" ref="M6:M14" si="0">ROUND(K6*L6/10000,0)</f>
        <v>42249</v>
      </c>
      <c r="N6" s="731">
        <f>ROUND(1-(2024-2023)/60,2)</f>
        <v>0.98</v>
      </c>
      <c r="O6" s="67" t="str">
        <f>IF($N$5="成新度","——",ROUND(M6*N6,0))</f>
        <v>——</v>
      </c>
      <c r="P6" s="68" t="str">
        <f>IF($N$5="成新度","——",M6-O6)</f>
        <v>——</v>
      </c>
      <c r="Q6" s="734">
        <v>0.2</v>
      </c>
      <c r="R6" s="69">
        <f ca="1">SUMIF('数据-汇总表'!C$19:C$33,A6,'数据-汇总表'!R$19:R$27)</f>
        <v>6043.28</v>
      </c>
      <c r="S6" s="51">
        <f>IF('数据-汇总表'!$I$17="按面积比例",SUMIF('数据-汇总表'!C$19:C$33,A6,'数据-汇总表'!K$19:K$33),SUMIF('数据-汇总表'!C$19:C$33,A6,'数据-汇总表'!N$19:N$33))</f>
        <v>0</v>
      </c>
      <c r="T6" s="1169">
        <f>ROUND($L$14*S6/10000,0)</f>
        <v>0</v>
      </c>
      <c r="U6" s="3425">
        <f>X29</f>
        <v>12.3</v>
      </c>
      <c r="V6" s="70">
        <v>0.03</v>
      </c>
      <c r="W6" s="70">
        <v>0.1</v>
      </c>
      <c r="X6" s="1037"/>
      <c r="Y6" s="71">
        <f>N6</f>
        <v>0.98</v>
      </c>
      <c r="Z6" s="72"/>
      <c r="AA6" s="66"/>
      <c r="AB6" s="66"/>
      <c r="AC6" s="1037"/>
      <c r="AD6" s="73"/>
      <c r="AE6" s="1038">
        <f ca="1">IF(AN6="",0,SUMIF(INDIRECT("'"&amp;AN6&amp;"'"&amp;"!E:E"),$AE$5,INDIRECT("'"&amp;AN6&amp;"'"&amp;"!F:F")))</f>
        <v>30.81</v>
      </c>
      <c r="AF6" s="1345"/>
      <c r="AG6" s="138">
        <f>IF(AF6="",0,AE6-AF6)</f>
        <v>0</v>
      </c>
      <c r="AH6" s="74"/>
      <c r="AI6" s="76">
        <v>365</v>
      </c>
      <c r="AJ6" s="77"/>
      <c r="AK6" s="78">
        <v>5.0000000000000001E-3</v>
      </c>
      <c r="AL6" s="79">
        <v>1E-3</v>
      </c>
      <c r="AM6" s="80">
        <v>0.03</v>
      </c>
      <c r="AN6" s="1712" t="s">
        <v>3454</v>
      </c>
      <c r="AO6" s="52">
        <f ca="1">SUMIF(INDIRECT("'"&amp;AN6&amp;"'"&amp;"!A:A"),"总价",INDIRECT("'"&amp;AN6&amp;"'"&amp;"!B:B"))</f>
        <v>435963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672</v>
      </c>
      <c r="D7" s="855">
        <f>SUMIF(项目基本情况!C$12:I$12,C7,项目基本情况!C$14:I$14)</f>
        <v>40</v>
      </c>
      <c r="E7" s="854">
        <f>IF(B7="","",SUMIF(项目基本情况!C$12:I$12,C7,项目基本情况!C$13:I$13))</f>
        <v>52525</v>
      </c>
      <c r="F7" s="64">
        <f>SUMIF(项目基本情况!C$12:I$12,C7,项目基本情况!C$15:I$15)</f>
        <v>20.8</v>
      </c>
      <c r="G7" s="65">
        <f t="shared" ref="G7:G11" si="2">IF(ISERROR(ROUND(POWER(1+H7,D7-F7)*(POWER(1+H7,F7)-1)/(POWER(1+H7,D7)-1),3)),0,ROUND(POWER(1+H7,D7-F7)*(POWER(1+H7,F7)-1)/(POWER(1+H7,D7)-1),3))</f>
        <v>0.76100000000000001</v>
      </c>
      <c r="H7" s="732">
        <v>5.5E-2</v>
      </c>
      <c r="I7" s="732">
        <v>0.06</v>
      </c>
      <c r="J7" s="66">
        <v>7.4999999999999997E-2</v>
      </c>
      <c r="K7" s="1027">
        <f>SUMIF('数据-汇总表'!C$19:C$33,A7,'数据-汇总表'!E$19:E$33)</f>
        <v>34160.93</v>
      </c>
      <c r="L7" s="733">
        <v>6000</v>
      </c>
      <c r="M7" s="67">
        <f t="shared" si="0"/>
        <v>20497</v>
      </c>
      <c r="N7" s="731">
        <f>N6</f>
        <v>0.98</v>
      </c>
      <c r="O7" s="67" t="str">
        <f t="shared" ref="O7:O14" si="3">IF($N$5="成新度","——",ROUND(M7*N7,0))</f>
        <v>——</v>
      </c>
      <c r="P7" s="68" t="str">
        <f t="shared" ref="P7:P14" si="4">IF($N$5="成新度","——",M7-O7)</f>
        <v>——</v>
      </c>
      <c r="Q7" s="734">
        <v>0.2</v>
      </c>
      <c r="R7" s="69">
        <f ca="1">SUMIF('数据-汇总表'!C$19:C$33,A7,'数据-汇总表'!R$19:R$27)</f>
        <v>3176.16</v>
      </c>
      <c r="S7" s="51">
        <f>IF('数据-汇总表'!$I$17="按面积比例",SUMIF('数据-汇总表'!C$19:C$33,A7,'数据-汇总表'!K$19:K$33),SUMIF('数据-汇总表'!C$19:C$33,A7,'数据-汇总表'!N$19:N$33))</f>
        <v>0</v>
      </c>
      <c r="T7" s="1169">
        <f t="shared" ref="T7:T13" si="5">ROUND($L$14*S7/10000,0)</f>
        <v>0</v>
      </c>
      <c r="U7" s="3425">
        <f>X25</f>
        <v>10</v>
      </c>
      <c r="V7" s="70">
        <v>0.03</v>
      </c>
      <c r="W7" s="70">
        <v>0.1</v>
      </c>
      <c r="X7" s="1037"/>
      <c r="Y7" s="71">
        <f>Y6</f>
        <v>0.98</v>
      </c>
      <c r="Z7" s="72"/>
      <c r="AA7" s="66"/>
      <c r="AB7" s="66"/>
      <c r="AC7" s="1037"/>
      <c r="AD7" s="73"/>
      <c r="AE7" s="1038">
        <f t="shared" ref="AE7:AE13" ca="1" si="6">IF(AN7="",0,SUMIF(INDIRECT("'"&amp;AN7&amp;"'"&amp;"!E:E"),$AE$5,INDIRECT("'"&amp;AN7&amp;"'"&amp;"!F:F")))</f>
        <v>20.8</v>
      </c>
      <c r="AF7" s="1345"/>
      <c r="AG7" s="138">
        <f t="shared" ref="AG7:AG13" si="7">IF(AF7="",0,AE7-AF7)</f>
        <v>0</v>
      </c>
      <c r="AH7" s="74"/>
      <c r="AI7" s="76">
        <v>365</v>
      </c>
      <c r="AJ7" s="77"/>
      <c r="AK7" s="78">
        <v>5.0000000000000001E-3</v>
      </c>
      <c r="AL7" s="78">
        <f t="shared" ref="AL7" si="8">AL6</f>
        <v>1E-3</v>
      </c>
      <c r="AM7" s="78">
        <v>1.4999999999999999E-2</v>
      </c>
      <c r="AN7" s="1712" t="s">
        <v>3456</v>
      </c>
      <c r="AO7" s="52">
        <f t="shared" ref="AO7:AO13" ca="1" si="9">SUMIF(INDIRECT("'"&amp;AN7&amp;"'"&amp;"!A:A"),"总价",INDIRECT("'"&amp;AN7&amp;"'"&amp;"!B:B"))</f>
        <v>138943</v>
      </c>
      <c r="AP7" s="1713">
        <f t="shared" ref="AP7:AP13" si="10">IF(C7="住宅",K7*L7,0)</f>
        <v>0</v>
      </c>
      <c r="AQ7" s="52">
        <f t="shared" ref="AQ7:AQ13" si="11">ROUND($L$14*$N$14*S7/10000,0)</f>
        <v>0</v>
      </c>
      <c r="AR7" s="52">
        <f t="shared" ref="AR7:AR13" si="12">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3334</v>
      </c>
      <c r="D8" s="855">
        <f>SUMIF(项目基本情况!C$12:I$12,C8,项目基本情况!C$14:I$14)</f>
        <v>50</v>
      </c>
      <c r="E8" s="854">
        <f>IF(B8="","",SUMIF(项目基本情况!C$12:I$12,C8,项目基本情况!C$13:I$13))</f>
        <v>56178</v>
      </c>
      <c r="F8" s="64">
        <f>SUMIF(项目基本情况!C$12:I$12,C8,项目基本情况!C$15:I$15)</f>
        <v>30.81</v>
      </c>
      <c r="G8" s="65">
        <f t="shared" si="2"/>
        <v>0.83499999999999996</v>
      </c>
      <c r="H8" s="732">
        <v>4.4999999999999998E-2</v>
      </c>
      <c r="I8" s="732">
        <v>0.05</v>
      </c>
      <c r="J8" s="66">
        <v>6.5000000000000002E-2</v>
      </c>
      <c r="K8" s="1027">
        <f>SUMIF('数据-汇总表'!C$19:C$33,A8,'数据-汇总表'!E$19:E$33)</f>
        <v>10131.459999999992</v>
      </c>
      <c r="L8" s="733">
        <v>4500</v>
      </c>
      <c r="M8" s="67">
        <f>ROUND(K8*L8/10000,0)</f>
        <v>4559</v>
      </c>
      <c r="N8" s="731">
        <f>N6</f>
        <v>0.98</v>
      </c>
      <c r="O8" s="67" t="str">
        <f t="shared" si="3"/>
        <v>——</v>
      </c>
      <c r="P8" s="68" t="str">
        <f t="shared" si="4"/>
        <v>——</v>
      </c>
      <c r="Q8" s="734">
        <v>0.1</v>
      </c>
      <c r="R8" s="69">
        <f ca="1">SUMIF('数据-汇总表'!C$19:C$33,A8,'数据-汇总表'!R$19:R$27)</f>
        <v>941.99</v>
      </c>
      <c r="S8" s="51">
        <f>IF('数据-汇总表'!$I$17="按面积比例",SUMIF('数据-汇总表'!C$19:C$33,A8,'数据-汇总表'!K$19:K$33),SUMIF('数据-汇总表'!C$19:C$33,A8,'数据-汇总表'!N$19:N$33))</f>
        <v>0</v>
      </c>
      <c r="T8" s="1169">
        <f t="shared" si="5"/>
        <v>0</v>
      </c>
      <c r="U8" s="3426">
        <v>1500</v>
      </c>
      <c r="V8" s="735">
        <v>0.02</v>
      </c>
      <c r="W8" s="735">
        <v>0.05</v>
      </c>
      <c r="X8" s="1037"/>
      <c r="Y8" s="71">
        <f>Y6</f>
        <v>0.98</v>
      </c>
      <c r="Z8" s="72"/>
      <c r="AA8" s="66"/>
      <c r="AB8" s="66"/>
      <c r="AC8" s="1037"/>
      <c r="AD8" s="73"/>
      <c r="AE8" s="1038">
        <f t="shared" ca="1" si="6"/>
        <v>30.81</v>
      </c>
      <c r="AF8" s="1345"/>
      <c r="AG8" s="138">
        <f t="shared" si="7"/>
        <v>0</v>
      </c>
      <c r="AH8" s="3499">
        <v>110</v>
      </c>
      <c r="AI8" s="76">
        <v>12</v>
      </c>
      <c r="AJ8" s="77"/>
      <c r="AK8" s="736">
        <v>5.0000000000000001E-3</v>
      </c>
      <c r="AL8" s="736">
        <f t="shared" ref="AL8:AL9" si="13">AL6</f>
        <v>1E-3</v>
      </c>
      <c r="AM8" s="736">
        <v>0.01</v>
      </c>
      <c r="AN8" s="1712" t="s">
        <v>3458</v>
      </c>
      <c r="AO8" s="52">
        <f t="shared" ca="1" si="9"/>
        <v>2625</v>
      </c>
      <c r="AP8" s="1713">
        <f t="shared" si="10"/>
        <v>0</v>
      </c>
      <c r="AQ8" s="52">
        <f t="shared" si="11"/>
        <v>0</v>
      </c>
      <c r="AR8" s="52">
        <f t="shared" si="12"/>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t="str">
        <f>'数据-汇总表'!C22</f>
        <v>库房</v>
      </c>
      <c r="B9" s="1710" t="str">
        <f t="shared" si="1"/>
        <v>经营性</v>
      </c>
      <c r="C9" s="1711" t="s">
        <v>3335</v>
      </c>
      <c r="D9" s="855">
        <f>SUMIF(项目基本情况!C$12:I$12,C9,项目基本情况!C$14:I$14)</f>
        <v>50</v>
      </c>
      <c r="E9" s="854">
        <f>IF(B9="","",SUMIF(项目基本情况!C$12:I$12,C9,项目基本情况!C$13:I$13))</f>
        <v>56178</v>
      </c>
      <c r="F9" s="64">
        <f>SUMIF(项目基本情况!C$12:I$12,C9,项目基本情况!C$15:I$15)</f>
        <v>30.81</v>
      </c>
      <c r="G9" s="65">
        <f t="shared" si="2"/>
        <v>0.83499999999999996</v>
      </c>
      <c r="H9" s="732">
        <v>4.4999999999999998E-2</v>
      </c>
      <c r="I9" s="732">
        <v>0.05</v>
      </c>
      <c r="J9" s="66">
        <v>6.5000000000000002E-2</v>
      </c>
      <c r="K9" s="1027">
        <f>SUMIF('数据-汇总表'!C$19:C$33,A9,'数据-汇总表'!E$19:E$33)</f>
        <v>2854.05</v>
      </c>
      <c r="L9" s="733">
        <v>4500</v>
      </c>
      <c r="M9" s="67">
        <f t="shared" si="0"/>
        <v>1284</v>
      </c>
      <c r="N9" s="731">
        <f>N6</f>
        <v>0.98</v>
      </c>
      <c r="O9" s="67" t="str">
        <f t="shared" si="3"/>
        <v>——</v>
      </c>
      <c r="P9" s="68" t="str">
        <f t="shared" si="4"/>
        <v>——</v>
      </c>
      <c r="Q9" s="81">
        <v>0.1</v>
      </c>
      <c r="R9" s="69">
        <f ca="1">SUMIF('数据-汇总表'!C$19:C$33,A9,'数据-汇总表'!R$19:R$27)</f>
        <v>265.36</v>
      </c>
      <c r="S9" s="51">
        <f>IF('数据-汇总表'!$I$17="按面积比例",SUMIF('数据-汇总表'!C$19:C$33,A9,'数据-汇总表'!K$19:K$33),SUMIF('数据-汇总表'!C$19:C$33,A9,'数据-汇总表'!N$19:N$33))</f>
        <v>0</v>
      </c>
      <c r="T9" s="1169">
        <f t="shared" si="5"/>
        <v>0</v>
      </c>
      <c r="U9" s="3425">
        <v>3</v>
      </c>
      <c r="V9" s="70">
        <v>0.02</v>
      </c>
      <c r="W9" s="70">
        <v>0.05</v>
      </c>
      <c r="X9" s="1037"/>
      <c r="Y9" s="71">
        <f>Y6</f>
        <v>0.98</v>
      </c>
      <c r="Z9" s="72"/>
      <c r="AA9" s="66"/>
      <c r="AB9" s="66"/>
      <c r="AC9" s="1037"/>
      <c r="AD9" s="73"/>
      <c r="AE9" s="1038">
        <f t="shared" ca="1" si="6"/>
        <v>30.81</v>
      </c>
      <c r="AF9" s="1345"/>
      <c r="AG9" s="138">
        <f t="shared" si="7"/>
        <v>0</v>
      </c>
      <c r="AH9" s="74"/>
      <c r="AI9" s="76">
        <v>365</v>
      </c>
      <c r="AJ9" s="77"/>
      <c r="AK9" s="736">
        <v>5.0000000000000001E-3</v>
      </c>
      <c r="AL9" s="736">
        <f t="shared" si="13"/>
        <v>1E-3</v>
      </c>
      <c r="AM9" s="736">
        <v>0.01</v>
      </c>
      <c r="AN9" s="1712" t="s">
        <v>3460</v>
      </c>
      <c r="AO9" s="52">
        <f t="shared" ca="1" si="9"/>
        <v>4700</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0.82199999999999995</v>
      </c>
      <c r="H16" s="90">
        <f>ROUND(SUMPRODUCT(H6:H13,K6:K13)/SUMPRODUCT((H6:H13&gt;0)*(K6:K13)),3)</f>
        <v>5.0999999999999997E-2</v>
      </c>
      <c r="I16" s="91"/>
      <c r="J16" s="91"/>
      <c r="K16" s="92">
        <f>SUM(K6:K15)</f>
        <v>112144.48</v>
      </c>
      <c r="L16" s="93">
        <f>ROUND(M16*10000/SUM(K6:K14),0)</f>
        <v>6116</v>
      </c>
      <c r="M16" s="93">
        <f>SUM(M6:M14)</f>
        <v>68589</v>
      </c>
      <c r="N16" s="94">
        <f>ROUND(SUMPRODUCT(M6:M14,N6:N14)/M16,3)</f>
        <v>0.98</v>
      </c>
      <c r="O16" s="93">
        <f>SUM(O6:O14)</f>
        <v>0</v>
      </c>
      <c r="P16" s="93">
        <f>SUM(P6:P14)</f>
        <v>0</v>
      </c>
      <c r="Q16" s="95">
        <f>ROUND(SUMPRODUCT(Q6:Q13,K6:K13)/SUMPRODUCT((Q6:Q13&gt;0)*(K6:K13)),2)</f>
        <v>0.19</v>
      </c>
      <c r="R16" s="1031">
        <f ca="1">SUM(R6:R13)</f>
        <v>10426.789999999999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00" t="s">
        <v>3440</v>
      </c>
      <c r="N18" s="2668">
        <v>2023</v>
      </c>
      <c r="O18" s="2668"/>
      <c r="P18" s="2668"/>
      <c r="Q18" s="2668"/>
      <c r="R18" s="2668"/>
      <c r="S18" s="2668"/>
      <c r="T18" s="2668"/>
      <c r="U18" s="3500" t="s">
        <v>3449</v>
      </c>
      <c r="V18" s="3500" t="s">
        <v>3447</v>
      </c>
      <c r="W18" s="3500" t="s">
        <v>3451</v>
      </c>
      <c r="X18" s="3500" t="s">
        <v>3452</v>
      </c>
      <c r="Y18" s="3500" t="s">
        <v>3453</v>
      </c>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1209</v>
      </c>
      <c r="B19" s="103">
        <v>0</v>
      </c>
      <c r="C19" s="2796" t="s">
        <v>2302</v>
      </c>
      <c r="D19" s="2673"/>
      <c r="E19" s="2670"/>
      <c r="F19" s="2670"/>
      <c r="G19" s="2670"/>
      <c r="H19" s="2670"/>
      <c r="I19" s="2670"/>
      <c r="J19" s="2670"/>
      <c r="K19" s="2669"/>
      <c r="L19" s="2669"/>
      <c r="M19" s="2668"/>
      <c r="N19" s="2668"/>
      <c r="O19" s="2668"/>
      <c r="P19" s="2668"/>
      <c r="Q19" s="2668"/>
      <c r="R19" s="2668"/>
      <c r="S19" s="2668"/>
      <c r="T19" s="2668"/>
      <c r="U19" s="1678" t="s">
        <v>3450</v>
      </c>
      <c r="V19" s="1678">
        <f>抵押物清单!C14+抵押物清单!C15</f>
        <v>3895.81</v>
      </c>
      <c r="W19" s="2668">
        <v>0.65</v>
      </c>
      <c r="X19" s="2668">
        <f>ROUND($X$21*W19,1)</f>
        <v>9.8000000000000007</v>
      </c>
      <c r="Y19" s="2668">
        <f>V19*X19</f>
        <v>38178.938000000002</v>
      </c>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1210</v>
      </c>
      <c r="B20" s="104">
        <v>3</v>
      </c>
      <c r="C20" s="2797" t="s">
        <v>2300</v>
      </c>
      <c r="D20" s="2673"/>
      <c r="E20" s="2670"/>
      <c r="F20" s="2670"/>
      <c r="G20" s="2670"/>
      <c r="H20" s="2670"/>
      <c r="I20" s="2670"/>
      <c r="J20" s="2670"/>
      <c r="K20" s="2669"/>
      <c r="L20" s="2669"/>
      <c r="M20" s="2668"/>
      <c r="N20" s="2668"/>
      <c r="O20" s="2668"/>
      <c r="P20" s="2668"/>
      <c r="Q20" s="2668"/>
      <c r="R20" s="2668"/>
      <c r="S20" s="2668"/>
      <c r="T20" s="2668"/>
      <c r="U20" s="2668" t="s">
        <v>3441</v>
      </c>
      <c r="V20" s="2668">
        <f>抵押物清单!C12+抵押物清单!C13</f>
        <v>3225.25</v>
      </c>
      <c r="W20" s="2668">
        <v>0.75</v>
      </c>
      <c r="X20" s="2668">
        <f>ROUND($X$21*W20,1)</f>
        <v>11.3</v>
      </c>
      <c r="Y20" s="2668">
        <f t="shared" ref="Y20:Y24" si="14">V20*X20</f>
        <v>36445.325000000004</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1211</v>
      </c>
      <c r="B21" s="104">
        <v>3</v>
      </c>
      <c r="C21" s="2670"/>
      <c r="D21" s="2673"/>
      <c r="E21" s="2670"/>
      <c r="F21" s="2670"/>
      <c r="G21" s="2670"/>
      <c r="H21" s="2670"/>
      <c r="I21" s="3531"/>
      <c r="J21" s="3550" t="s">
        <v>3425</v>
      </c>
      <c r="K21" s="3551" t="s">
        <v>3426</v>
      </c>
      <c r="L21" s="3551" t="s">
        <v>3427</v>
      </c>
      <c r="M21" s="2668"/>
      <c r="N21" s="2668"/>
      <c r="O21" s="2668"/>
      <c r="P21" s="2668"/>
      <c r="Q21" s="2668"/>
      <c r="R21" s="2668"/>
      <c r="S21" s="2668"/>
      <c r="T21" s="2668"/>
      <c r="U21" s="2668" t="s">
        <v>3442</v>
      </c>
      <c r="V21" s="2668">
        <f>抵押物清单!C10+抵押物清单!C11</f>
        <v>1706.53</v>
      </c>
      <c r="W21" s="2668">
        <v>1</v>
      </c>
      <c r="X21" s="2668">
        <v>15</v>
      </c>
      <c r="Y21" s="2668">
        <f t="shared" si="14"/>
        <v>25597.95</v>
      </c>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1212</v>
      </c>
      <c r="B22" s="105">
        <f>B19+B20</f>
        <v>3</v>
      </c>
      <c r="C22" s="2670"/>
      <c r="D22" s="2673"/>
      <c r="E22" s="2670"/>
      <c r="F22" s="2670"/>
      <c r="G22" s="2670"/>
      <c r="H22" s="2670"/>
      <c r="I22" s="3552" t="s">
        <v>3428</v>
      </c>
      <c r="J22" s="3553"/>
      <c r="K22" s="3554">
        <f>K29</f>
        <v>6252.3908800504496</v>
      </c>
      <c r="L22" s="3553"/>
      <c r="M22" s="2668"/>
      <c r="N22" s="2668"/>
      <c r="O22" s="2668"/>
      <c r="P22" s="2668"/>
      <c r="Q22" s="2668"/>
      <c r="R22" s="2668"/>
      <c r="S22" s="2668"/>
      <c r="T22" s="2668"/>
      <c r="U22" s="2668" t="s">
        <v>3443</v>
      </c>
      <c r="V22" s="2668">
        <f>抵押物清单!C7+抵押物清单!C8+抵押物清单!C9</f>
        <v>13573.12</v>
      </c>
      <c r="W22" s="2668">
        <v>0.75</v>
      </c>
      <c r="X22" s="2668">
        <f>ROUND($X$21*W22,1)</f>
        <v>11.3</v>
      </c>
      <c r="Y22" s="2668">
        <f t="shared" si="14"/>
        <v>153376.25600000002</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1213</v>
      </c>
      <c r="B23" s="105">
        <f>B19+B21</f>
        <v>3</v>
      </c>
      <c r="C23" s="2670"/>
      <c r="D23" s="2673"/>
      <c r="E23" s="2670"/>
      <c r="F23" s="2670"/>
      <c r="G23" s="2670"/>
      <c r="H23" s="2670"/>
      <c r="I23" s="3555" t="s">
        <v>3429</v>
      </c>
      <c r="J23" s="3556">
        <f>J24+J25</f>
        <v>112144.48</v>
      </c>
      <c r="K23" s="3557">
        <f>L23/J23</f>
        <v>3217.9082733274076</v>
      </c>
      <c r="L23" s="3558">
        <f>L24+L25</f>
        <v>360870650</v>
      </c>
      <c r="M23" s="2668"/>
      <c r="N23" s="2668"/>
      <c r="O23" s="2668"/>
      <c r="P23" s="2668"/>
      <c r="Q23" s="2668"/>
      <c r="R23" s="2668"/>
      <c r="S23" s="2668"/>
      <c r="T23" s="2668"/>
      <c r="U23" s="2668" t="s">
        <v>3444</v>
      </c>
      <c r="V23" s="2668">
        <f>抵押物清单!C3+抵押物清单!C4+抵押物清单!C5+抵押物清单!C6</f>
        <v>11722.93</v>
      </c>
      <c r="W23" s="2668">
        <v>0.5</v>
      </c>
      <c r="X23" s="2668">
        <f t="shared" ref="X23:X24" si="15">ROUND($X$21*W23,1)</f>
        <v>7.5</v>
      </c>
      <c r="Y23" s="2668">
        <f t="shared" si="14"/>
        <v>87921.975000000006</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1214</v>
      </c>
      <c r="B24" s="106">
        <f>B20-B21</f>
        <v>0</v>
      </c>
      <c r="C24" s="2670"/>
      <c r="D24" s="2673"/>
      <c r="E24" s="2670"/>
      <c r="F24" s="2670"/>
      <c r="G24" s="2670"/>
      <c r="H24" s="2670"/>
      <c r="I24" s="3555" t="s">
        <v>3421</v>
      </c>
      <c r="J24" s="3498">
        <f>'数据-汇总表'!F31</f>
        <v>66617.25</v>
      </c>
      <c r="K24" s="3558">
        <v>2000</v>
      </c>
      <c r="L24" s="3558">
        <f>J24*K24</f>
        <v>133234500</v>
      </c>
      <c r="M24" s="2668"/>
      <c r="N24" s="2668"/>
      <c r="O24" s="2668"/>
      <c r="P24" s="2668"/>
      <c r="Q24" s="2668"/>
      <c r="R24" s="2668"/>
      <c r="S24" s="2668"/>
      <c r="T24" s="2668"/>
      <c r="U24" s="2668" t="s">
        <v>3448</v>
      </c>
      <c r="V24" s="1678">
        <f>抵押物清单!C2</f>
        <v>37.29</v>
      </c>
      <c r="W24" s="1678">
        <v>0.2</v>
      </c>
      <c r="X24" s="2668">
        <f t="shared" si="15"/>
        <v>3</v>
      </c>
      <c r="Y24" s="2668">
        <f t="shared" si="14"/>
        <v>111.87</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3555" t="s">
        <v>3423</v>
      </c>
      <c r="J25" s="3558">
        <f>'数据-汇总表'!G31</f>
        <v>45527.229999999996</v>
      </c>
      <c r="K25" s="3558">
        <v>5000</v>
      </c>
      <c r="L25" s="3558">
        <f>J25*K25</f>
        <v>227636149.99999997</v>
      </c>
      <c r="M25" s="2668"/>
      <c r="N25" s="2668"/>
      <c r="O25" s="2668"/>
      <c r="P25" s="2668"/>
      <c r="Q25" s="2668"/>
      <c r="R25" s="2668"/>
      <c r="S25" s="2668"/>
      <c r="T25" s="2668"/>
      <c r="U25" s="2668"/>
      <c r="V25" s="2668">
        <f>SUM(V19:V24)</f>
        <v>34160.93</v>
      </c>
      <c r="W25" s="2668"/>
      <c r="X25" s="2668">
        <f>ROUND(Y25/V25,2)</f>
        <v>10</v>
      </c>
      <c r="Y25" s="2668">
        <f>SUM(Y19:Y24)</f>
        <v>341632.31400000001</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1215</v>
      </c>
      <c r="B26" s="1723" t="s">
        <v>1216</v>
      </c>
      <c r="C26" s="2674" t="s">
        <v>1217</v>
      </c>
      <c r="D26" s="2673"/>
      <c r="E26" s="2670"/>
      <c r="F26" s="2670"/>
      <c r="G26" s="2670"/>
      <c r="H26" s="2670"/>
      <c r="I26" s="3555" t="s">
        <v>3430</v>
      </c>
      <c r="J26" s="3556">
        <f>J23</f>
        <v>112144.48</v>
      </c>
      <c r="K26" s="3558">
        <v>800</v>
      </c>
      <c r="L26" s="3558">
        <f>K26*J26</f>
        <v>89715584</v>
      </c>
      <c r="M26" s="2668"/>
      <c r="N26" s="2668"/>
      <c r="O26" s="2668"/>
      <c r="P26" s="2668"/>
      <c r="Q26" s="2668"/>
      <c r="R26" s="2668"/>
      <c r="S26" s="2668"/>
      <c r="T26" s="2668"/>
      <c r="U26" s="2668"/>
      <c r="V26" s="3500" t="s">
        <v>3447</v>
      </c>
      <c r="W26" s="3500" t="s">
        <v>3451</v>
      </c>
      <c r="X26" s="3500" t="s">
        <v>3452</v>
      </c>
      <c r="Y26" s="3500" t="s">
        <v>3453</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1218</v>
      </c>
      <c r="B27" s="107"/>
      <c r="C27" s="2798" t="s">
        <v>2304</v>
      </c>
      <c r="D27" s="2676"/>
      <c r="E27" s="2658"/>
      <c r="F27" s="2658"/>
      <c r="G27" s="2670"/>
      <c r="H27" s="2670"/>
      <c r="I27" s="3555" t="s">
        <v>3431</v>
      </c>
      <c r="J27" s="3556">
        <f>J23</f>
        <v>112144.48</v>
      </c>
      <c r="K27" s="3558">
        <v>2000</v>
      </c>
      <c r="L27" s="3558">
        <f>K27*J27</f>
        <v>224288960</v>
      </c>
      <c r="M27" s="2668"/>
      <c r="N27" s="2668"/>
      <c r="O27" s="2668"/>
      <c r="P27" s="2668"/>
      <c r="Q27" s="2668"/>
      <c r="R27" s="2668"/>
      <c r="S27" s="2668"/>
      <c r="T27" s="2668"/>
      <c r="U27" s="3500" t="s">
        <v>3445</v>
      </c>
      <c r="V27" s="2668">
        <f>'数据-汇总表'!F19</f>
        <v>57578.159999999996</v>
      </c>
      <c r="W27" s="2668">
        <v>1</v>
      </c>
      <c r="X27" s="2668">
        <v>13</v>
      </c>
      <c r="Y27" s="2668">
        <f>X27*V27</f>
        <v>748516.08</v>
      </c>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7"/>
      <c r="D28" s="2676"/>
      <c r="E28" s="2658"/>
      <c r="F28" s="2658"/>
      <c r="G28" s="2670"/>
      <c r="H28" s="2670"/>
      <c r="I28" s="3552" t="s">
        <v>3432</v>
      </c>
      <c r="J28" s="3558">
        <v>8765.31</v>
      </c>
      <c r="K28" s="3557">
        <v>3000</v>
      </c>
      <c r="L28" s="3558">
        <f>K28*J28</f>
        <v>26295930</v>
      </c>
      <c r="M28" s="2668"/>
      <c r="N28" s="2668"/>
      <c r="O28" s="2668"/>
      <c r="P28" s="2668"/>
      <c r="Q28" s="2668"/>
      <c r="R28" s="2668"/>
      <c r="S28" s="2668"/>
      <c r="T28" s="2668"/>
      <c r="U28" s="3500" t="s">
        <v>3446</v>
      </c>
      <c r="V28" s="2668">
        <f>'数据-汇总表'!G19</f>
        <v>7419.8799999999983</v>
      </c>
      <c r="W28" s="2668">
        <v>0.5</v>
      </c>
      <c r="X28" s="2668">
        <f>W28*X27</f>
        <v>6.5</v>
      </c>
      <c r="Y28" s="2668">
        <f>X28*V28</f>
        <v>48229.219999999987</v>
      </c>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成本法!C10</f>
        <v>2243</v>
      </c>
      <c r="C29" s="2799" t="s">
        <v>2291</v>
      </c>
      <c r="D29" s="2676"/>
      <c r="E29" s="2658"/>
      <c r="F29" s="2658"/>
      <c r="G29" s="2670"/>
      <c r="H29" s="2670"/>
      <c r="I29" s="3552" t="s">
        <v>3433</v>
      </c>
      <c r="J29" s="3559"/>
      <c r="K29" s="3554">
        <f>L29/J23</f>
        <v>6252.3908800504496</v>
      </c>
      <c r="L29" s="3554">
        <f>L28+L27+L26+L23</f>
        <v>701171124</v>
      </c>
      <c r="M29" s="2668"/>
      <c r="N29" s="2668"/>
      <c r="O29" s="2668"/>
      <c r="P29" s="2668"/>
      <c r="Q29" s="2668"/>
      <c r="R29" s="2668"/>
      <c r="S29" s="2668"/>
      <c r="T29" s="2668"/>
      <c r="U29" s="2668"/>
      <c r="V29" s="2668">
        <f>SUM(V27:V28)</f>
        <v>64998.039999999994</v>
      </c>
      <c r="W29" s="2668"/>
      <c r="X29" s="2668">
        <f>ROUND(Y29/V29,1)</f>
        <v>12.3</v>
      </c>
      <c r="Y29" s="2668">
        <f>SUM(Y27:Y28)</f>
        <v>796745.29999999993</v>
      </c>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0.05</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1228</v>
      </c>
      <c r="B37" s="115">
        <v>0.03</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1229</v>
      </c>
      <c r="B38" s="113">
        <v>0.03</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1075">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1234</v>
      </c>
      <c r="B44" s="119">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1235</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1236</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1237</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1238</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1239</v>
      </c>
      <c r="B49" s="117">
        <v>0.02</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1242</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1243</v>
      </c>
      <c r="B53" s="1735" t="s">
        <v>296</v>
      </c>
      <c r="C53" s="2658" t="s">
        <v>1244</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1247</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650" t="s">
        <v>2283</v>
      </c>
      <c r="B1" s="3651"/>
      <c r="C1" s="3651"/>
      <c r="D1" s="3651"/>
      <c r="E1" s="3651"/>
      <c r="F1" s="3651"/>
      <c r="G1" s="36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6"/>
      <c r="I2" s="796"/>
      <c r="J2" s="796"/>
      <c r="K2" s="796"/>
      <c r="L2" s="796"/>
      <c r="M2" s="796"/>
      <c r="N2" s="796"/>
      <c r="O2" s="796"/>
      <c r="P2" s="796"/>
      <c r="Q2" s="796"/>
      <c r="R2" s="796"/>
    </row>
    <row r="3" spans="1:29" ht="48">
      <c r="A3" s="2438" t="s">
        <v>2280</v>
      </c>
      <c r="B3" s="2460" t="s">
        <v>2249</v>
      </c>
      <c r="C3" s="2461" t="s">
        <v>2281</v>
      </c>
      <c r="D3" s="2462"/>
      <c r="E3" s="2439" t="s">
        <v>2280</v>
      </c>
      <c r="F3" s="2463" t="s">
        <v>2250</v>
      </c>
      <c r="G3" s="2464" t="s">
        <v>2282</v>
      </c>
      <c r="H3" s="796"/>
      <c r="I3" s="796"/>
      <c r="J3" s="796"/>
      <c r="K3" s="796"/>
      <c r="L3" s="796"/>
      <c r="M3" s="796"/>
      <c r="N3" s="796"/>
      <c r="O3" s="796"/>
      <c r="P3" s="796"/>
      <c r="Q3" s="796"/>
      <c r="R3" s="796"/>
    </row>
    <row r="4" spans="1:29" ht="36.75">
      <c r="A4" s="2439"/>
      <c r="B4" s="323" t="s">
        <v>2251</v>
      </c>
      <c r="C4" s="2465" t="s">
        <v>2252</v>
      </c>
      <c r="D4" s="2462"/>
      <c r="E4" s="2466"/>
      <c r="F4" s="1370" t="s">
        <v>2253</v>
      </c>
      <c r="G4" s="2467" t="s">
        <v>2254</v>
      </c>
      <c r="H4" s="796"/>
      <c r="I4" s="796"/>
      <c r="J4" s="796"/>
      <c r="K4" s="796"/>
      <c r="L4" s="796"/>
      <c r="M4" s="796"/>
      <c r="N4" s="796"/>
      <c r="O4" s="796"/>
      <c r="P4" s="796"/>
      <c r="Q4" s="796"/>
      <c r="R4" s="796"/>
    </row>
    <row r="5" spans="1:29" ht="36.75">
      <c r="A5" s="2439"/>
      <c r="B5" s="323" t="s">
        <v>2255</v>
      </c>
      <c r="C5" s="2465" t="s">
        <v>2256</v>
      </c>
      <c r="D5" s="2462"/>
      <c r="E5" s="2466"/>
      <c r="F5" s="323" t="s">
        <v>2257</v>
      </c>
      <c r="G5" s="2467" t="s">
        <v>2258</v>
      </c>
      <c r="H5" s="796"/>
      <c r="I5" s="796"/>
      <c r="J5" s="796"/>
      <c r="K5" s="796"/>
      <c r="L5" s="796"/>
      <c r="M5" s="796"/>
      <c r="N5" s="796"/>
      <c r="O5" s="796"/>
      <c r="P5" s="796"/>
      <c r="Q5" s="796"/>
      <c r="R5" s="796"/>
    </row>
    <row r="6" spans="1:29" ht="36">
      <c r="A6" s="2439"/>
      <c r="B6" s="323" t="s">
        <v>2259</v>
      </c>
      <c r="C6" s="2467" t="s">
        <v>2254</v>
      </c>
      <c r="D6" s="2462"/>
      <c r="E6" s="2466"/>
      <c r="F6" s="323" t="s">
        <v>2260</v>
      </c>
      <c r="G6" s="2467" t="s">
        <v>2261</v>
      </c>
      <c r="H6" s="796"/>
      <c r="I6" s="796"/>
      <c r="J6" s="796"/>
      <c r="K6" s="796"/>
      <c r="L6" s="796"/>
      <c r="M6" s="796"/>
      <c r="N6" s="796"/>
      <c r="O6" s="796"/>
      <c r="P6" s="796"/>
      <c r="Q6" s="796"/>
      <c r="R6" s="796"/>
    </row>
    <row r="7" spans="1:29" ht="24.75" thickBot="1">
      <c r="A7" s="2439"/>
      <c r="B7" s="323" t="s">
        <v>2257</v>
      </c>
      <c r="C7" s="2467" t="s">
        <v>2258</v>
      </c>
      <c r="D7" s="2468"/>
      <c r="E7" s="2469"/>
      <c r="F7" s="2470" t="s">
        <v>2262</v>
      </c>
      <c r="G7" s="2471" t="s">
        <v>2263</v>
      </c>
      <c r="H7" s="796"/>
      <c r="I7" s="796"/>
      <c r="J7" s="796"/>
      <c r="K7" s="796"/>
      <c r="L7" s="796"/>
      <c r="M7" s="796"/>
      <c r="N7" s="796"/>
      <c r="O7" s="796"/>
      <c r="P7" s="796"/>
      <c r="Q7" s="796"/>
      <c r="R7" s="796"/>
    </row>
    <row r="8" spans="1:29">
      <c r="A8" s="2439"/>
      <c r="B8" s="323" t="s">
        <v>2260</v>
      </c>
      <c r="C8" s="2467" t="s">
        <v>2261</v>
      </c>
      <c r="D8" s="2468"/>
      <c r="E8" s="2468"/>
      <c r="F8" s="2472"/>
      <c r="G8" s="2472"/>
      <c r="H8" s="796"/>
      <c r="I8" s="796"/>
      <c r="J8" s="796"/>
      <c r="K8" s="796"/>
      <c r="L8" s="796"/>
      <c r="M8" s="796"/>
      <c r="N8" s="796"/>
      <c r="O8" s="796"/>
      <c r="P8" s="796"/>
      <c r="Q8" s="796"/>
      <c r="R8" s="796"/>
    </row>
    <row r="9" spans="1:29" ht="24">
      <c r="A9" s="2439"/>
      <c r="B9" s="323" t="s">
        <v>2264</v>
      </c>
      <c r="C9" s="2465" t="s">
        <v>2265</v>
      </c>
      <c r="D9" s="2462"/>
      <c r="E9" s="2468"/>
      <c r="F9" s="2472"/>
      <c r="G9" s="2472"/>
      <c r="H9" s="796"/>
      <c r="I9" s="796"/>
      <c r="J9" s="796"/>
      <c r="K9" s="796"/>
      <c r="L9" s="796"/>
      <c r="M9" s="796"/>
      <c r="N9" s="796"/>
      <c r="O9" s="796"/>
      <c r="P9" s="796"/>
      <c r="Q9" s="796"/>
      <c r="R9" s="796"/>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3"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3" t="s">
        <v>2260</v>
      </c>
      <c r="G20" s="2500" t="str">
        <f>G6</f>
        <v>估价对象所在区域基础设施水平</v>
      </c>
    </row>
    <row r="21" spans="1:18" ht="25.5">
      <c r="A21" s="2443"/>
      <c r="B21" s="323" t="s">
        <v>2257</v>
      </c>
      <c r="C21" s="2500" t="str">
        <f>C7</f>
        <v>估价对象所在区域公共配套设施齐备情况</v>
      </c>
      <c r="D21" s="2462"/>
      <c r="E21" s="2444"/>
      <c r="F21" s="2499" t="s">
        <v>2275</v>
      </c>
      <c r="G21" s="2502"/>
    </row>
    <row r="22" spans="1:18" ht="13.5" customHeight="1">
      <c r="A22" s="2443"/>
      <c r="B22" s="323" t="s">
        <v>2260</v>
      </c>
      <c r="C22" s="2500" t="str">
        <f>C8</f>
        <v>估价对象所在区域基础设施水平</v>
      </c>
      <c r="D22" s="2462"/>
      <c r="E22" s="2444"/>
      <c r="F22" s="2499" t="s">
        <v>2266</v>
      </c>
      <c r="G22" s="2501"/>
    </row>
    <row r="23" spans="1:18" s="796" customFormat="1" ht="15"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6" customFormat="1" ht="15"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2" sqref="M32"/>
    </sheetView>
  </sheetViews>
  <sheetFormatPr defaultColWidth="9" defaultRowHeight="13.5"/>
  <cols>
    <col min="1" max="1" width="25" style="2510" customWidth="1"/>
    <col min="2" max="9" width="15.75" style="2510" customWidth="1"/>
    <col min="10" max="16384" width="9" style="2510"/>
  </cols>
  <sheetData>
    <row r="1" spans="1:11" ht="16.5">
      <c r="A1" s="2509" t="s">
        <v>664</v>
      </c>
      <c r="B1" s="2509">
        <f>SUM(B14:B23)</f>
        <v>112144.48</v>
      </c>
      <c r="C1" s="2683"/>
      <c r="D1" s="2683"/>
      <c r="E1" s="2683"/>
      <c r="F1" s="2683"/>
      <c r="G1" s="2684"/>
      <c r="H1" s="2685"/>
      <c r="I1" s="2685"/>
      <c r="J1" s="2685"/>
      <c r="K1" s="2685"/>
    </row>
    <row r="2" spans="1:11" ht="16.5">
      <c r="A2" s="2509" t="s">
        <v>652</v>
      </c>
      <c r="B2" s="2509">
        <f>SUM(C14:C23)</f>
        <v>10426.780000000001</v>
      </c>
      <c r="C2" s="2683"/>
      <c r="D2" s="2683"/>
      <c r="E2" s="2683"/>
      <c r="F2" s="2683"/>
      <c r="G2" s="2684"/>
      <c r="H2" s="2685"/>
      <c r="I2" s="2685"/>
      <c r="J2" s="2685"/>
      <c r="K2" s="2685"/>
    </row>
    <row r="3" spans="1:11" ht="16.5">
      <c r="A3" s="2509" t="s">
        <v>661</v>
      </c>
      <c r="B3" s="2511">
        <f>项目基本情况!D3</f>
        <v>44930</v>
      </c>
      <c r="C3" s="2683"/>
      <c r="D3" s="2683"/>
      <c r="E3" s="2683"/>
      <c r="F3" s="2683"/>
      <c r="G3" s="2684"/>
      <c r="H3" s="2685"/>
      <c r="I3" s="2685"/>
      <c r="J3" s="2685"/>
      <c r="K3" s="2685"/>
    </row>
    <row r="4" spans="1:11" ht="33">
      <c r="A4" s="2509" t="s">
        <v>660</v>
      </c>
      <c r="B4" s="2509" t="s">
        <v>659</v>
      </c>
      <c r="C4" s="2509" t="s">
        <v>658</v>
      </c>
      <c r="D4" s="2509" t="s">
        <v>657</v>
      </c>
      <c r="E4" s="2683"/>
      <c r="F4" s="2684"/>
      <c r="G4" s="2684"/>
      <c r="H4" s="2685"/>
      <c r="I4" s="2685"/>
      <c r="J4" s="2685"/>
      <c r="K4" s="2685"/>
    </row>
    <row r="5" spans="1:11" ht="16.5">
      <c r="A5" s="2509" t="s">
        <v>656</v>
      </c>
      <c r="B5" s="2509">
        <f ca="1">SUM(D14:D23)</f>
        <v>520309</v>
      </c>
      <c r="C5" s="2509">
        <f ca="1">IF(B5=D14,结果表!H102,ROUND(B5*10000/$B$1,0))</f>
        <v>46396</v>
      </c>
      <c r="D5" s="2509">
        <f ca="1">ROUND(B5*10000/$B$2,0)</f>
        <v>499012</v>
      </c>
      <c r="E5" s="2683"/>
      <c r="F5" s="2684"/>
      <c r="G5" s="2684"/>
      <c r="H5" s="2685"/>
      <c r="I5" s="2685"/>
      <c r="J5" s="2685"/>
      <c r="K5" s="2685"/>
    </row>
    <row r="6" spans="1:11" ht="16.5">
      <c r="A6" s="2509" t="s">
        <v>655</v>
      </c>
      <c r="B6" s="2509">
        <f ca="1">SUM(G14:G23)</f>
        <v>520309</v>
      </c>
      <c r="C6" s="2509">
        <f ca="1">IF(B6=G14,结果表!H108,ROUND(B6*10000/$B$1,0))</f>
        <v>46396</v>
      </c>
      <c r="D6" s="2509">
        <f ca="1">ROUND(B6*10000/$B$2,0)</f>
        <v>499012</v>
      </c>
      <c r="E6" s="2683"/>
      <c r="F6" s="2684"/>
      <c r="G6" s="2684"/>
      <c r="H6" s="2685"/>
      <c r="I6" s="2685"/>
      <c r="J6" s="2685"/>
      <c r="K6" s="2685"/>
    </row>
    <row r="7" spans="1:11" ht="16.5">
      <c r="A7" s="2509" t="s">
        <v>663</v>
      </c>
      <c r="B7" s="2509">
        <f>SUM(H14:H23)</f>
        <v>0</v>
      </c>
      <c r="C7" s="2509" t="str">
        <f>IF(B7=H14,结果表!H110,ROUND(B7*10000/$B$1,0))</f>
        <v>——</v>
      </c>
      <c r="D7" s="2509">
        <f>ROUND(B7*10000/$B$2,0)</f>
        <v>0</v>
      </c>
      <c r="E7" s="2683"/>
      <c r="F7" s="2684"/>
      <c r="G7" s="2684"/>
      <c r="H7" s="2685"/>
      <c r="I7" s="2685"/>
      <c r="J7" s="2685"/>
      <c r="K7" s="2685"/>
    </row>
    <row r="8" spans="1:11" ht="16.5">
      <c r="A8" s="2509" t="s">
        <v>586</v>
      </c>
      <c r="B8" s="2509">
        <f>SUM(I14:I23)</f>
        <v>0</v>
      </c>
      <c r="C8" s="2509">
        <f ca="1">IF(B8=I14,结果表!H112,ROUND(B8*10000/$B$1,0))</f>
        <v>39626</v>
      </c>
      <c r="D8" s="2509">
        <f>ROUND(B8*10000/$B$2,0)</f>
        <v>0</v>
      </c>
      <c r="E8" s="2683"/>
      <c r="F8" s="2684"/>
      <c r="G8" s="2684"/>
      <c r="H8" s="2685"/>
      <c r="I8" s="2685"/>
      <c r="J8" s="2685"/>
      <c r="K8" s="2685"/>
    </row>
    <row r="9" spans="1:11" ht="16.5">
      <c r="A9" s="2509" t="s">
        <v>654</v>
      </c>
      <c r="B9" s="2517"/>
      <c r="C9" s="2683"/>
      <c r="D9" s="2683"/>
      <c r="E9" s="2683"/>
      <c r="F9" s="2684"/>
      <c r="G9" s="2684"/>
      <c r="H9" s="2685"/>
      <c r="I9" s="2685"/>
      <c r="J9" s="2685"/>
      <c r="K9" s="2685"/>
    </row>
    <row r="10" spans="1:11" ht="16.5">
      <c r="A10" s="2509" t="s">
        <v>653</v>
      </c>
      <c r="B10" s="2509">
        <f>IF(E10="",0,ROUND(B1*(E10*365/G10)/10000,0))</f>
        <v>0</v>
      </c>
      <c r="C10" s="2509" t="s">
        <v>3357</v>
      </c>
      <c r="D10" s="2509" t="s">
        <v>3358</v>
      </c>
      <c r="E10" s="3438"/>
      <c r="F10" s="3442" t="s">
        <v>3359</v>
      </c>
      <c r="G10" s="3439"/>
      <c r="H10" s="2685"/>
      <c r="I10" s="2685"/>
      <c r="J10" s="2685"/>
      <c r="K10" s="2685"/>
    </row>
    <row r="11" spans="1:11" ht="16.5">
      <c r="A11" s="2509" t="s">
        <v>669</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668</v>
      </c>
      <c r="B13" s="2513" t="s">
        <v>665</v>
      </c>
      <c r="C13" s="2513" t="s">
        <v>667</v>
      </c>
      <c r="D13" s="2513" t="s">
        <v>666</v>
      </c>
      <c r="E13" s="2509" t="s">
        <v>658</v>
      </c>
      <c r="F13" s="2509" t="s">
        <v>657</v>
      </c>
      <c r="G13" s="2513" t="s">
        <v>651</v>
      </c>
      <c r="H13" s="2513" t="s">
        <v>662</v>
      </c>
      <c r="I13" s="2513" t="s">
        <v>650</v>
      </c>
      <c r="J13" s="2684"/>
      <c r="K13" s="2685"/>
    </row>
    <row r="14" spans="1:11" ht="16.5">
      <c r="A14" s="2514" t="s">
        <v>649</v>
      </c>
      <c r="B14" s="2515">
        <f>结果表!B118</f>
        <v>112144.48</v>
      </c>
      <c r="C14" s="2515">
        <f>结果表!C118</f>
        <v>10426.780000000001</v>
      </c>
      <c r="D14" s="2515">
        <f ca="1">结果表!H118</f>
        <v>520309</v>
      </c>
      <c r="E14" s="2515">
        <f ca="1">ROUND(D14*10000/B14,0)</f>
        <v>46396</v>
      </c>
      <c r="F14" s="2515">
        <f ca="1">ROUND(D14*10000/C14,0)</f>
        <v>499012</v>
      </c>
      <c r="G14" s="2515">
        <f ca="1">结果表!D122</f>
        <v>520309</v>
      </c>
      <c r="H14" s="2515"/>
      <c r="I14" s="2515"/>
      <c r="J14" s="2684"/>
      <c r="K14" s="2685"/>
    </row>
    <row r="15" spans="1:11" ht="16.5">
      <c r="A15" s="2514" t="s">
        <v>648</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647</v>
      </c>
      <c r="B16" s="2516"/>
      <c r="C16" s="2516"/>
      <c r="D16" s="2516"/>
      <c r="E16" s="2515" t="e">
        <f t="shared" si="0"/>
        <v>#DIV/0!</v>
      </c>
      <c r="F16" s="2515" t="e">
        <f t="shared" si="1"/>
        <v>#DIV/0!</v>
      </c>
      <c r="G16" s="1328"/>
      <c r="H16" s="1328"/>
      <c r="I16" s="2516"/>
      <c r="J16" s="2685"/>
      <c r="K16" s="2685"/>
    </row>
    <row r="17" spans="1:11" ht="16.5">
      <c r="A17" s="2514" t="s">
        <v>646</v>
      </c>
      <c r="B17" s="2516"/>
      <c r="C17" s="2516"/>
      <c r="D17" s="2516"/>
      <c r="E17" s="2515" t="e">
        <f t="shared" si="0"/>
        <v>#DIV/0!</v>
      </c>
      <c r="F17" s="2515" t="e">
        <f t="shared" si="1"/>
        <v>#DIV/0!</v>
      </c>
      <c r="G17" s="1328"/>
      <c r="H17" s="1328"/>
      <c r="I17" s="2516"/>
      <c r="J17" s="2685"/>
      <c r="K17" s="2685"/>
    </row>
    <row r="18" spans="1:11" ht="16.5">
      <c r="A18" s="2514" t="s">
        <v>645</v>
      </c>
      <c r="B18" s="2516"/>
      <c r="C18" s="2516"/>
      <c r="D18" s="2516"/>
      <c r="E18" s="2515" t="e">
        <f t="shared" si="0"/>
        <v>#DIV/0!</v>
      </c>
      <c r="F18" s="2515" t="e">
        <f t="shared" si="1"/>
        <v>#DIV/0!</v>
      </c>
      <c r="G18" s="2516"/>
      <c r="H18" s="2516"/>
      <c r="I18" s="2516"/>
      <c r="J18" s="2685"/>
      <c r="K18" s="2685"/>
    </row>
    <row r="19" spans="1:11" ht="16.5">
      <c r="A19" s="2514" t="s">
        <v>644</v>
      </c>
      <c r="B19" s="2516"/>
      <c r="C19" s="2516"/>
      <c r="D19" s="2516"/>
      <c r="E19" s="2515" t="e">
        <f t="shared" si="0"/>
        <v>#DIV/0!</v>
      </c>
      <c r="F19" s="2515" t="e">
        <f t="shared" si="1"/>
        <v>#DIV/0!</v>
      </c>
      <c r="G19" s="2516"/>
      <c r="H19" s="2516"/>
      <c r="I19" s="2516"/>
      <c r="J19" s="2685"/>
      <c r="K19" s="2685"/>
    </row>
    <row r="20" spans="1:11" ht="16.5">
      <c r="A20" s="2514" t="s">
        <v>643</v>
      </c>
      <c r="B20" s="2516"/>
      <c r="C20" s="2516"/>
      <c r="D20" s="2516"/>
      <c r="E20" s="2515" t="e">
        <f t="shared" si="0"/>
        <v>#DIV/0!</v>
      </c>
      <c r="F20" s="2515" t="e">
        <f t="shared" si="1"/>
        <v>#DIV/0!</v>
      </c>
      <c r="G20" s="2516"/>
      <c r="H20" s="2516"/>
      <c r="I20" s="2516"/>
      <c r="J20" s="2685"/>
      <c r="K20" s="2685"/>
    </row>
    <row r="21" spans="1:11" ht="16.5">
      <c r="A21" s="2514" t="s">
        <v>642</v>
      </c>
      <c r="B21" s="2516"/>
      <c r="C21" s="2516"/>
      <c r="D21" s="2516"/>
      <c r="E21" s="2515" t="e">
        <f t="shared" si="0"/>
        <v>#DIV/0!</v>
      </c>
      <c r="F21" s="2515" t="e">
        <f t="shared" si="1"/>
        <v>#DIV/0!</v>
      </c>
      <c r="G21" s="2516"/>
      <c r="H21" s="2516"/>
      <c r="I21" s="2516"/>
      <c r="J21" s="2685"/>
      <c r="K21" s="2685"/>
    </row>
    <row r="22" spans="1:11" ht="16.5">
      <c r="A22" s="2514" t="s">
        <v>641</v>
      </c>
      <c r="B22" s="2516"/>
      <c r="C22" s="2516"/>
      <c r="D22" s="2516"/>
      <c r="E22" s="2515" t="e">
        <f t="shared" si="0"/>
        <v>#DIV/0!</v>
      </c>
      <c r="F22" s="2515" t="e">
        <f t="shared" si="1"/>
        <v>#DIV/0!</v>
      </c>
      <c r="G22" s="2516"/>
      <c r="H22" s="2516"/>
      <c r="I22" s="2516"/>
      <c r="J22" s="2685"/>
      <c r="K22" s="2685"/>
    </row>
    <row r="23" spans="1:11" ht="16.5">
      <c r="A23" s="2514" t="s">
        <v>640</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370</v>
      </c>
      <c r="B36" s="839" t="s">
        <v>371</v>
      </c>
    </row>
    <row r="37" spans="1:9" ht="27.75" customHeight="1">
      <c r="A37" s="839"/>
      <c r="B37" s="3561" t="str">
        <f>项目基本情况!B1</f>
        <v>北京市海淀区魏公村路6号院1号楼房地产抵押价值预评估</v>
      </c>
      <c r="C37" s="3561"/>
      <c r="D37" s="3561"/>
      <c r="E37" s="3561"/>
      <c r="F37" s="3561"/>
      <c r="G37" s="3561"/>
      <c r="H37" s="3561"/>
      <c r="I37" s="3561"/>
    </row>
    <row r="38" spans="1:9">
      <c r="A38" s="841"/>
      <c r="B38" s="841"/>
    </row>
    <row r="39" spans="1:9">
      <c r="A39" s="839" t="s">
        <v>370</v>
      </c>
      <c r="B39" s="839" t="s">
        <v>372</v>
      </c>
    </row>
    <row r="40" spans="1:9">
      <c r="A40" s="839"/>
      <c r="B40" s="1471">
        <f>项目基本情况!B5</f>
        <v>0</v>
      </c>
    </row>
    <row r="41" spans="1:9">
      <c r="A41" s="839"/>
      <c r="B41" s="839"/>
    </row>
    <row r="42" spans="1:9">
      <c r="A42" s="839" t="s">
        <v>370</v>
      </c>
      <c r="B42" s="839" t="s">
        <v>373</v>
      </c>
    </row>
    <row r="43" spans="1:9">
      <c r="A43" s="839"/>
      <c r="B43" s="1471" t="s">
        <v>374</v>
      </c>
    </row>
    <row r="44" spans="1:9">
      <c r="A44" s="839"/>
      <c r="B44" s="839"/>
    </row>
    <row r="45" spans="1:9">
      <c r="A45" s="839" t="s">
        <v>370</v>
      </c>
      <c r="B45" s="839" t="s">
        <v>375</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370</v>
      </c>
      <c r="B48" s="839" t="s">
        <v>376</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Q125" sqref="Q125"/>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719" t="str">
        <f>项目基本情况!S2</f>
        <v>北京市海淀区魏公村路6号院1号楼房地产</v>
      </c>
      <c r="B2" s="3720"/>
      <c r="C2" s="3720"/>
      <c r="D2" s="3720"/>
      <c r="E2" s="3720"/>
      <c r="F2" s="3720"/>
      <c r="G2" s="3720"/>
      <c r="H2" s="3720"/>
      <c r="I2" s="3721"/>
    </row>
    <row r="3" spans="1:12" ht="12.75">
      <c r="A3" s="3723" t="s">
        <v>1262</v>
      </c>
      <c r="B3" s="3724"/>
      <c r="C3" s="3724"/>
      <c r="D3" s="3724"/>
      <c r="E3" s="3724"/>
      <c r="F3" s="3724"/>
      <c r="G3" s="3724"/>
      <c r="H3" s="3724"/>
      <c r="I3" s="3724"/>
    </row>
    <row r="4" spans="1:12" ht="14.25">
      <c r="A4" s="1751" t="s">
        <v>1263</v>
      </c>
      <c r="B4" s="1752" t="s">
        <v>1264</v>
      </c>
      <c r="C4" s="1753" t="s">
        <v>3488</v>
      </c>
      <c r="D4" s="1753" t="s">
        <v>3489</v>
      </c>
      <c r="E4" s="3728" t="s">
        <v>1265</v>
      </c>
      <c r="F4" s="3729"/>
      <c r="G4" s="3729"/>
      <c r="H4" s="3729"/>
      <c r="I4" s="37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7" t="s">
        <v>1266</v>
      </c>
      <c r="B5" s="3722">
        <v>25</v>
      </c>
      <c r="C5" s="3725"/>
      <c r="D5" s="3713"/>
      <c r="E5" s="131" t="s">
        <v>1267</v>
      </c>
      <c r="F5" s="1754"/>
      <c r="G5" s="1754"/>
      <c r="H5" s="1754"/>
      <c r="I5" s="1370"/>
    </row>
    <row r="6" spans="1:12" ht="12.75">
      <c r="A6" s="3667"/>
      <c r="B6" s="3722"/>
      <c r="C6" s="3727"/>
      <c r="D6" s="3713"/>
      <c r="E6" s="131" t="s">
        <v>1268</v>
      </c>
      <c r="F6" s="1754"/>
      <c r="G6" s="1754"/>
      <c r="H6" s="1754"/>
      <c r="I6" s="1370"/>
    </row>
    <row r="7" spans="1:12" ht="12.75">
      <c r="A7" s="3667"/>
      <c r="B7" s="3722"/>
      <c r="C7" s="3726"/>
      <c r="D7" s="3713"/>
      <c r="E7" s="131" t="s">
        <v>1269</v>
      </c>
      <c r="F7" s="1754"/>
      <c r="G7" s="1754"/>
      <c r="H7" s="1754"/>
      <c r="I7" s="1370"/>
    </row>
    <row r="8" spans="1:12" ht="12.75">
      <c r="A8" s="3667" t="s">
        <v>1270</v>
      </c>
      <c r="B8" s="3722">
        <v>15</v>
      </c>
      <c r="C8" s="3725"/>
      <c r="D8" s="3713"/>
      <c r="E8" s="131" t="s">
        <v>1271</v>
      </c>
      <c r="F8" s="1754"/>
      <c r="G8" s="1754"/>
      <c r="H8" s="1754"/>
      <c r="I8" s="1370"/>
    </row>
    <row r="9" spans="1:12" ht="12.75">
      <c r="A9" s="3667"/>
      <c r="B9" s="3722"/>
      <c r="C9" s="3726"/>
      <c r="D9" s="3713"/>
      <c r="E9" s="131" t="s">
        <v>1272</v>
      </c>
      <c r="F9" s="1754"/>
      <c r="G9" s="1754"/>
      <c r="H9" s="1754"/>
      <c r="I9" s="1370"/>
    </row>
    <row r="10" spans="1:12" ht="12.75">
      <c r="A10" s="3667" t="s">
        <v>1273</v>
      </c>
      <c r="B10" s="3722">
        <v>15</v>
      </c>
      <c r="C10" s="3725"/>
      <c r="D10" s="3713"/>
      <c r="E10" s="131" t="s">
        <v>1274</v>
      </c>
      <c r="F10" s="1754"/>
      <c r="G10" s="1754"/>
      <c r="H10" s="1754"/>
      <c r="I10" s="1370"/>
    </row>
    <row r="11" spans="1:12" ht="12.75">
      <c r="A11" s="3667"/>
      <c r="B11" s="3722"/>
      <c r="C11" s="3726"/>
      <c r="D11" s="3713"/>
      <c r="E11" s="131" t="s">
        <v>1275</v>
      </c>
      <c r="F11" s="1754"/>
      <c r="G11" s="1754"/>
      <c r="H11" s="1754"/>
      <c r="I11" s="1370"/>
    </row>
    <row r="12" spans="1:12" ht="12.75">
      <c r="A12" s="3667" t="s">
        <v>1276</v>
      </c>
      <c r="B12" s="3722">
        <v>15</v>
      </c>
      <c r="C12" s="3725"/>
      <c r="D12" s="3713"/>
      <c r="E12" s="131" t="s">
        <v>1277</v>
      </c>
      <c r="F12" s="1754"/>
      <c r="G12" s="1754"/>
      <c r="H12" s="1754"/>
      <c r="I12" s="1370"/>
    </row>
    <row r="13" spans="1:12" ht="12.75">
      <c r="A13" s="3667"/>
      <c r="B13" s="3722"/>
      <c r="C13" s="3726"/>
      <c r="D13" s="3713"/>
      <c r="E13" s="131" t="s">
        <v>1278</v>
      </c>
      <c r="F13" s="1754"/>
      <c r="G13" s="1754"/>
      <c r="H13" s="1754"/>
      <c r="I13" s="1370"/>
    </row>
    <row r="14" spans="1:12" ht="12.75">
      <c r="A14" s="3667" t="s">
        <v>1279</v>
      </c>
      <c r="B14" s="3722">
        <v>30</v>
      </c>
      <c r="C14" s="3725">
        <v>4</v>
      </c>
      <c r="D14" s="3713">
        <v>6</v>
      </c>
      <c r="E14" s="131" t="s">
        <v>1280</v>
      </c>
      <c r="F14" s="1754"/>
      <c r="G14" s="1754"/>
      <c r="H14" s="1754"/>
      <c r="I14" s="1370"/>
    </row>
    <row r="15" spans="1:12" ht="12.75">
      <c r="A15" s="3667"/>
      <c r="B15" s="3722"/>
      <c r="C15" s="3727"/>
      <c r="D15" s="3713"/>
      <c r="E15" s="131" t="s">
        <v>1281</v>
      </c>
      <c r="F15" s="1754"/>
      <c r="G15" s="1754"/>
      <c r="H15" s="1754"/>
      <c r="I15" s="1370"/>
    </row>
    <row r="16" spans="1:12" ht="12.75">
      <c r="A16" s="3667"/>
      <c r="B16" s="3722"/>
      <c r="C16" s="3726"/>
      <c r="D16" s="3713"/>
      <c r="E16" s="131" t="s">
        <v>1282</v>
      </c>
      <c r="F16" s="1754"/>
      <c r="G16" s="1754"/>
      <c r="H16" s="1754"/>
      <c r="I16" s="1370"/>
    </row>
    <row r="17" spans="1:36" ht="15">
      <c r="A17" s="1755" t="s">
        <v>1283</v>
      </c>
      <c r="B17" s="56"/>
      <c r="C17" s="132">
        <f>SUM(C5:C16)</f>
        <v>4</v>
      </c>
      <c r="D17" s="132">
        <f>SUM(D5:D16)</f>
        <v>6</v>
      </c>
      <c r="E17" s="129"/>
      <c r="F17" s="129"/>
      <c r="G17" s="129"/>
      <c r="H17" s="129"/>
      <c r="I17" s="129"/>
      <c r="K17" s="302"/>
      <c r="L17" s="302" t="s">
        <v>1284</v>
      </c>
      <c r="M17" s="302" t="s">
        <v>1285</v>
      </c>
    </row>
    <row r="18" spans="1:36" ht="31.9" customHeight="1" thickBot="1">
      <c r="A18" s="1756" t="s">
        <v>1286</v>
      </c>
      <c r="B18" s="1757"/>
      <c r="C18" s="133">
        <f>ROUND(C17/SUM(C17:D17),2)</f>
        <v>0.4</v>
      </c>
      <c r="D18" s="133">
        <f>1-C18</f>
        <v>0.6</v>
      </c>
      <c r="E18" s="3744" t="s">
        <v>2128</v>
      </c>
      <c r="F18" s="3745"/>
      <c r="G18" s="3745"/>
      <c r="H18" s="3745"/>
      <c r="I18" s="3745"/>
      <c r="K18" s="302" t="s">
        <v>1287</v>
      </c>
      <c r="L18" s="302">
        <f>IF(C1="",'数据-汇总表'!E3,SUMIF(项目类型,C1,'数据-汇总表'!E17:E26)+SUMIF(项目类型,C1,'数据-汇总表'!I17:I26))</f>
        <v>112144.48</v>
      </c>
      <c r="M18" s="302">
        <f>IF(C1="",'数据-汇总表'!E3,SUMIF(项目类型,C1,'数据-汇总表'!E17:E26))</f>
        <v>112144.48</v>
      </c>
    </row>
    <row r="19" spans="1:36" ht="15">
      <c r="A19" s="1758" t="s">
        <v>1288</v>
      </c>
      <c r="B19" s="1759" t="s">
        <v>1289</v>
      </c>
      <c r="C19" s="134">
        <f ca="1">SUMIF(INDIRECT("'"&amp;C4&amp;"'"&amp;"!A:A"),结果表!B19,INDIRECT("'"&amp;C4&amp;"'"&amp;"!B:B"))</f>
        <v>427427</v>
      </c>
      <c r="D19" s="135">
        <f ca="1">SUMIF(INDIRECT("'"&amp;D4&amp;"'"&amp;"!A:A"),结果表!B19,INDIRECT("'"&amp;D4&amp;"'"&amp;"!B:B"))</f>
        <v>582231</v>
      </c>
      <c r="E19" s="1758" t="s">
        <v>1290</v>
      </c>
      <c r="F19" s="1759" t="s">
        <v>1289</v>
      </c>
      <c r="G19" s="136">
        <f ca="1">ROUND(C19*$C$18+D19*$D$18,0)</f>
        <v>520309</v>
      </c>
      <c r="H19" s="1760" t="s">
        <v>1291</v>
      </c>
      <c r="I19" s="129"/>
      <c r="K19" s="302" t="s">
        <v>1292</v>
      </c>
      <c r="L19" s="302">
        <f>IF(C1="",'数据-汇总表'!D3,SUMIF(项目类型,C1,'数据-汇总表'!D17:D26)+SUMIF(项目类型,C1,'数据-汇总表'!H17:H27))</f>
        <v>10426.780000000001</v>
      </c>
      <c r="M19" s="302">
        <f>IF(C1="",'数据-汇总表'!D3,SUMIF(项目类型,C1,'数据-汇总表'!D17:D26))</f>
        <v>10426.780000000001</v>
      </c>
    </row>
    <row r="20" spans="1:36" ht="15">
      <c r="A20" s="1761"/>
      <c r="B20" s="1023" t="s">
        <v>1293</v>
      </c>
      <c r="C20" s="137">
        <f ca="1">SUMIF(INDIRECT("'"&amp;C4&amp;"'"&amp;"!A:A"),结果表!B20,INDIRECT("'"&amp;C4&amp;"'"&amp;"!B:B"))</f>
        <v>38114</v>
      </c>
      <c r="D20" s="138">
        <f ca="1">SUMIF(INDIRECT("'"&amp;D4&amp;"'"&amp;"!A:A"),结果表!B20,INDIRECT("'"&amp;D4&amp;"'"&amp;"!B:B"))</f>
        <v>51918</v>
      </c>
      <c r="E20" s="1761"/>
      <c r="F20" s="1023" t="s">
        <v>1293</v>
      </c>
      <c r="G20" s="139">
        <f ca="1">ROUND(C20*$C$18+D20*$D$18,0)</f>
        <v>46396</v>
      </c>
      <c r="H20" s="805" t="s">
        <v>1294</v>
      </c>
      <c r="I20" s="129"/>
    </row>
    <row r="21" spans="1:36" ht="15" customHeight="1" thickBot="1">
      <c r="A21" s="825"/>
      <c r="B21" s="1762" t="s">
        <v>1295</v>
      </c>
      <c r="C21" s="719">
        <f ca="1">ROUND(C19*10000/L19,0)</f>
        <v>409932</v>
      </c>
      <c r="D21" s="720">
        <f ca="1">ROUND(D19*10000/L19,0)</f>
        <v>558400</v>
      </c>
      <c r="E21" s="825"/>
      <c r="F21" s="1762" t="s">
        <v>1295</v>
      </c>
      <c r="G21" s="140">
        <f ca="1">ROUND(G19*10000/L19,0)</f>
        <v>499012</v>
      </c>
      <c r="H21" s="1763" t="s">
        <v>1294</v>
      </c>
      <c r="I21" s="129"/>
    </row>
    <row r="22" spans="1:36" ht="15" thickBot="1">
      <c r="A22" s="1685" t="s">
        <v>1296</v>
      </c>
      <c r="B22" s="1764"/>
      <c r="C22" s="1765"/>
      <c r="D22" s="721">
        <f ca="1">IF(C19&lt;D19,D19/C19-1,C19/D19-1)</f>
        <v>0.36217646522096181</v>
      </c>
      <c r="E22" s="129"/>
      <c r="F22" s="129"/>
      <c r="G22" s="129"/>
      <c r="H22" s="129"/>
      <c r="I22" s="129"/>
    </row>
    <row r="23" spans="1:36" ht="13.5" thickBot="1">
      <c r="A23" s="1744"/>
      <c r="B23" s="1744"/>
      <c r="C23" s="1744"/>
      <c r="D23" s="1744"/>
      <c r="E23" s="129"/>
      <c r="F23" s="129"/>
      <c r="G23" s="129"/>
      <c r="H23" s="129"/>
      <c r="I23" s="129"/>
    </row>
    <row r="24" spans="1:36" ht="14.25">
      <c r="A24" s="3737" t="s">
        <v>1297</v>
      </c>
      <c r="B24" s="1759" t="s">
        <v>1289</v>
      </c>
      <c r="C24" s="136">
        <f>IF(B30=0,0,D30)</f>
        <v>0</v>
      </c>
      <c r="D24" s="1766"/>
      <c r="E24" s="129"/>
      <c r="F24" s="129"/>
      <c r="G24" s="129"/>
      <c r="H24" s="129"/>
      <c r="I24" s="129"/>
    </row>
    <row r="25" spans="1:36" ht="14.25">
      <c r="A25" s="373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2129</v>
      </c>
      <c r="F30" s="129"/>
      <c r="G30" s="129"/>
      <c r="H30" s="129"/>
      <c r="I30" s="129"/>
    </row>
    <row r="31" spans="1:36" s="2306" customFormat="1" ht="26.45"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520309</v>
      </c>
      <c r="D32" s="1772" t="s">
        <v>3490</v>
      </c>
      <c r="E32" s="129"/>
      <c r="F32" s="129"/>
      <c r="G32" s="129"/>
      <c r="H32" s="129"/>
      <c r="I32" s="129"/>
    </row>
    <row r="33" spans="1:15" ht="15">
      <c r="A33" s="783" t="s">
        <v>1304</v>
      </c>
      <c r="B33" s="1773"/>
      <c r="C33" s="1774" t="s">
        <v>3491</v>
      </c>
      <c r="D33" s="1775" t="s">
        <v>3488</v>
      </c>
      <c r="E33" s="1776" t="s">
        <v>1305</v>
      </c>
      <c r="F33" s="1777" t="str">
        <f>IF(D32="楼面单价","取值（单价）","取值（总价）")</f>
        <v>取值（总价）</v>
      </c>
      <c r="G33" s="129"/>
      <c r="H33" s="129"/>
      <c r="I33" s="129"/>
    </row>
    <row r="34" spans="1:15" ht="15">
      <c r="A34" s="1778"/>
      <c r="B34" s="1779" t="s">
        <v>1306</v>
      </c>
      <c r="C34" s="148">
        <f ca="1">IF(C33="自定义",F34,C32-C35)</f>
        <v>393874</v>
      </c>
      <c r="D34" s="858">
        <f ca="1">IF(C33="自定义",ROUND(C34/C32,3),IF(C33="收益比率",SUMIF(INDIRECT("'"&amp;D33&amp;"'"&amp;"!b:b"),"土地收益比率",INDIRECT("'"&amp;D33&amp;"'"&amp;"!c:c")),SUMIF(INDIRECT("'"&amp;D33&amp;"'"&amp;"!b:b"),"土地成本比率",INDIRECT("'"&amp;D33&amp;"'"&amp;"!c:c"))))</f>
        <v>0.75700000000000001</v>
      </c>
      <c r="E34" s="1780" t="s">
        <v>1307</v>
      </c>
      <c r="F34" s="1327"/>
      <c r="G34" s="129"/>
      <c r="H34" s="129"/>
      <c r="I34" s="129"/>
    </row>
    <row r="35" spans="1:15" ht="15.75" thickBot="1">
      <c r="A35" s="1781"/>
      <c r="B35" s="1782" t="s">
        <v>1308</v>
      </c>
      <c r="C35" s="1167">
        <f ca="1">IF(C33="自定义",F35,ROUND(C32*D35,0))</f>
        <v>126435</v>
      </c>
      <c r="D35" s="1168">
        <f ca="1">IF(C33="自定义",ROUND(C35/C32,3),IF(C33="收益比率",SUMIF(INDIRECT("'"&amp;D33&amp;"'"&amp;"!b:b"),"建筑物收益比率",INDIRECT("'"&amp;D33&amp;"'"&amp;"!c:c")),SUMIF(INDIRECT("'"&amp;D33&amp;"'"&amp;"!b:b"),"建筑物成本比率",INDIRECT("'"&amp;D33&amp;"'"&amp;"!c:c"))))</f>
        <v>0.24299999999999999</v>
      </c>
      <c r="E35" s="1783" t="s">
        <v>1309</v>
      </c>
      <c r="F35" s="154"/>
      <c r="G35" s="129"/>
      <c r="H35" s="129"/>
      <c r="I35" s="129"/>
    </row>
    <row r="36" spans="1:15" ht="15.75" thickBot="1">
      <c r="A36" s="3714" t="s">
        <v>1310</v>
      </c>
      <c r="B36" s="1784" t="s">
        <v>1311</v>
      </c>
      <c r="C36" s="145"/>
      <c r="D36" s="1785"/>
      <c r="E36" s="1786"/>
      <c r="F36" s="1787"/>
      <c r="G36" s="129"/>
      <c r="H36" s="129"/>
      <c r="I36" s="129"/>
    </row>
    <row r="37" spans="1:15" ht="15.75" thickBot="1">
      <c r="A37" s="3715"/>
      <c r="B37" s="1671" t="s">
        <v>1312</v>
      </c>
      <c r="C37" s="147"/>
      <c r="D37" s="1136"/>
      <c r="E37" s="1136"/>
      <c r="F37" s="1787"/>
      <c r="G37" s="129"/>
      <c r="H37" s="129"/>
      <c r="I37" s="129"/>
    </row>
    <row r="38" spans="1:15" ht="15.75" thickBot="1">
      <c r="A38" s="3716"/>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34" t="s">
        <v>1324</v>
      </c>
      <c r="B45" s="3735"/>
      <c r="C45" s="3736"/>
      <c r="D45" s="155">
        <f ca="1">ROUND(H101*F45,0)</f>
        <v>520309</v>
      </c>
      <c r="E45" s="156" t="s">
        <v>1325</v>
      </c>
      <c r="F45" s="157">
        <v>1</v>
      </c>
      <c r="G45" s="158" t="s">
        <v>1326</v>
      </c>
      <c r="H45" s="129"/>
      <c r="I45" s="129"/>
      <c r="J45" s="3654" t="s">
        <v>1327</v>
      </c>
      <c r="K45" s="3654"/>
      <c r="L45" s="3654"/>
      <c r="M45" s="3654"/>
      <c r="N45" s="3654"/>
      <c r="O45" s="3654"/>
    </row>
    <row r="46" spans="1:15" ht="14.25" customHeight="1">
      <c r="A46" s="3731" t="s">
        <v>1328</v>
      </c>
      <c r="B46" s="3732"/>
      <c r="C46" s="3732"/>
      <c r="D46" s="3732"/>
      <c r="E46" s="3732"/>
      <c r="F46" s="3732"/>
      <c r="G46" s="3733"/>
      <c r="H46" s="1803"/>
      <c r="I46" s="159"/>
      <c r="J46" s="2520">
        <v>1</v>
      </c>
      <c r="K46" s="3655" t="s">
        <v>1329</v>
      </c>
      <c r="L46" s="3655"/>
      <c r="M46" s="3656"/>
      <c r="N46" s="3656"/>
      <c r="O46" s="3656"/>
    </row>
    <row r="47" spans="1:15" ht="12" customHeight="1">
      <c r="A47" s="160" t="s">
        <v>1330</v>
      </c>
      <c r="B47" s="161"/>
      <c r="C47" s="162"/>
      <c r="D47" s="1084" t="s">
        <v>1331</v>
      </c>
      <c r="E47" s="302" t="s">
        <v>1332</v>
      </c>
      <c r="F47" s="163" t="s">
        <v>1333</v>
      </c>
      <c r="G47" s="2543" t="s">
        <v>1334</v>
      </c>
      <c r="H47" s="2544"/>
      <c r="I47" s="159"/>
      <c r="J47" s="2520">
        <v>2</v>
      </c>
      <c r="K47" s="3655" t="s">
        <v>1335</v>
      </c>
      <c r="L47" s="3655"/>
      <c r="M47" s="3657">
        <f>'数据-取费表'!B2</f>
        <v>44930</v>
      </c>
      <c r="N47" s="3657"/>
      <c r="O47" s="3657"/>
    </row>
    <row r="48" spans="1:15" ht="25.5">
      <c r="A48" s="3717" t="s">
        <v>1336</v>
      </c>
      <c r="B48" s="3718"/>
      <c r="C48" s="3718"/>
      <c r="D48" s="2321">
        <f ca="1">IF(H48="情况1",0,IF(H48="情况2",D52,IF(H48="情况3",D53,IF(H48="情况4",D54))))</f>
        <v>27750</v>
      </c>
      <c r="E48" s="2331" t="str">
        <f>IF(H48="情况4","(销售额-原购置价)×税（费）率","销售额×税（费）率")</f>
        <v>销售额×税（费）率</v>
      </c>
      <c r="F48" s="2545">
        <f>IF(H48="情况1","免征",'数据-取费表'!B41)</f>
        <v>5.6000000000000001E-2</v>
      </c>
      <c r="G48" s="2546" t="s">
        <v>1337</v>
      </c>
      <c r="H48" s="2547" t="s">
        <v>3492</v>
      </c>
      <c r="I48" s="1803"/>
      <c r="J48" s="2520">
        <v>3</v>
      </c>
      <c r="K48" s="3655" t="s">
        <v>1338</v>
      </c>
      <c r="L48" s="3655"/>
      <c r="M48" s="3658">
        <f ca="1">H101</f>
        <v>520309</v>
      </c>
      <c r="N48" s="3658"/>
      <c r="O48" s="3658"/>
    </row>
    <row r="49" spans="1:35" ht="25.5" customHeight="1">
      <c r="A49" s="2330" t="s">
        <v>1339</v>
      </c>
      <c r="B49" s="3703" t="s">
        <v>1340</v>
      </c>
      <c r="C49" s="3703"/>
      <c r="D49" s="1587">
        <v>0</v>
      </c>
      <c r="E49" s="324" t="s">
        <v>1341</v>
      </c>
      <c r="F49" s="2421" t="s">
        <v>28</v>
      </c>
      <c r="G49" s="3686"/>
      <c r="H49" s="2307" t="s">
        <v>2131</v>
      </c>
      <c r="I49" s="2308"/>
      <c r="J49" s="2520">
        <v>4</v>
      </c>
      <c r="K49" s="3655" t="str">
        <f>IF(项目基本情况!E8="房地产抵押价值","房地产抵押价值","抵押担保权已注销时的房地产抵押价值")</f>
        <v>房地产抵押价值</v>
      </c>
      <c r="L49" s="3655"/>
      <c r="M49" s="3658">
        <f ca="1">IF(项目基本情况!E8="房地产抵押价值",H107,H109)</f>
        <v>520309</v>
      </c>
      <c r="N49" s="3658"/>
      <c r="O49" s="3658"/>
    </row>
    <row r="50" spans="1:35" ht="25.5" customHeight="1">
      <c r="A50" s="2548"/>
      <c r="B50" s="3703" t="s">
        <v>1342</v>
      </c>
      <c r="C50" s="3703"/>
      <c r="D50" s="2549"/>
      <c r="E50" s="332"/>
      <c r="F50" s="2421"/>
      <c r="G50" s="3687"/>
      <c r="H50" s="2309" t="s">
        <v>2132</v>
      </c>
      <c r="I50" s="2308"/>
      <c r="J50" s="3654" t="s">
        <v>1343</v>
      </c>
      <c r="K50" s="3654"/>
      <c r="L50" s="3654"/>
      <c r="M50" s="3654"/>
      <c r="N50" s="3654"/>
      <c r="O50" s="3654"/>
    </row>
    <row r="51" spans="1:35" ht="20.45" customHeight="1">
      <c r="A51" s="2550"/>
      <c r="B51" s="3703" t="s">
        <v>1344</v>
      </c>
      <c r="C51" s="3703"/>
      <c r="D51" s="1084"/>
      <c r="E51" s="327"/>
      <c r="F51" s="2421"/>
      <c r="G51" s="3688"/>
      <c r="H51" s="2309" t="s">
        <v>2133</v>
      </c>
      <c r="I51" s="2308"/>
      <c r="J51" s="2521" t="s">
        <v>1345</v>
      </c>
      <c r="K51" s="3655" t="s">
        <v>1346</v>
      </c>
      <c r="L51" s="3655"/>
      <c r="M51" s="2521" t="s">
        <v>1347</v>
      </c>
      <c r="N51" s="2521" t="s">
        <v>1348</v>
      </c>
      <c r="O51" s="2521" t="s">
        <v>1349</v>
      </c>
    </row>
    <row r="52" spans="1:35" ht="24" customHeight="1">
      <c r="A52" s="2332" t="s">
        <v>1350</v>
      </c>
      <c r="B52" s="3703" t="s">
        <v>1351</v>
      </c>
      <c r="C52" s="3703"/>
      <c r="D52" s="1084">
        <f ca="1">ROUND(D45*'数据-取费表'!B41/(1+'数据-取费表'!C42),0)</f>
        <v>27750</v>
      </c>
      <c r="E52" s="2331" t="s">
        <v>1352</v>
      </c>
      <c r="F52" s="2551">
        <f>'数据-取费表'!B41</f>
        <v>5.6000000000000001E-2</v>
      </c>
      <c r="G52" s="2552"/>
      <c r="H52" s="2541"/>
      <c r="I52" s="1804"/>
      <c r="J52" s="2520">
        <v>1</v>
      </c>
      <c r="K52" s="3680" t="s">
        <v>1353</v>
      </c>
      <c r="L52" s="3680"/>
      <c r="M52" s="2522">
        <f ca="1">D48</f>
        <v>27750</v>
      </c>
      <c r="N52" s="2520" t="str">
        <f>E48</f>
        <v>销售额×税（费）率</v>
      </c>
      <c r="O52" s="2523">
        <f>F48</f>
        <v>5.6000000000000001E-2</v>
      </c>
    </row>
    <row r="53" spans="1:35" ht="12" customHeight="1">
      <c r="A53" s="2332" t="s">
        <v>1354</v>
      </c>
      <c r="B53" s="3704" t="s">
        <v>2288</v>
      </c>
      <c r="C53" s="3705"/>
      <c r="D53" s="1084">
        <f ca="1">ROUND(D45*'数据-取费表'!B41/(1+'数据-取费表'!C42),0)</f>
        <v>27750</v>
      </c>
      <c r="E53" s="2331" t="s">
        <v>1352</v>
      </c>
      <c r="F53" s="2551">
        <f>'数据-取费表'!B41</f>
        <v>5.6000000000000001E-2</v>
      </c>
      <c r="G53" s="2552"/>
      <c r="H53" s="2541"/>
      <c r="I53" s="1804"/>
      <c r="J53" s="2520">
        <v>2</v>
      </c>
      <c r="K53" s="3680" t="s">
        <v>1355</v>
      </c>
      <c r="L53" s="3680"/>
      <c r="M53" s="2522">
        <f t="shared" ref="M53:O54" ca="1" si="0">D55</f>
        <v>10406</v>
      </c>
      <c r="N53" s="2520" t="str">
        <f t="shared" si="0"/>
        <v>销售额×税（费）率</v>
      </c>
      <c r="O53" s="2523">
        <f t="shared" si="0"/>
        <v>0.02</v>
      </c>
    </row>
    <row r="54" spans="1:35" ht="12" customHeight="1">
      <c r="A54" s="2332" t="s">
        <v>1356</v>
      </c>
      <c r="B54" s="3704" t="s">
        <v>2289</v>
      </c>
      <c r="C54" s="3705"/>
      <c r="D54" s="1084">
        <f ca="1">C68</f>
        <v>27750</v>
      </c>
      <c r="E54" s="327" t="s">
        <v>1357</v>
      </c>
      <c r="F54" s="2551">
        <f>'数据-取费表'!B41</f>
        <v>5.6000000000000001E-2</v>
      </c>
      <c r="G54" s="2552"/>
      <c r="H54" s="2553"/>
      <c r="I54" s="1804"/>
      <c r="J54" s="2520">
        <v>3</v>
      </c>
      <c r="K54" s="3680" t="s">
        <v>1358</v>
      </c>
      <c r="L54" s="3680"/>
      <c r="M54" s="2522">
        <f t="shared" ca="1" si="0"/>
        <v>37772</v>
      </c>
      <c r="N54" s="2520" t="str">
        <f t="shared" si="0"/>
        <v>增值额×税（费）率</v>
      </c>
      <c r="O54" s="2524" t="str">
        <f t="shared" si="0"/>
        <v>——</v>
      </c>
    </row>
    <row r="55" spans="1:35" ht="24" customHeight="1">
      <c r="A55" s="3740" t="s">
        <v>1359</v>
      </c>
      <c r="B55" s="3718"/>
      <c r="C55" s="3718"/>
      <c r="D55" s="2321">
        <f ca="1">IF(H55="个人住宅",0,ROUND(D45*I55,0))</f>
        <v>10406</v>
      </c>
      <c r="E55" s="2331" t="s">
        <v>1360</v>
      </c>
      <c r="F55" s="2551">
        <f>IF(H55="正常",I55,"免征")</f>
        <v>0.02</v>
      </c>
      <c r="G55" s="2552"/>
      <c r="H55" s="2547" t="s">
        <v>3493</v>
      </c>
      <c r="I55" s="165">
        <f>'数据-取费表'!B49</f>
        <v>0.02</v>
      </c>
      <c r="J55" s="2520" t="str">
        <f>IF(H59="非个人房产","",4)</f>
        <v/>
      </c>
      <c r="K55" s="3680" t="str">
        <f>IF(H59="非个人房产","——","个人所得税")</f>
        <v>——</v>
      </c>
      <c r="L55" s="3680"/>
      <c r="M55" s="2525" t="str">
        <f>D59</f>
        <v>——</v>
      </c>
      <c r="N55" s="2037" t="str">
        <f>E59</f>
        <v>——</v>
      </c>
      <c r="O55" s="2526" t="str">
        <f>F59</f>
        <v>——</v>
      </c>
    </row>
    <row r="56" spans="1:35" ht="24.75">
      <c r="A56" s="3740" t="s">
        <v>1361</v>
      </c>
      <c r="B56" s="3718"/>
      <c r="C56" s="3718"/>
      <c r="D56" s="2321">
        <f ca="1">IF(H56="个人住宅",D57,D58)</f>
        <v>37772</v>
      </c>
      <c r="E56" s="2331" t="s">
        <v>1362</v>
      </c>
      <c r="F56" s="2551" t="str">
        <f>IF(H56="正常",F58,"免征")</f>
        <v>——</v>
      </c>
      <c r="G56" s="2554" t="s">
        <v>1363</v>
      </c>
      <c r="H56" s="2555" t="s">
        <v>3493</v>
      </c>
      <c r="I56" s="1805"/>
      <c r="J56" s="2520" t="str">
        <f>IF(项目基本情况!K6="上海银行",IF(J55="",4,J55+1),"")</f>
        <v/>
      </c>
      <c r="K56" s="3661" t="str">
        <f>IF(项目基本情况!K6="上海银行","其他处置费用","")</f>
        <v/>
      </c>
      <c r="L56" s="3662"/>
      <c r="M56" s="2522" t="str">
        <f>IF(项目基本情况!K6="上海银行",M69,"")</f>
        <v/>
      </c>
      <c r="N56" s="3661" t="str">
        <f>IF(项目基本情况!K6="上海银行","包含处置中涉及的律师、诉讼、拍卖、评估等费用","")</f>
        <v/>
      </c>
      <c r="O56" s="3664"/>
    </row>
    <row r="57" spans="1:35" ht="12.75">
      <c r="A57" s="2332" t="s">
        <v>1339</v>
      </c>
      <c r="B57" s="3704" t="s">
        <v>1364</v>
      </c>
      <c r="C57" s="3705"/>
      <c r="D57" s="1587">
        <v>0</v>
      </c>
      <c r="E57" s="324" t="s">
        <v>1341</v>
      </c>
      <c r="F57" s="302"/>
      <c r="G57" s="2552"/>
      <c r="H57" s="2556"/>
      <c r="I57" s="1805"/>
      <c r="J57" s="3680">
        <f>IF(AND(J55="",J56=""),4,IF(项目基本情况!K6="上海银行",结果表!J56+1,结果表!J55+1))</f>
        <v>4</v>
      </c>
      <c r="K57" s="3680" t="s">
        <v>1365</v>
      </c>
      <c r="L57" s="2527" t="s">
        <v>1366</v>
      </c>
      <c r="M57" s="2528"/>
      <c r="N57" s="2529">
        <f ca="1">SUMIF(M52:M56,"&lt;9e307")</f>
        <v>75928</v>
      </c>
      <c r="O57" s="2530"/>
      <c r="P57" s="2687">
        <f ca="1">N57/M49</f>
        <v>0.14592866930996773</v>
      </c>
    </row>
    <row r="58" spans="1:35" ht="24.75">
      <c r="A58" s="2332" t="s">
        <v>1350</v>
      </c>
      <c r="B58" s="3704" t="s">
        <v>1367</v>
      </c>
      <c r="C58" s="3703"/>
      <c r="D58" s="2321">
        <f ca="1">IF(H58="转让取得",C81,C97)</f>
        <v>37772</v>
      </c>
      <c r="E58" s="2331" t="s">
        <v>1362</v>
      </c>
      <c r="F58" s="302" t="s">
        <v>28</v>
      </c>
      <c r="G58" s="2552"/>
      <c r="H58" s="2555" t="s">
        <v>3494</v>
      </c>
      <c r="I58" s="1805"/>
      <c r="J58" s="3680"/>
      <c r="K58" s="3680"/>
      <c r="L58" s="2527" t="s">
        <v>1368</v>
      </c>
      <c r="M58" s="2531"/>
      <c r="N58" s="2532" t="str">
        <f ca="1">NUMBERSTRING(INT(N57*10000),2)&amp;"元整"</f>
        <v>柒亿伍仟玖佰贰拾捌万元整</v>
      </c>
      <c r="O58" s="2533"/>
    </row>
    <row r="59" spans="1:35" ht="24.75" thickBot="1">
      <c r="A59" s="3684" t="s">
        <v>1369</v>
      </c>
      <c r="B59" s="3685"/>
      <c r="C59" s="3685"/>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1363</v>
      </c>
      <c r="H59" s="2311" t="s">
        <v>3495</v>
      </c>
      <c r="I59" s="2310" t="s">
        <v>2134</v>
      </c>
      <c r="J59" s="3682">
        <f>J57+1</f>
        <v>5</v>
      </c>
      <c r="K59" s="3680" t="s">
        <v>1370</v>
      </c>
      <c r="L59" s="2520" t="s">
        <v>1366</v>
      </c>
      <c r="M59" s="2534"/>
      <c r="N59" s="2535">
        <f ca="1">M49-N57</f>
        <v>444381</v>
      </c>
      <c r="O59" s="2536"/>
    </row>
    <row r="60" spans="1:35" ht="12" customHeight="1">
      <c r="A60" s="1806"/>
      <c r="B60" s="1744"/>
      <c r="C60" s="1744"/>
      <c r="D60" s="1744"/>
      <c r="E60" s="1575"/>
      <c r="F60" s="1805"/>
      <c r="G60" s="1805"/>
      <c r="H60" s="1807"/>
      <c r="I60" s="129"/>
      <c r="J60" s="3683"/>
      <c r="K60" s="3680"/>
      <c r="L60" s="2527" t="s">
        <v>1368</v>
      </c>
      <c r="M60" s="2531"/>
      <c r="N60" s="2532" t="str">
        <f ca="1">NUMBERSTRING(INT(N59*10000),2)&amp;"元整"</f>
        <v>肆拾肆亿肆仟叁佰捌拾壹万元整</v>
      </c>
      <c r="O60" s="2533"/>
    </row>
    <row r="61" spans="1:35" ht="13.5" thickBot="1">
      <c r="A61" s="3739" t="s">
        <v>1371</v>
      </c>
      <c r="B61" s="3739"/>
      <c r="C61" s="3739"/>
      <c r="D61" s="3739"/>
      <c r="E61" s="3739"/>
      <c r="F61" s="1805"/>
      <c r="G61" s="1805"/>
      <c r="H61" s="1807"/>
      <c r="I61" s="129"/>
      <c r="J61" s="2520">
        <f>J59+1</f>
        <v>6</v>
      </c>
      <c r="K61" s="3680" t="s">
        <v>1372</v>
      </c>
      <c r="L61" s="3680"/>
      <c r="M61" s="2537"/>
      <c r="N61" s="2538">
        <f ca="1">ROUND(N59*10000/'数据-汇总表'!E3,0)</f>
        <v>39626</v>
      </c>
      <c r="O61" s="2539"/>
    </row>
    <row r="62" spans="1:35" ht="12.75">
      <c r="A62" s="3699" t="s">
        <v>1373</v>
      </c>
      <c r="B62" s="3700"/>
      <c r="C62" s="2018"/>
      <c r="D62" s="2018" t="s">
        <v>1374</v>
      </c>
      <c r="E62" s="166" t="s">
        <v>1375</v>
      </c>
      <c r="F62" s="1805"/>
      <c r="G62" s="1805"/>
      <c r="H62" s="1807"/>
      <c r="I62" s="129"/>
    </row>
    <row r="63" spans="1:35" ht="12.75">
      <c r="A63" s="173" t="s">
        <v>329</v>
      </c>
      <c r="B63" s="167" t="s">
        <v>1376</v>
      </c>
      <c r="C63" s="2561">
        <f ca="1">ROUND((C64+C65)/(1+'数据-取费表'!C42),0)</f>
        <v>495532</v>
      </c>
      <c r="D63" s="167"/>
      <c r="E63" s="168"/>
      <c r="F63" s="1805"/>
      <c r="G63" s="1805"/>
      <c r="H63" s="1807"/>
      <c r="I63" s="129"/>
      <c r="J63" s="3663" t="s">
        <v>1377</v>
      </c>
      <c r="K63" s="1329" t="s">
        <v>1378</v>
      </c>
      <c r="L63" s="1329">
        <f ca="1">IF(M49&gt;10000,M49*0.5%,IF(AND(M49&gt;1000,M49&lt;=10000),M49*1%,IF(AND(M49&gt;100,M49&lt;=1000),M49*3%,IF(AND(M49&gt;10,M49&lt;=100),M49*5%,M49*8%))))</f>
        <v>2601.5450000000001</v>
      </c>
      <c r="M63" s="302">
        <f ca="1">ROUND(L63,1)</f>
        <v>2601.5</v>
      </c>
      <c r="N63" s="2540"/>
      <c r="Z63" s="1749"/>
      <c r="AI63" s="1750"/>
    </row>
    <row r="64" spans="1:35" ht="14.25" customHeight="1">
      <c r="A64" s="169" t="s">
        <v>324</v>
      </c>
      <c r="B64" s="170" t="s">
        <v>1379</v>
      </c>
      <c r="C64" s="2562">
        <f ca="1">D45</f>
        <v>520309</v>
      </c>
      <c r="D64" s="170" t="s">
        <v>26</v>
      </c>
      <c r="E64" s="172"/>
      <c r="F64" s="1805"/>
      <c r="G64" s="1805"/>
      <c r="H64" s="1807"/>
      <c r="I64" s="129"/>
      <c r="J64" s="3663"/>
      <c r="K64" s="1329" t="s">
        <v>1380</v>
      </c>
      <c r="L64" s="1329">
        <f ca="1">IF(M49&gt;2000,M49*0.5%,IF(AND(M49&gt;1000,M49&lt;=2000),M49*0.6%,IF(AND(M49&gt;500,M49&lt;=1000),M49*0.7%,IF(AND(M49&gt;200,M49&lt;=500),M49*0.8%,IF(AND(M49&gt;100,M49&lt;=200),M49*0.9%,IF(AND(M49&gt;50,M49&lt;=100),M49*1%,IF(AND(M49&gt;20,M49&lt;=50),M49*1.5%,IF(AND(M49&gt;10,M49&lt;=20),M49*2%,IF(AND(M49&gt;1,M49&lt;=10),M49*2.5%)))))))))</f>
        <v>2601.5450000000001</v>
      </c>
      <c r="M64" s="302">
        <f t="shared" ref="M64:M65" ca="1" si="1">ROUND(L64,1)</f>
        <v>2601.5</v>
      </c>
      <c r="N64" s="2541" t="s">
        <v>1381</v>
      </c>
      <c r="Z64" s="1749"/>
      <c r="AI64" s="1750"/>
    </row>
    <row r="65" spans="1:35" ht="14.25" customHeight="1">
      <c r="A65" s="169" t="s">
        <v>325</v>
      </c>
      <c r="B65" s="170" t="s">
        <v>1382</v>
      </c>
      <c r="C65" s="2563"/>
      <c r="D65" s="170"/>
      <c r="E65" s="172"/>
      <c r="F65" s="1805"/>
      <c r="G65" s="1805"/>
      <c r="H65" s="1807"/>
      <c r="I65" s="129"/>
      <c r="J65" s="3663"/>
      <c r="K65" s="1329" t="s">
        <v>1383</v>
      </c>
      <c r="L65" s="1329">
        <f ca="1">IF(M49&gt;1000,M49*0.1%,IF(AND(M49&gt;500,M49&lt;=1000),M49*0.5%,IF(AND(M49&gt;50,M49&lt;=500),M49*1%,IF(AND(M49&gt;1,M49&lt;=50),M49*1.5%))))</f>
        <v>520.30899999999997</v>
      </c>
      <c r="M65" s="302">
        <f t="shared" ca="1" si="1"/>
        <v>520.29999999999995</v>
      </c>
      <c r="N65" s="2541" t="s">
        <v>1381</v>
      </c>
      <c r="Z65" s="1749"/>
      <c r="AI65" s="1750"/>
    </row>
    <row r="66" spans="1:35" ht="14.25" customHeight="1">
      <c r="A66" s="173" t="s">
        <v>326</v>
      </c>
      <c r="B66" s="174" t="s">
        <v>1384</v>
      </c>
      <c r="C66" s="2564"/>
      <c r="D66" s="174" t="s">
        <v>26</v>
      </c>
      <c r="E66" s="1335" t="s">
        <v>670</v>
      </c>
      <c r="F66" s="1805"/>
      <c r="G66" s="1805"/>
      <c r="H66" s="1807"/>
      <c r="I66" s="129"/>
      <c r="J66" s="3663"/>
      <c r="K66" s="1329" t="s">
        <v>1385</v>
      </c>
      <c r="L66" s="1329">
        <f ca="1">M49*0.5%</f>
        <v>2601.5450000000001</v>
      </c>
      <c r="M66" s="302">
        <f ca="1">IF(L66&gt;0.5,0.5,ROUND(L66,0))</f>
        <v>0.5</v>
      </c>
      <c r="N66" s="2541" t="s">
        <v>1386</v>
      </c>
      <c r="Z66" s="1749"/>
      <c r="AI66" s="1750"/>
    </row>
    <row r="67" spans="1:35" ht="14.25" customHeight="1">
      <c r="A67" s="173" t="s">
        <v>327</v>
      </c>
      <c r="B67" s="174" t="s">
        <v>1387</v>
      </c>
      <c r="C67" s="2565">
        <f ca="1">C63-C66</f>
        <v>495532</v>
      </c>
      <c r="D67" s="170" t="s">
        <v>26</v>
      </c>
      <c r="E67" s="172"/>
      <c r="F67" s="1805"/>
      <c r="G67" s="1805"/>
      <c r="H67" s="1807"/>
      <c r="I67" s="129"/>
      <c r="J67" s="3663"/>
      <c r="K67" s="1329" t="s">
        <v>1388</v>
      </c>
      <c r="L67" s="1329">
        <f ca="1">IF(M49&gt;=10000,(8.25+(M49-10000)*0.01%),IF(AND(M49&gt;=8000,M49&lt;10000),(7.85+(M49-8000)*0.02%),IF(AND(M49&gt;=5000,M49&lt;8000),(6.65+(M49-5000)*0.04%),IF(AND(M49&gt;=2000,M49&lt;5000),(4.25+(PM49-2000)*0.08%),IF(AND(M49&gt;=1000,M49&lt;2000),(2.75+(M49-1000)*0.15%),IF(AND(M49&gt;=100,M49&lt;1000),(0.5+(M49-100)*0.25%),IF(AND(M49&gt;0,M49&lt;100),M49*0.5%)))))))</f>
        <v>59.280900000000003</v>
      </c>
      <c r="M67" s="302">
        <f ca="1">ROUND(L67*0.9,1)</f>
        <v>53.4</v>
      </c>
      <c r="N67" s="2540"/>
      <c r="Z67" s="1749"/>
      <c r="AI67" s="1750"/>
    </row>
    <row r="68" spans="1:35" ht="14.25" customHeight="1" thickBot="1">
      <c r="A68" s="176" t="s">
        <v>328</v>
      </c>
      <c r="B68" s="177" t="s">
        <v>1389</v>
      </c>
      <c r="C68" s="2566">
        <f ca="1">IF(C67&lt;=0,0,ROUND(C67*D68,0))</f>
        <v>27750</v>
      </c>
      <c r="D68" s="2567">
        <f>'数据-取费表'!B41</f>
        <v>5.6000000000000001E-2</v>
      </c>
      <c r="E68" s="178"/>
      <c r="F68" s="1805"/>
      <c r="G68" s="1805"/>
      <c r="H68" s="1807"/>
      <c r="I68" s="129"/>
      <c r="J68" s="3663"/>
      <c r="K68" s="1329" t="s">
        <v>1390</v>
      </c>
      <c r="L68" s="1329">
        <f ca="1">IF(M49&gt;10000,M49*0.5%,IF(AND(M49&gt;5000,M49&lt;=10000),M49*1%,IF(AND(M49&gt;1000,M49&lt;=5000),M49*2%,IF(AND(M49&gt;200,M49&lt;=1000),M49*3%,M49*5%))))</f>
        <v>2601.5450000000001</v>
      </c>
      <c r="M68" s="302">
        <f ca="1">ROUND(L68,1)</f>
        <v>2601.5</v>
      </c>
      <c r="N68" s="2540"/>
      <c r="Z68" s="1749"/>
      <c r="AI68" s="1750"/>
    </row>
    <row r="69" spans="1:35" s="1769" customFormat="1" ht="16.5" customHeight="1">
      <c r="A69" s="1808"/>
      <c r="B69" s="1809"/>
      <c r="C69" s="1810"/>
      <c r="D69" s="1811"/>
      <c r="E69" s="1812"/>
      <c r="F69" s="1575"/>
      <c r="G69" s="1575"/>
      <c r="H69" s="1574"/>
      <c r="I69" s="1744"/>
      <c r="J69" s="3663"/>
      <c r="K69" s="1329" t="s">
        <v>1391</v>
      </c>
      <c r="L69" s="1329"/>
      <c r="M69" s="302">
        <f ca="1">ROUND(SUM(M63:M68),0)</f>
        <v>8379</v>
      </c>
      <c r="N69" s="2542">
        <f ca="1">M69/M49</f>
        <v>1.6103892110265246E-2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07" t="s">
        <v>1392</v>
      </c>
      <c r="B70" s="3708"/>
      <c r="C70" s="3708"/>
      <c r="D70" s="3708"/>
      <c r="E70" s="3708"/>
      <c r="F70" s="3708"/>
      <c r="G70" s="3708"/>
      <c r="H70" s="3708"/>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99" t="s">
        <v>1373</v>
      </c>
      <c r="B71" s="3700"/>
      <c r="C71" s="2018"/>
      <c r="D71" s="2018" t="s">
        <v>1374</v>
      </c>
      <c r="E71" s="179" t="s">
        <v>1375</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329</v>
      </c>
      <c r="B72" s="174" t="s">
        <v>1393</v>
      </c>
      <c r="C72" s="2565">
        <f ca="1">ROUND(D45/(1+'数据-取费表'!C42),0)</f>
        <v>495532</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326</v>
      </c>
      <c r="B73" s="163" t="s">
        <v>1394</v>
      </c>
      <c r="C73" s="2565">
        <f ca="1">C74+C78</f>
        <v>2973</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324</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330</v>
      </c>
      <c r="B75" s="170" t="s">
        <v>1396</v>
      </c>
      <c r="C75" s="2568"/>
      <c r="D75" s="170" t="s">
        <v>26</v>
      </c>
      <c r="E75" s="184" t="s">
        <v>1397</v>
      </c>
      <c r="F75" s="2569"/>
      <c r="G75" s="184" t="s">
        <v>1398</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331</v>
      </c>
      <c r="B76" s="185" t="s">
        <v>1399</v>
      </c>
      <c r="C76" s="170">
        <f>IF(F75="购房发票",ROUND(C75*H75*D76,0),0)</f>
        <v>0</v>
      </c>
      <c r="D76" s="2571">
        <v>0.05</v>
      </c>
      <c r="E76" s="3704" t="s">
        <v>1400</v>
      </c>
      <c r="F76" s="3703"/>
      <c r="G76" s="3703"/>
      <c r="H76" s="370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332</v>
      </c>
      <c r="B77" s="170" t="s">
        <v>1401</v>
      </c>
      <c r="C77" s="170">
        <f>ROUND(IF(G77="个人住宅",0,IF(G77="2016年5月1日前购买",C75*D77,C75*D77/(1+'数据-取费表'!C42))),0)</f>
        <v>0</v>
      </c>
      <c r="D77" s="2572">
        <f>'数据-取费表'!B48+'数据-取费表'!B49</f>
        <v>0.05</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325</v>
      </c>
      <c r="B78" s="170" t="s">
        <v>1403</v>
      </c>
      <c r="C78" s="2573">
        <f ca="1">ROUND(D45*D78/(1+'数据-取费表'!C42),0)</f>
        <v>2973</v>
      </c>
      <c r="D78" s="2574">
        <f>'数据-取费表'!B43</f>
        <v>6.000000000000001E-3</v>
      </c>
      <c r="E78" s="3696" t="s">
        <v>1404</v>
      </c>
      <c r="F78" s="3697"/>
      <c r="G78" s="3697"/>
      <c r="H78" s="369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333</v>
      </c>
      <c r="B79" s="174" t="s">
        <v>1405</v>
      </c>
      <c r="C79" s="2565">
        <f ca="1">C72-C73</f>
        <v>492559</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334</v>
      </c>
      <c r="B80" s="174" t="s">
        <v>1406</v>
      </c>
      <c r="C80" s="2575">
        <f ca="1">IF(C79&lt;=0,0,C79/C73)</f>
        <v>165.67743020517995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335</v>
      </c>
      <c r="B81" s="177" t="s">
        <v>1407</v>
      </c>
      <c r="C81" s="2576">
        <f ca="1">ROUND(IF(C79&lt;=0,0,IF(C80&gt;=200%,C79*60%-C73*35%,IF(C80&gt;=100%,C79*50%-C73*15%,IF(C80&gt;=50%,C79*40%-C73*5%,IF(C80&lt;50%,C79*30%,0))))),0)</f>
        <v>294495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07" t="s">
        <v>1408</v>
      </c>
      <c r="B83" s="3708"/>
      <c r="C83" s="3708"/>
      <c r="D83" s="3708"/>
      <c r="E83" s="3708"/>
      <c r="F83" s="3708"/>
      <c r="G83" s="3708"/>
      <c r="H83" s="370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99" t="s">
        <v>1373</v>
      </c>
      <c r="B84" s="3700"/>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329</v>
      </c>
      <c r="B85" s="174" t="s">
        <v>1393</v>
      </c>
      <c r="C85" s="2565">
        <f ca="1">ROUND(D45/(1+'数据-取费表'!C42),0)</f>
        <v>495532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326</v>
      </c>
      <c r="B86" s="163" t="s">
        <v>1394</v>
      </c>
      <c r="C86" s="2565">
        <f ca="1">IF(H88="仅含出让金",C87+C90+C91+C92+C93+C94,C87+C91+C92+C93+C94)</f>
        <v>369626</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324</v>
      </c>
      <c r="B87" s="170" t="s">
        <v>1409</v>
      </c>
      <c r="C87" s="2573">
        <f>C88+C89</f>
        <v>31751</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330</v>
      </c>
      <c r="B88" s="170" t="s">
        <v>1410</v>
      </c>
      <c r="C88" s="3560">
        <v>30239</v>
      </c>
      <c r="D88" s="2574"/>
      <c r="E88" s="193" t="s">
        <v>1411</v>
      </c>
      <c r="F88" s="2324"/>
      <c r="G88" s="194" t="s">
        <v>1412</v>
      </c>
      <c r="H88" s="1821" t="s">
        <v>3496</v>
      </c>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331</v>
      </c>
      <c r="B89" s="170" t="s">
        <v>1401</v>
      </c>
      <c r="C89" s="2573">
        <f>ROUND(C88*D89,0)</f>
        <v>1512</v>
      </c>
      <c r="D89" s="2574">
        <f>'数据-取费表'!B48+'数据-取费表'!B49</f>
        <v>0.05</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325</v>
      </c>
      <c r="B90" s="170" t="s">
        <v>1414</v>
      </c>
      <c r="C90" s="3560">
        <v>175000</v>
      </c>
      <c r="D90" s="2574"/>
      <c r="E90" s="193" t="str">
        <f>IF(H88="-","土地取得成本中已包含该笔费用"," ")</f>
        <v xml:space="preserve"> </v>
      </c>
      <c r="F90" s="2324"/>
      <c r="G90" s="3665" t="s">
        <v>2126</v>
      </c>
      <c r="H90" s="3666"/>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3">
        <f ca="1">IF(H91="——",成本法!C33,I91)</f>
        <v>75290</v>
      </c>
      <c r="D91" s="2574"/>
      <c r="E91" s="3696" t="s">
        <v>1417</v>
      </c>
      <c r="F91" s="3697"/>
      <c r="G91" s="369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3">
        <f ca="1">ROUND((C87+C90+C91)*D92,0)</f>
        <v>28204</v>
      </c>
      <c r="D92" s="2580">
        <v>0.1</v>
      </c>
      <c r="E92" s="3696" t="s">
        <v>1420</v>
      </c>
      <c r="F92" s="3697"/>
      <c r="G92" s="3697"/>
      <c r="H92" s="3698"/>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3">
        <f ca="1">ROUND(D45*D93/(1+'数据-取费表'!C42),0)</f>
        <v>2973</v>
      </c>
      <c r="D93" s="2574">
        <f>'数据-取费表'!B43</f>
        <v>6.000000000000001E-3</v>
      </c>
      <c r="E93" s="3696" t="s">
        <v>1404</v>
      </c>
      <c r="F93" s="3697"/>
      <c r="G93" s="3697"/>
      <c r="H93" s="369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9">
        <f ca="1">ROUND((C87+C90+C91)*D94,0)</f>
        <v>56408</v>
      </c>
      <c r="D94" s="2574">
        <v>0.2</v>
      </c>
      <c r="E94" s="3741" t="s">
        <v>1424</v>
      </c>
      <c r="F94" s="3742"/>
      <c r="G94" s="3742"/>
      <c r="H94" s="374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333</v>
      </c>
      <c r="B95" s="174" t="s">
        <v>1405</v>
      </c>
      <c r="C95" s="2565">
        <f ca="1">ROUND(C85-C86,0)</f>
        <v>125906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334</v>
      </c>
      <c r="B96" s="174" t="s">
        <v>1406</v>
      </c>
      <c r="C96" s="2575">
        <f ca="1">IF(C95&lt;=0,0,C95/C86)</f>
        <v>0.34063079978140065</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335</v>
      </c>
      <c r="B97" s="177" t="s">
        <v>1407</v>
      </c>
      <c r="C97" s="2576">
        <f ca="1">ROUND(IF(C95&lt;=0,0,IF(C96&gt;=200%,C95*60%-C86*35%,IF(C96&gt;=100%,C95*50%-C86*15%,IF(C96&gt;=50%,C95*40%-C86*5%,IF(C96&lt;50%,C95*30%,0))))),0)</f>
        <v>37772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646" t="s">
        <v>1426</v>
      </c>
      <c r="B100" s="3647"/>
      <c r="C100" s="3647"/>
      <c r="D100" s="3681"/>
      <c r="E100" s="3647" t="s">
        <v>1427</v>
      </c>
      <c r="F100" s="3647"/>
      <c r="G100" s="3647"/>
      <c r="H100" s="3681"/>
      <c r="I100" s="129"/>
    </row>
    <row r="101" spans="1:35" ht="18.75" customHeight="1">
      <c r="A101" s="3689" t="s">
        <v>1428</v>
      </c>
      <c r="B101" s="3690"/>
      <c r="C101" s="2582" t="str">
        <f>C4</f>
        <v>成本法</v>
      </c>
      <c r="D101" s="2583" t="str">
        <f>D4</f>
        <v>收益法（汇总）</v>
      </c>
      <c r="E101" s="3659" t="s">
        <v>1429</v>
      </c>
      <c r="F101" s="3660"/>
      <c r="G101" s="1824" t="s">
        <v>1430</v>
      </c>
      <c r="H101" s="2592">
        <f ca="1">H118</f>
        <v>520309</v>
      </c>
      <c r="I101" s="129"/>
    </row>
    <row r="102" spans="1:35" ht="18.75" customHeight="1">
      <c r="A102" s="3691" t="s">
        <v>1431</v>
      </c>
      <c r="B102" s="2581" t="s">
        <v>1430</v>
      </c>
      <c r="C102" s="2582">
        <f ca="1">IF(D32="楼面单价",ROUND(C19,0),C19)</f>
        <v>427427</v>
      </c>
      <c r="D102" s="2583">
        <f ca="1">IF(D32="楼面单价",ROUND(D19,0),D19)</f>
        <v>582231</v>
      </c>
      <c r="E102" s="3659"/>
      <c r="F102" s="3660"/>
      <c r="G102" s="1824" t="s">
        <v>1432</v>
      </c>
      <c r="H102" s="2552">
        <f ca="1">I118</f>
        <v>46396</v>
      </c>
      <c r="I102" s="129"/>
    </row>
    <row r="103" spans="1:35" ht="42.75" customHeight="1">
      <c r="A103" s="3691"/>
      <c r="B103" s="2581" t="s">
        <v>1432</v>
      </c>
      <c r="C103" s="2584">
        <f ca="1">C20</f>
        <v>38114</v>
      </c>
      <c r="D103" s="2585">
        <f ca="1">D20</f>
        <v>51918</v>
      </c>
      <c r="E103" s="3652" t="s">
        <v>1433</v>
      </c>
      <c r="F103" s="3653"/>
      <c r="G103" s="1825" t="s">
        <v>1434</v>
      </c>
      <c r="H103" s="2592">
        <f>IF(D36="正常操作",H104+H105+H106,H105+H106)</f>
        <v>0</v>
      </c>
      <c r="I103" s="129"/>
    </row>
    <row r="104" spans="1:35" ht="18.75" customHeight="1">
      <c r="A104" s="3691" t="s">
        <v>1435</v>
      </c>
      <c r="B104" s="2586" t="s">
        <v>1430</v>
      </c>
      <c r="C104" s="2587">
        <f ca="1">H118</f>
        <v>520309</v>
      </c>
      <c r="D104" s="2588"/>
      <c r="E104" s="1671" t="s">
        <v>1436</v>
      </c>
      <c r="F104" s="1663"/>
      <c r="G104" s="1825" t="s">
        <v>1434</v>
      </c>
      <c r="H104" s="2593">
        <f>IF(D36="同一抵押权人同一抵押物续贷",C36&amp;"（续贷，未扣减，详见特别提示）",C36)</f>
        <v>0</v>
      </c>
      <c r="I104" s="129"/>
    </row>
    <row r="105" spans="1:35" ht="18.75" customHeight="1" thickBot="1">
      <c r="A105" s="3701"/>
      <c r="B105" s="2589" t="s">
        <v>1432</v>
      </c>
      <c r="C105" s="2590">
        <f ca="1">I118</f>
        <v>46396</v>
      </c>
      <c r="D105" s="2591"/>
      <c r="E105" s="1671" t="s">
        <v>1437</v>
      </c>
      <c r="F105" s="1663"/>
      <c r="G105" s="1825" t="s">
        <v>1434</v>
      </c>
      <c r="H105" s="2594">
        <f>C37</f>
        <v>0</v>
      </c>
      <c r="I105" s="129"/>
    </row>
    <row r="106" spans="1:35" ht="18.75" customHeight="1">
      <c r="A106" s="1744" t="s">
        <v>1438</v>
      </c>
      <c r="B106" s="1744"/>
      <c r="C106" s="1744"/>
      <c r="D106" s="1744"/>
      <c r="E106" s="1826" t="s">
        <v>1439</v>
      </c>
      <c r="F106" s="1663"/>
      <c r="G106" s="1825" t="s">
        <v>1434</v>
      </c>
      <c r="H106" s="2594">
        <f>C38</f>
        <v>0</v>
      </c>
      <c r="I106" s="129"/>
    </row>
    <row r="107" spans="1:35" ht="18.75" customHeight="1">
      <c r="A107" s="129"/>
      <c r="B107" s="129"/>
      <c r="C107" s="129"/>
      <c r="D107" s="129"/>
      <c r="E107" s="3692" t="str">
        <f>IF(项目基本情况!E8="已注销","——","3.房地产抵押价值")</f>
        <v>3.房地产抵押价值</v>
      </c>
      <c r="F107" s="3660"/>
      <c r="G107" s="1824" t="s">
        <v>1430</v>
      </c>
      <c r="H107" s="2592">
        <f ca="1">IF(E107="——","——",H101-H103)</f>
        <v>520309</v>
      </c>
      <c r="I107" s="129"/>
    </row>
    <row r="108" spans="1:35" ht="18.75" customHeight="1">
      <c r="A108" s="129"/>
      <c r="B108" s="129"/>
      <c r="C108" s="129"/>
      <c r="D108" s="129"/>
      <c r="E108" s="3692"/>
      <c r="F108" s="3660"/>
      <c r="G108" s="1824" t="s">
        <v>1432</v>
      </c>
      <c r="H108" s="2552">
        <f ca="1">IF(H107=H101,H102,ROUND(H107*10000/'数据-汇总表'!E3,0))</f>
        <v>46396</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4" t="s">
        <v>1430</v>
      </c>
      <c r="H109" s="2595" t="str">
        <f>IF(E109="——","——",H101-H105-H106)</f>
        <v>——</v>
      </c>
      <c r="I109" s="129"/>
    </row>
    <row r="110" spans="1:35" ht="18.75" customHeight="1">
      <c r="A110" s="129"/>
      <c r="B110" s="129"/>
      <c r="C110" s="129"/>
      <c r="D110" s="129"/>
      <c r="E110" s="3692"/>
      <c r="F110" s="3660"/>
      <c r="G110" s="1824" t="s">
        <v>1432</v>
      </c>
      <c r="H110" s="2552"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4.抵押净值</v>
      </c>
      <c r="F111" s="3679"/>
      <c r="G111" s="1824" t="s">
        <v>1430</v>
      </c>
      <c r="H111" s="2592">
        <f ca="1">IF(E111="——","——",N59)</f>
        <v>444381</v>
      </c>
      <c r="I111" s="129"/>
    </row>
    <row r="112" spans="1:35" ht="18.75" customHeight="1" thickBot="1">
      <c r="A112" s="129"/>
      <c r="B112" s="129"/>
      <c r="C112" s="129"/>
      <c r="D112" s="129"/>
      <c r="E112" s="3694"/>
      <c r="F112" s="3695"/>
      <c r="G112" s="1827" t="s">
        <v>1432</v>
      </c>
      <c r="H112" s="2596">
        <f ca="1">IF(E111="——","——",N61)</f>
        <v>39626</v>
      </c>
      <c r="I112" s="129"/>
    </row>
    <row r="113" spans="1:27" ht="18.75" customHeight="1">
      <c r="A113" s="129"/>
      <c r="B113" s="129"/>
      <c r="C113" s="129"/>
      <c r="D113" s="129"/>
      <c r="E113" s="3702" t="s">
        <v>1438</v>
      </c>
      <c r="F113" s="3702"/>
      <c r="G113" s="3702"/>
      <c r="H113" s="3702"/>
      <c r="I113" s="129"/>
    </row>
    <row r="114" spans="1:27" ht="3.75" customHeight="1">
      <c r="A114" s="1744"/>
      <c r="B114" s="1744"/>
      <c r="C114" s="1744"/>
      <c r="D114" s="1744"/>
      <c r="E114" s="1806"/>
      <c r="F114" s="1806"/>
      <c r="G114" s="1806"/>
      <c r="H114" s="1806"/>
      <c r="I114" s="1744"/>
    </row>
    <row r="115" spans="1:27" ht="18.75" customHeight="1">
      <c r="A115" s="3710" t="s">
        <v>1440</v>
      </c>
      <c r="B115" s="3711"/>
      <c r="C115" s="3711"/>
      <c r="D115" s="3711"/>
      <c r="E115" s="3711"/>
      <c r="F115" s="3711"/>
      <c r="G115" s="3711"/>
      <c r="H115" s="3711"/>
      <c r="I115" s="3712"/>
    </row>
    <row r="116" spans="1:27" ht="27" customHeight="1">
      <c r="A116" s="3667" t="s">
        <v>1441</v>
      </c>
      <c r="B116" s="3671" t="s">
        <v>1442</v>
      </c>
      <c r="C116" s="3671" t="s">
        <v>1443</v>
      </c>
      <c r="D116" s="3677" t="s">
        <v>1444</v>
      </c>
      <c r="E116" s="3678"/>
      <c r="F116" s="3709" t="s">
        <v>1445</v>
      </c>
      <c r="G116" s="3709"/>
      <c r="H116" s="3667" t="s">
        <v>1446</v>
      </c>
      <c r="I116" s="3667"/>
    </row>
    <row r="117" spans="1:27" ht="18.75" customHeight="1">
      <c r="A117" s="3667"/>
      <c r="B117" s="3672"/>
      <c r="C117" s="3672"/>
      <c r="D117" s="2326" t="s">
        <v>1447</v>
      </c>
      <c r="E117" s="2326" t="s">
        <v>1448</v>
      </c>
      <c r="F117" s="2326" t="s">
        <v>1447</v>
      </c>
      <c r="G117" s="2326" t="s">
        <v>1449</v>
      </c>
      <c r="H117" s="2326" t="s">
        <v>1447</v>
      </c>
      <c r="I117" s="2326" t="s">
        <v>1449</v>
      </c>
    </row>
    <row r="118" spans="1:27" ht="24.75" customHeight="1">
      <c r="A118" s="2597" t="str">
        <f>项目基本情况!S2</f>
        <v>北京市海淀区魏公村路6号院1号楼房地产</v>
      </c>
      <c r="B118" s="2326">
        <f>M18</f>
        <v>112144.48</v>
      </c>
      <c r="C118" s="2326">
        <f>M19</f>
        <v>10426.780000000001</v>
      </c>
      <c r="D118" s="2326">
        <f ca="1">ROUND(IF(D32="总价",C34,E118*B118/10000),0)</f>
        <v>393874</v>
      </c>
      <c r="E118" s="2326">
        <f ca="1">ROUND(IF(C33="自定义",IF(D32="楼面单价",C34,D118*10000/B118),I118-G118),0)</f>
        <v>35122</v>
      </c>
      <c r="F118" s="2326">
        <f ca="1">ROUND(IF(D32="总价",C35,G118*B118/10000),0)</f>
        <v>126435</v>
      </c>
      <c r="G118" s="2326">
        <f ca="1">ROUND(IF(D32="楼面单价",C35,F118*10000/B118),0)</f>
        <v>11274</v>
      </c>
      <c r="H118" s="2326">
        <f ca="1">ROUND(IF(D32="总价",C32,I118*B118/10000),0)</f>
        <v>520309</v>
      </c>
      <c r="I118" s="2326">
        <f ca="1">ROUND(IF(D32="楼面单价",C32,H118*10000/B118),0)</f>
        <v>46396</v>
      </c>
    </row>
    <row r="119" spans="1:27" ht="18.75" customHeight="1">
      <c r="A119" s="3667" t="s">
        <v>1450</v>
      </c>
      <c r="B119" s="3667"/>
      <c r="C119" s="3667"/>
      <c r="D119" s="3673" t="str">
        <f ca="1">NUMBERSTRING(INT(D118*10000),2)&amp;"元整"</f>
        <v>叁拾玖亿叁仟捌佰柒拾肆万元整</v>
      </c>
      <c r="E119" s="3674"/>
      <c r="F119" s="3673" t="str">
        <f ca="1">NUMBERSTRING(INT(F118*10000),2)&amp;"元整"</f>
        <v>壹拾贰亿陆仟肆佰叁拾伍万元整</v>
      </c>
      <c r="G119" s="3674"/>
      <c r="H119" s="3673" t="str">
        <f ca="1">NUMBERSTRING(INT(H118*10000),2)&amp;"元整"</f>
        <v>伍拾贰亿零叁佰零玖万元整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3" t="s">
        <v>1450</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520309</v>
      </c>
      <c r="E122" s="3669"/>
      <c r="F122" s="3669"/>
      <c r="G122" s="3669"/>
      <c r="H122" s="3669"/>
      <c r="I122" s="3670"/>
      <c r="AA122" s="725"/>
    </row>
    <row r="123" spans="1:27" ht="18.75" customHeight="1">
      <c r="A123" s="3667" t="s">
        <v>1450</v>
      </c>
      <c r="B123" s="3667"/>
      <c r="C123" s="3667"/>
      <c r="D123" s="3673" t="str">
        <f ca="1">NUMBERSTRING(INT(D122*10000),2)&amp;"元整"</f>
        <v>伍拾贰亿零叁佰零玖万元整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1450</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抵押净值</v>
      </c>
      <c r="B126" s="3679"/>
      <c r="C126" s="3679"/>
      <c r="D126" s="3668">
        <f ca="1">H111</f>
        <v>444381</v>
      </c>
      <c r="E126" s="3669"/>
      <c r="F126" s="3669"/>
      <c r="G126" s="3669"/>
      <c r="H126" s="3669"/>
      <c r="I126" s="3670"/>
      <c r="AA126" s="725"/>
    </row>
    <row r="127" spans="1:27" ht="18.75" customHeight="1">
      <c r="A127" s="3667" t="s">
        <v>1450</v>
      </c>
      <c r="B127" s="3667"/>
      <c r="C127" s="3667"/>
      <c r="D127" s="3673" t="str">
        <f ca="1">NUMBERSTRING(INT(D126*10000),2)&amp;"元整"</f>
        <v>肆拾肆亿肆仟叁佰捌拾壹万元整</v>
      </c>
      <c r="E127" s="3675"/>
      <c r="F127" s="3675"/>
      <c r="G127" s="3675"/>
      <c r="H127" s="3675"/>
      <c r="I127" s="3674"/>
      <c r="AA127" s="725"/>
    </row>
    <row r="128" spans="1:27" ht="21.75" customHeight="1">
      <c r="A128" s="3676" t="s">
        <v>1451</v>
      </c>
      <c r="B128" s="3676"/>
      <c r="C128" s="3676"/>
      <c r="D128" s="3676"/>
      <c r="E128" s="3676"/>
      <c r="F128" s="3676"/>
      <c r="G128" s="3676"/>
      <c r="H128" s="3676"/>
      <c r="I128" s="3676"/>
      <c r="AA128" s="725"/>
    </row>
    <row r="129" spans="1:35" ht="21.75" customHeight="1">
      <c r="A129" s="1828" t="s">
        <v>1452</v>
      </c>
      <c r="B129" s="1829"/>
      <c r="C129" s="1830" t="s">
        <v>1453</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1454</v>
      </c>
      <c r="G135" s="1845"/>
      <c r="H135" s="1845"/>
      <c r="I135" s="1846" t="s">
        <v>1455</v>
      </c>
    </row>
    <row r="136" spans="1:35" ht="21.75" customHeight="1">
      <c r="A136" s="725"/>
      <c r="B136" s="1847"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1457</v>
      </c>
    </row>
    <row r="139" spans="1:35" ht="21.75" customHeight="1">
      <c r="A139" s="725"/>
      <c r="B139" s="1847" t="s">
        <v>1458</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1457</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2" sqref="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10</v>
      </c>
    </row>
    <row r="2" spans="1:9" s="200" customFormat="1" ht="18" customHeight="1">
      <c r="A2" s="201" t="s">
        <v>1460</v>
      </c>
      <c r="B2" s="202">
        <f ca="1">IF(D2="——",C52,C52-E2)</f>
        <v>427427</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38114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219273</v>
      </c>
      <c r="D5" s="211" t="s">
        <v>1467</v>
      </c>
      <c r="E5" s="212" t="s">
        <v>1468</v>
      </c>
      <c r="F5" s="212" t="s">
        <v>1469</v>
      </c>
      <c r="G5" s="213"/>
    </row>
    <row r="6" spans="1:9" s="214" customFormat="1" ht="13.5" customHeight="1">
      <c r="A6" s="775" t="s">
        <v>1470</v>
      </c>
      <c r="B6" s="215" t="s">
        <v>1471</v>
      </c>
      <c r="C6" s="216">
        <f ca="1">'基准地价（汇总）'!B2</f>
        <v>206695</v>
      </c>
      <c r="D6" s="217"/>
      <c r="E6" s="218"/>
      <c r="F6" s="218"/>
      <c r="G6" s="219"/>
    </row>
    <row r="7" spans="1:9" s="214" customFormat="1" ht="13.5" customHeight="1">
      <c r="A7" s="775" t="s">
        <v>1472</v>
      </c>
      <c r="B7" s="215" t="s">
        <v>1473</v>
      </c>
      <c r="C7" s="220">
        <f ca="1">ROUND(C6*F7,0)</f>
        <v>10335</v>
      </c>
      <c r="D7" s="220"/>
      <c r="E7" s="218"/>
      <c r="F7" s="221">
        <f>IF(项目基本情况!B8="出让",0,'数据-取费表'!B48+'数据-取费表'!B49)</f>
        <v>0.05</v>
      </c>
      <c r="G7" s="219"/>
    </row>
    <row r="8" spans="1:9" s="223" customFormat="1">
      <c r="A8" s="775" t="s">
        <v>1474</v>
      </c>
      <c r="B8" s="215" t="s">
        <v>1475</v>
      </c>
      <c r="C8" s="220">
        <f ca="1">IF(G8="已包含在土地购买价格中","0",IF(B1="",'数据-取费表'!B29,IF(G9="全部缴纳",C9+C10,H9)))</f>
        <v>2243</v>
      </c>
      <c r="D8" s="222"/>
      <c r="E8" s="220"/>
      <c r="F8" s="221"/>
      <c r="G8" s="1853" t="s">
        <v>3485</v>
      </c>
    </row>
    <row r="9" spans="1:9" s="214" customFormat="1" ht="13.5" customHeight="1">
      <c r="A9" s="776" t="s">
        <v>354</v>
      </c>
      <c r="B9" s="224" t="s">
        <v>1476</v>
      </c>
      <c r="C9" s="225">
        <f ca="1">ROUND(D9*E9/10000,0)</f>
        <v>0</v>
      </c>
      <c r="D9" s="842">
        <f ca="1">IF(B1="",'数据-汇总表'!E5,IF(INDIRECT("'数据-取费表'!c"&amp;$G$1)="住宅",INDIRECT("'数据-取费表'!k"&amp;$G$1),0))</f>
        <v>0</v>
      </c>
      <c r="E9" s="225">
        <f>'数据-取费表'!B27</f>
        <v>0</v>
      </c>
      <c r="F9" s="221"/>
      <c r="G9" s="1854" t="s">
        <v>3486</v>
      </c>
      <c r="H9" s="1134"/>
      <c r="I9" s="1855" t="s">
        <v>1477</v>
      </c>
    </row>
    <row r="10" spans="1:9" s="214" customFormat="1" ht="13.5" customHeight="1">
      <c r="A10" s="776" t="s">
        <v>355</v>
      </c>
      <c r="B10" s="224" t="s">
        <v>1478</v>
      </c>
      <c r="C10" s="225">
        <f ca="1">ROUND(D10*E10/10000,0)</f>
        <v>2243</v>
      </c>
      <c r="D10" s="842">
        <f ca="1">IF(B1="",'数据-汇总表'!E6,IF(INDIRECT("'数据-取费表'!c"&amp;$G$1)="住宅",INDIRECT("'数据-取费表'!s"&amp;$G$1),INDIRECT("'数据-取费表'!k"&amp;$G$1)+INDIRECT("'数据-取费表'!s"&amp;$G$1)))</f>
        <v>112144.48</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112144.48</v>
      </c>
      <c r="E19" s="211">
        <f>'数据-取费表'!B31</f>
        <v>200</v>
      </c>
      <c r="F19" s="231"/>
      <c r="G19" s="1853" t="s">
        <v>3487</v>
      </c>
    </row>
    <row r="20" spans="1:7" s="214" customFormat="1" ht="13.5" customHeight="1">
      <c r="A20" s="255" t="s">
        <v>1491</v>
      </c>
      <c r="B20" s="210" t="s">
        <v>1492</v>
      </c>
      <c r="C20" s="232">
        <f ca="1">ROUND((C5+C19)*F20,0)</f>
        <v>6578</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1">
        <f ca="1">ROUND(SUM(C23:C25),0)</f>
        <v>25260</v>
      </c>
      <c r="D22" s="235">
        <f ca="1">C26</f>
        <v>1.6999999999999999E-3</v>
      </c>
      <c r="E22" s="236" t="s">
        <v>1496</v>
      </c>
      <c r="F22" s="237">
        <f ca="1">'数据-取费表'!B40</f>
        <v>3.6499999999999998E-2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24897</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363</v>
      </c>
      <c r="D25" s="238"/>
      <c r="E25" s="241"/>
      <c r="F25" s="239"/>
      <c r="G25" s="242" t="s">
        <v>1508</v>
      </c>
    </row>
    <row r="26" spans="1:7" s="214" customFormat="1">
      <c r="A26" s="777" t="s">
        <v>349</v>
      </c>
      <c r="B26" s="215" t="s">
        <v>1509</v>
      </c>
      <c r="C26" s="238">
        <f ca="1">ROUND(IF('数据-取费表'!B22&lt;=1,F21*F22*'数据-取费表'!B23/2,F21*(POWER((1+F22),'数据-取费表'!B23/2)-1)),4)</f>
        <v>1.6999999999999999E-3</v>
      </c>
      <c r="D26" s="238"/>
      <c r="E26" s="241"/>
      <c r="F26" s="239"/>
      <c r="G26" s="243"/>
    </row>
    <row r="27" spans="1:7" s="214" customFormat="1" ht="24.75">
      <c r="A27" s="255" t="s">
        <v>1510</v>
      </c>
      <c r="B27" s="244" t="s">
        <v>1511</v>
      </c>
      <c r="C27" s="245">
        <f ca="1">C28</f>
        <v>42912</v>
      </c>
      <c r="D27" s="235">
        <f ca="1">C29</f>
        <v>5.7000000000000002E-3</v>
      </c>
      <c r="E27" s="236" t="s">
        <v>1512</v>
      </c>
      <c r="F27" s="246">
        <f ca="1">IF(B1="",'数据-取费表'!Q16,INDIRECT("'数据-取费表'!q"&amp;$G$1))</f>
        <v>0.19</v>
      </c>
      <c r="G27" s="247" t="s">
        <v>1513</v>
      </c>
    </row>
    <row r="28" spans="1:7" s="214" customFormat="1" ht="13.5" customHeight="1">
      <c r="A28" s="777" t="s">
        <v>345</v>
      </c>
      <c r="B28" s="248" t="s">
        <v>1514</v>
      </c>
      <c r="C28" s="249">
        <f ca="1">ROUND((C5+C19+C20)*F27*'数据-取费表'!B21/'数据-取费表'!B20,0)</f>
        <v>42912</v>
      </c>
      <c r="D28" s="235"/>
      <c r="E28" s="236"/>
      <c r="F28" s="246"/>
      <c r="G28" s="247"/>
    </row>
    <row r="29" spans="1:7" s="214" customFormat="1" ht="13.5" customHeight="1">
      <c r="A29" s="777" t="s">
        <v>346</v>
      </c>
      <c r="B29" s="248" t="s">
        <v>1515</v>
      </c>
      <c r="C29" s="238">
        <f ca="1">ROUND(C21*F27*'数据-取费表'!B21/'数据-取费表'!B20,4)</f>
        <v>5.7000000000000002E-3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323351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336</v>
      </c>
      <c r="B33" s="210" t="s">
        <v>1522</v>
      </c>
      <c r="C33" s="256">
        <f ca="1">SUM(C34:C38)</f>
        <v>75290</v>
      </c>
      <c r="D33" s="232"/>
      <c r="E33" s="212"/>
      <c r="F33" s="241"/>
      <c r="G33" s="234"/>
    </row>
    <row r="34" spans="1:7" s="258" customFormat="1" ht="13.5" customHeight="1">
      <c r="A34" s="777" t="s">
        <v>345</v>
      </c>
      <c r="B34" s="215" t="s">
        <v>1523</v>
      </c>
      <c r="C34" s="220">
        <f ca="1">IF(B1="",IF(F34=100%,'数据-取费表'!M16,'数据-取费表'!O16),IF(F34=100%,INDIRECT("'数据-取费表'!m"&amp;$G$1)+INDIRECT("'数据-取费表'!t"&amp;$G$1),INDIRECT("'数据-取费表'!o"&amp;$G$1)+INDIRECT("'数据-取费表'!aq"&amp;$G$1)))</f>
        <v>68589</v>
      </c>
      <c r="D34" s="217"/>
      <c r="E34" s="220"/>
      <c r="F34" s="257">
        <f ca="1">IF('数据-取费表'!B24=0,1,IF(B1="",'数据-取费表'!N16,INDIRECT("'数据-取费表'!n"&amp;$G$1)))</f>
        <v>1</v>
      </c>
      <c r="G34" s="219" t="s">
        <v>1524</v>
      </c>
    </row>
    <row r="35" spans="1:7" ht="13.5" customHeight="1">
      <c r="A35" s="777" t="s">
        <v>350</v>
      </c>
      <c r="B35" s="215" t="s">
        <v>1525</v>
      </c>
      <c r="C35" s="220">
        <f ca="1">ROUND(C34*F35,0)</f>
        <v>3429</v>
      </c>
      <c r="D35" s="220"/>
      <c r="E35" s="220"/>
      <c r="F35" s="259">
        <f>'数据-取费表'!B33</f>
        <v>0.05</v>
      </c>
      <c r="G35" s="219" t="s">
        <v>1526</v>
      </c>
    </row>
    <row r="36" spans="1:7" ht="24">
      <c r="A36" s="777" t="s">
        <v>351</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352</v>
      </c>
      <c r="B37" s="215" t="s">
        <v>1529</v>
      </c>
      <c r="C37" s="249">
        <f ca="1">ROUND(E37*D37*F34/10000,0)</f>
        <v>2243</v>
      </c>
      <c r="D37" s="217">
        <f ca="1">D19</f>
        <v>112144.48</v>
      </c>
      <c r="E37" s="249">
        <f>'数据-取费表'!B35</f>
        <v>200</v>
      </c>
      <c r="F37" s="259"/>
      <c r="G37" s="261" t="s">
        <v>1530</v>
      </c>
    </row>
    <row r="38" spans="1:7" ht="13.5" customHeight="1">
      <c r="A38" s="777" t="s">
        <v>353</v>
      </c>
      <c r="B38" s="215" t="s">
        <v>1531</v>
      </c>
      <c r="C38" s="220">
        <f ca="1">ROUND(C34*F38,0)</f>
        <v>1029</v>
      </c>
      <c r="D38" s="220"/>
      <c r="E38" s="220"/>
      <c r="F38" s="259">
        <f>'数据-取费表'!B36</f>
        <v>1.4999999999999999E-2</v>
      </c>
      <c r="G38" s="219" t="s">
        <v>1526</v>
      </c>
    </row>
    <row r="39" spans="1:7" s="214" customFormat="1" ht="13.5" customHeight="1">
      <c r="A39" s="255" t="s">
        <v>1532</v>
      </c>
      <c r="B39" s="210" t="s">
        <v>1533</v>
      </c>
      <c r="C39" s="232">
        <f ca="1">ROUND(C33*F20,0)</f>
        <v>2259</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4285</v>
      </c>
      <c r="D41" s="235">
        <f ca="1">C44</f>
        <v>1.6999999999999999E-3</v>
      </c>
      <c r="E41" s="236" t="s">
        <v>1537</v>
      </c>
      <c r="F41" s="237">
        <f ca="1">F22</f>
        <v>3.6499999999999998E-2</v>
      </c>
      <c r="G41" s="234" t="str">
        <f>IF('数据-取费表'!B22&lt;=1,"单利计息","复利计息")</f>
        <v>复利计息</v>
      </c>
    </row>
    <row r="42" spans="1:7" ht="13.5" customHeight="1">
      <c r="A42" s="777" t="s">
        <v>345</v>
      </c>
      <c r="B42" s="215" t="s">
        <v>1541</v>
      </c>
      <c r="C42" s="238">
        <f ca="1">ROUND(IF('数据-取费表'!B22&lt;=1,C33*F22*'数据-取费表'!B21/2,C33*(POWER((1+F22),'数据-取费表'!B21/2)-1)),0)</f>
        <v>4160</v>
      </c>
      <c r="D42" s="238"/>
      <c r="E42" s="238"/>
      <c r="F42" s="239"/>
      <c r="G42" s="3746" t="s">
        <v>1542</v>
      </c>
    </row>
    <row r="43" spans="1:7" ht="13.5" customHeight="1">
      <c r="A43" s="777" t="s">
        <v>346</v>
      </c>
      <c r="B43" s="215" t="s">
        <v>1543</v>
      </c>
      <c r="C43" s="238">
        <f ca="1">ROUND(IF('数据-取费表'!B22&lt;=1,C39*F22*'数据-取费表'!B21/2,C39*(POWER((1+F22),'数据-取费表'!B21/2)-1)),0)</f>
        <v>125</v>
      </c>
      <c r="D43" s="238"/>
      <c r="E43" s="238"/>
      <c r="F43" s="239"/>
      <c r="G43" s="3747"/>
    </row>
    <row r="44" spans="1:7" ht="13.5" customHeight="1">
      <c r="A44" s="777" t="s">
        <v>347</v>
      </c>
      <c r="B44" s="215" t="s">
        <v>1544</v>
      </c>
      <c r="C44" s="238">
        <f ca="1">ROUND(IF('数据-取费表'!B22&lt;=1,C40*F22*'数据-取费表'!B21/2,C40*(POWER((1+F22),'数据-取费表'!B21/2)-1)),4)</f>
        <v>1.6999999999999999E-3</v>
      </c>
      <c r="D44" s="238"/>
      <c r="E44" s="238"/>
      <c r="F44" s="239"/>
      <c r="G44" s="3748"/>
    </row>
    <row r="45" spans="1:7" s="214" customFormat="1" ht="13.5" customHeight="1">
      <c r="A45" s="255" t="s">
        <v>1545</v>
      </c>
      <c r="B45" s="244" t="s">
        <v>1511</v>
      </c>
      <c r="C45" s="245">
        <f ca="1">C46</f>
        <v>14734</v>
      </c>
      <c r="D45" s="235">
        <f ca="1">C47</f>
        <v>5.7000000000000002E-3</v>
      </c>
      <c r="E45" s="236" t="s">
        <v>1537</v>
      </c>
      <c r="F45" s="246">
        <f ca="1">F27</f>
        <v>0.19</v>
      </c>
      <c r="G45" s="247" t="s">
        <v>1546</v>
      </c>
    </row>
    <row r="46" spans="1:7" s="214" customFormat="1" ht="13.5" customHeight="1">
      <c r="A46" s="777" t="s">
        <v>345</v>
      </c>
      <c r="B46" s="248" t="s">
        <v>1547</v>
      </c>
      <c r="C46" s="249">
        <f ca="1">ROUND((C33+C39)*F27,0)</f>
        <v>14734</v>
      </c>
      <c r="D46" s="263"/>
      <c r="E46" s="236"/>
      <c r="F46" s="246"/>
      <c r="G46" s="247"/>
    </row>
    <row r="47" spans="1:7" s="214" customFormat="1" ht="13.5" customHeight="1">
      <c r="A47" s="777" t="s">
        <v>346</v>
      </c>
      <c r="B47" s="248" t="s">
        <v>1548</v>
      </c>
      <c r="C47" s="238">
        <f ca="1">ROUND(C40*F27,4)</f>
        <v>5.7000000000000002E-3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106200</v>
      </c>
      <c r="D49" s="232"/>
      <c r="E49" s="232"/>
      <c r="F49" s="264"/>
      <c r="G49" s="234" t="s">
        <v>1552</v>
      </c>
    </row>
    <row r="50" spans="1:7" s="258" customFormat="1" ht="24">
      <c r="A50" s="255" t="s">
        <v>1553</v>
      </c>
      <c r="B50" s="210" t="s">
        <v>1554</v>
      </c>
      <c r="C50" s="232"/>
      <c r="D50" s="232"/>
      <c r="E50" s="232"/>
      <c r="F50" s="264">
        <f>IF('数据-取费表'!B24=0,'数据-取费表'!N16,1)</f>
        <v>0.98</v>
      </c>
      <c r="G50" s="247" t="s">
        <v>1555</v>
      </c>
    </row>
    <row r="51" spans="1:7" ht="16.5" customHeight="1">
      <c r="A51" s="255" t="s">
        <v>1556</v>
      </c>
      <c r="B51" s="210" t="s">
        <v>1557</v>
      </c>
      <c r="C51" s="232">
        <f ca="1">ROUND(C49*F50,0)</f>
        <v>104076</v>
      </c>
      <c r="D51" s="232"/>
      <c r="E51" s="232"/>
      <c r="F51" s="264"/>
      <c r="G51" s="234" t="s">
        <v>1558</v>
      </c>
    </row>
    <row r="52" spans="1:7" s="208" customFormat="1" ht="16.5" thickBot="1">
      <c r="A52" s="265" t="s">
        <v>1559</v>
      </c>
      <c r="B52" s="266"/>
      <c r="C52" s="267">
        <f ca="1">C31+C51</f>
        <v>427427</v>
      </c>
      <c r="D52" s="266"/>
      <c r="E52" s="266"/>
      <c r="F52" s="266"/>
      <c r="G52" s="268"/>
    </row>
    <row r="55" spans="1:7" ht="15">
      <c r="B55" s="270" t="s">
        <v>1560</v>
      </c>
      <c r="C55" s="271"/>
    </row>
    <row r="56" spans="1:7">
      <c r="B56" s="273" t="s">
        <v>801</v>
      </c>
      <c r="C56" s="275">
        <f ca="1">1-C57</f>
        <v>0.75700000000000001</v>
      </c>
    </row>
    <row r="57" spans="1:7">
      <c r="B57" s="273" t="s">
        <v>802</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10</v>
      </c>
      <c r="H1" s="1058" t="str">
        <f>IF(ISERROR(FIND("住宅",B1)),"非住宅","住宅")</f>
        <v>非住宅</v>
      </c>
    </row>
    <row r="2" spans="1:8" s="200" customFormat="1" ht="18" customHeight="1">
      <c r="A2" s="201" t="s">
        <v>1460</v>
      </c>
      <c r="B2" s="3421">
        <f ca="1">ROUND(IF(D2="——",C52/10000,C52/10000-E2),4)</f>
        <v>110690.4281</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9870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22428896</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0.05</v>
      </c>
      <c r="G7" s="219"/>
    </row>
    <row r="8" spans="1:8" s="223" customFormat="1">
      <c r="A8" s="775" t="s">
        <v>1474</v>
      </c>
      <c r="B8" s="215" t="s">
        <v>1475</v>
      </c>
      <c r="C8" s="220">
        <f ca="1">IF(G8="已包含在土地购买价格中",0,C9+C10)</f>
        <v>22428896</v>
      </c>
      <c r="D8" s="222"/>
      <c r="E8" s="220"/>
      <c r="F8" s="221"/>
      <c r="G8" s="1853"/>
    </row>
    <row r="9" spans="1:8" s="214" customFormat="1" ht="13.5" customHeight="1">
      <c r="A9" s="776" t="s">
        <v>354</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355</v>
      </c>
      <c r="B10" s="224" t="s">
        <v>1478</v>
      </c>
      <c r="C10" s="225">
        <f ca="1">ROUND(D10*E10,0)</f>
        <v>22428896</v>
      </c>
      <c r="D10" s="842">
        <f ca="1">IF(B1="",'数据-汇总表'!E6,IF(INDIRECT("'数据-取费表'!c"&amp;$G$1)="住宅",INDIRECT("'数据-取费表'!s"&amp;$G$1),INDIRECT("'数据-取费表'!k"&amp;$G$1)+INDIRECT("'数据-取费表'!s"&amp;$G$1)))</f>
        <v>112144.48</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f ca="1">IF(G19="已包含在土地取得成本中","0",ROUND(D19*E19,0))</f>
        <v>22428896</v>
      </c>
      <c r="D19" s="846">
        <f ca="1">D9+D10</f>
        <v>112144.48</v>
      </c>
      <c r="E19" s="211">
        <f>'数据-取费表'!B31</f>
        <v>200</v>
      </c>
      <c r="F19" s="231"/>
      <c r="G19" s="1853"/>
    </row>
    <row r="20" spans="1:7" s="214" customFormat="1" ht="13.5" customHeight="1">
      <c r="A20" s="255" t="s">
        <v>1572</v>
      </c>
      <c r="B20" s="210" t="s">
        <v>1573</v>
      </c>
      <c r="C20" s="232">
        <f ca="1">ROUND((C5+C19)*F20,0)</f>
        <v>1345734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4">
        <f ca="1">ROUND(SUM(C23:C25),0)</f>
        <v>5167741</v>
      </c>
      <c r="D22" s="235">
        <f ca="1">C26</f>
        <v>1.6999999999999999E-3</v>
      </c>
      <c r="E22" s="236" t="s">
        <v>1577</v>
      </c>
      <c r="F22" s="237">
        <f ca="1">'数据-取费表'!B40</f>
        <v>3.6499999999999998E-2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2546697</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2546697</v>
      </c>
      <c r="D24" s="238"/>
      <c r="E24" s="238"/>
      <c r="F24" s="239"/>
      <c r="G24" s="240" t="s">
        <v>1584</v>
      </c>
    </row>
    <row r="25" spans="1:7" s="214" customFormat="1" ht="24">
      <c r="A25" s="777" t="s">
        <v>1474</v>
      </c>
      <c r="B25" s="215" t="s">
        <v>1585</v>
      </c>
      <c r="C25" s="1125">
        <f ca="1">ROUND(IF('数据-取费表'!B22&lt;=1,C20*F22*'数据-取费表'!B22/2,C20*(POWER((1+F22),'数据-取费表'!B22/2)-1)),0)</f>
        <v>74347</v>
      </c>
      <c r="D25" s="238"/>
      <c r="E25" s="241"/>
      <c r="F25" s="239"/>
      <c r="G25" s="242" t="s">
        <v>1586</v>
      </c>
    </row>
    <row r="26" spans="1:7" s="214" customFormat="1">
      <c r="A26" s="777" t="s">
        <v>349</v>
      </c>
      <c r="B26" s="215" t="s">
        <v>1509</v>
      </c>
      <c r="C26" s="238">
        <f ca="1">ROUND(IF('数据-取费表'!B22&lt;=1,F21*F22*'数据-取费表'!B22/2,F21*(POWER((1+F22),'数据-取费表'!B22/2)-1)),4)</f>
        <v>1.6999999999999999E-3</v>
      </c>
      <c r="D26" s="238"/>
      <c r="E26" s="241"/>
      <c r="F26" s="239"/>
      <c r="G26" s="243"/>
    </row>
    <row r="27" spans="1:7" s="214" customFormat="1" ht="24.75">
      <c r="A27" s="255" t="s">
        <v>1510</v>
      </c>
      <c r="B27" s="244" t="s">
        <v>1511</v>
      </c>
      <c r="C27" s="245">
        <f ca="1">C28</f>
        <v>8778670</v>
      </c>
      <c r="D27" s="235">
        <f ca="1">C29</f>
        <v>5.7000000000000002E-3</v>
      </c>
      <c r="E27" s="236" t="s">
        <v>1512</v>
      </c>
      <c r="F27" s="246">
        <f ca="1">IF(B1="",'数据-取费表'!Q16,INDIRECT("'数据-取费表'!q"&amp;$G$1))</f>
        <v>0.19</v>
      </c>
      <c r="G27" s="247" t="s">
        <v>1513</v>
      </c>
    </row>
    <row r="28" spans="1:7" s="214" customFormat="1" ht="13.5" customHeight="1">
      <c r="A28" s="777" t="s">
        <v>345</v>
      </c>
      <c r="B28" s="248" t="s">
        <v>1514</v>
      </c>
      <c r="C28" s="249">
        <f ca="1">ROUND((C5+C19+C20)*F27,0)</f>
        <v>8778670</v>
      </c>
      <c r="D28" s="235"/>
      <c r="E28" s="236"/>
      <c r="F28" s="246"/>
      <c r="G28" s="247"/>
    </row>
    <row r="29" spans="1:7" s="214" customFormat="1" ht="13.5" customHeight="1">
      <c r="A29" s="777" t="s">
        <v>346</v>
      </c>
      <c r="B29" s="248" t="s">
        <v>1515</v>
      </c>
      <c r="C29" s="238">
        <f ca="1">ROUND(C21*F27,4)</f>
        <v>5.7000000000000002E-3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66149716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336</v>
      </c>
      <c r="B33" s="210" t="s">
        <v>1588</v>
      </c>
      <c r="C33" s="256">
        <f ca="1">SUM(C34:C38)</f>
        <v>752899228</v>
      </c>
      <c r="D33" s="232"/>
      <c r="E33" s="212"/>
      <c r="F33" s="241"/>
      <c r="G33" s="234"/>
    </row>
    <row r="34" spans="1:7" s="258" customFormat="1" ht="13.5" customHeight="1">
      <c r="A34" s="777" t="s">
        <v>345</v>
      </c>
      <c r="B34" s="215" t="s">
        <v>1523</v>
      </c>
      <c r="C34" s="220">
        <f ca="1">ROUND(IF(B1="",SUMPRODUCT('数据-取费表'!K6:K14,'数据-取费表'!L6:L14),INDIRECT("'数据-取费表'!l"&amp;$G$1)*INDIRECT("'数据-取费表'!k"&amp;$G$1)+'数据-取费表'!L14*INDIRECT("'数据-取费表'!S"&amp;$G$1)),0)</f>
        <v>685887635</v>
      </c>
      <c r="D34" s="217"/>
      <c r="E34" s="220"/>
      <c r="F34" s="257"/>
      <c r="G34" s="219"/>
    </row>
    <row r="35" spans="1:7" ht="13.5" customHeight="1">
      <c r="A35" s="777" t="s">
        <v>350</v>
      </c>
      <c r="B35" s="215" t="s">
        <v>1525</v>
      </c>
      <c r="C35" s="220">
        <f ca="1">ROUND(C34*F35,0)</f>
        <v>34294382</v>
      </c>
      <c r="D35" s="220"/>
      <c r="E35" s="220"/>
      <c r="F35" s="259">
        <f>'数据-取费表'!B33</f>
        <v>0.05</v>
      </c>
      <c r="G35" s="219" t="s">
        <v>1526</v>
      </c>
    </row>
    <row r="36" spans="1:7" ht="24">
      <c r="A36" s="777" t="s">
        <v>351</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352</v>
      </c>
      <c r="B37" s="215" t="s">
        <v>1529</v>
      </c>
      <c r="C37" s="249">
        <f ca="1">ROUND(E37*D37,0)</f>
        <v>22428896</v>
      </c>
      <c r="D37" s="217">
        <f ca="1">D19</f>
        <v>112144.48</v>
      </c>
      <c r="E37" s="249">
        <f>'数据-取费表'!B35</f>
        <v>200</v>
      </c>
      <c r="F37" s="259"/>
      <c r="G37" s="261"/>
    </row>
    <row r="38" spans="1:7" ht="13.5" customHeight="1">
      <c r="A38" s="777" t="s">
        <v>353</v>
      </c>
      <c r="B38" s="215" t="s">
        <v>1531</v>
      </c>
      <c r="C38" s="220">
        <f ca="1">ROUND(C34*F38,0)</f>
        <v>10288315</v>
      </c>
      <c r="D38" s="220"/>
      <c r="E38" s="220"/>
      <c r="F38" s="259">
        <f>'数据-取费表'!B36</f>
        <v>1.4999999999999999E-2</v>
      </c>
      <c r="G38" s="219" t="s">
        <v>1526</v>
      </c>
    </row>
    <row r="39" spans="1:7" s="214" customFormat="1" ht="13.5" customHeight="1">
      <c r="A39" s="255" t="s">
        <v>1532</v>
      </c>
      <c r="B39" s="210" t="s">
        <v>1533</v>
      </c>
      <c r="C39" s="232">
        <f ca="1">ROUND(C33*F20,0)</f>
        <v>22586977</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42842973</v>
      </c>
      <c r="D41" s="235">
        <f ca="1">C44</f>
        <v>1.6999999999999999E-3</v>
      </c>
      <c r="E41" s="236" t="s">
        <v>1537</v>
      </c>
      <c r="F41" s="237">
        <f ca="1">F22</f>
        <v>3.6499999999999998E-2</v>
      </c>
      <c r="G41" s="234" t="str">
        <f>IF('数据-取费表'!B22&lt;=1,"单利计息","复利计息")</f>
        <v>复利计息</v>
      </c>
    </row>
    <row r="42" spans="1:7" ht="13.5" customHeight="1">
      <c r="A42" s="777" t="s">
        <v>345</v>
      </c>
      <c r="B42" s="215" t="s">
        <v>1541</v>
      </c>
      <c r="C42" s="238">
        <f ca="1">ROUND(IF('数据-取费表'!B22&lt;=1,C33*F22*'数据-取费表'!B20/2,C33*(POWER((1+F22),'数据-取费表'!B20/2)-1)),0)</f>
        <v>41595119</v>
      </c>
      <c r="D42" s="238"/>
      <c r="E42" s="238"/>
      <c r="F42" s="239"/>
      <c r="G42" s="3746" t="s">
        <v>1589</v>
      </c>
    </row>
    <row r="43" spans="1:7" ht="13.5" customHeight="1">
      <c r="A43" s="777" t="s">
        <v>346</v>
      </c>
      <c r="B43" s="215" t="s">
        <v>1543</v>
      </c>
      <c r="C43" s="238">
        <f ca="1">ROUND(IF('数据-取费表'!B22&lt;=1,C39*F22*'数据-取费表'!B20/2,C39*(POWER((1+F22),'数据-取费表'!B20/2)-1)),0)</f>
        <v>1247854</v>
      </c>
      <c r="D43" s="238"/>
      <c r="E43" s="238"/>
      <c r="F43" s="239"/>
      <c r="G43" s="3747"/>
    </row>
    <row r="44" spans="1:7" ht="13.5" customHeight="1">
      <c r="A44" s="777" t="s">
        <v>347</v>
      </c>
      <c r="B44" s="215" t="s">
        <v>1544</v>
      </c>
      <c r="C44" s="238">
        <f ca="1">ROUND(IF('数据-取费表'!B22&lt;=1,C40*F22*'数据-取费表'!B20/2,C40*(POWER((1+F22),'数据-取费表'!B20/2)-1)),4)</f>
        <v>1.6999999999999999E-3</v>
      </c>
      <c r="D44" s="238"/>
      <c r="E44" s="238"/>
      <c r="F44" s="239"/>
      <c r="G44" s="3748"/>
    </row>
    <row r="45" spans="1:7" s="214" customFormat="1" ht="13.5" customHeight="1">
      <c r="A45" s="255" t="s">
        <v>1545</v>
      </c>
      <c r="B45" s="244" t="s">
        <v>1511</v>
      </c>
      <c r="C45" s="245">
        <f ca="1">C46</f>
        <v>147342379</v>
      </c>
      <c r="D45" s="235">
        <f ca="1">C47</f>
        <v>5.7000000000000002E-3</v>
      </c>
      <c r="E45" s="236" t="s">
        <v>1537</v>
      </c>
      <c r="F45" s="246">
        <f ca="1">F27</f>
        <v>0.19</v>
      </c>
      <c r="G45" s="247" t="s">
        <v>1546</v>
      </c>
    </row>
    <row r="46" spans="1:7" s="214" customFormat="1" ht="13.5" customHeight="1">
      <c r="A46" s="777" t="s">
        <v>345</v>
      </c>
      <c r="B46" s="248" t="s">
        <v>1547</v>
      </c>
      <c r="C46" s="249">
        <f ca="1">ROUND((C33+C39)*F27,0)</f>
        <v>147342379</v>
      </c>
      <c r="D46" s="263"/>
      <c r="E46" s="236"/>
      <c r="F46" s="246"/>
      <c r="G46" s="247"/>
    </row>
    <row r="47" spans="1:7" s="214" customFormat="1" ht="13.5" customHeight="1">
      <c r="A47" s="777" t="s">
        <v>346</v>
      </c>
      <c r="B47" s="248" t="s">
        <v>1548</v>
      </c>
      <c r="C47" s="238">
        <f ca="1">ROUND(C40*F27,4)</f>
        <v>5.7000000000000002E-3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1061994454</v>
      </c>
      <c r="D49" s="232"/>
      <c r="E49" s="232"/>
      <c r="F49" s="264"/>
      <c r="G49" s="234" t="s">
        <v>1552</v>
      </c>
    </row>
    <row r="50" spans="1:7" s="258" customFormat="1">
      <c r="A50" s="255" t="s">
        <v>1553</v>
      </c>
      <c r="B50" s="210" t="s">
        <v>1554</v>
      </c>
      <c r="C50" s="232"/>
      <c r="D50" s="232"/>
      <c r="E50" s="232"/>
      <c r="F50" s="264">
        <f>IF('数据-取费表'!B24=0,'数据-取费表'!N16,1)</f>
        <v>0.98</v>
      </c>
      <c r="G50" s="247"/>
    </row>
    <row r="51" spans="1:7" ht="16.5" customHeight="1">
      <c r="A51" s="255" t="s">
        <v>1556</v>
      </c>
      <c r="B51" s="210" t="s">
        <v>1591</v>
      </c>
      <c r="C51" s="232">
        <f ca="1">ROUND(C49*F50,0)</f>
        <v>1040754565</v>
      </c>
      <c r="D51" s="232"/>
      <c r="E51" s="232"/>
      <c r="F51" s="264"/>
      <c r="G51" s="234" t="s">
        <v>1558</v>
      </c>
    </row>
    <row r="52" spans="1:7" s="208" customFormat="1" ht="16.5" thickBot="1">
      <c r="A52" s="265" t="s">
        <v>1559</v>
      </c>
      <c r="B52" s="266"/>
      <c r="C52" s="267">
        <f ca="1">C31+C51</f>
        <v>1106904281</v>
      </c>
      <c r="D52" s="266"/>
      <c r="E52" s="266"/>
      <c r="F52" s="266"/>
      <c r="G52" s="268"/>
    </row>
    <row r="55" spans="1:7" ht="15">
      <c r="B55" s="270" t="s">
        <v>1560</v>
      </c>
      <c r="C55" s="271"/>
    </row>
    <row r="56" spans="1:7">
      <c r="B56" s="273" t="s">
        <v>801</v>
      </c>
      <c r="C56" s="275">
        <f ca="1">1-C57</f>
        <v>6.0000000000000053E-2</v>
      </c>
    </row>
    <row r="57" spans="1:7">
      <c r="B57" s="273" t="s">
        <v>802</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803"/>
      <c r="F1" s="2803"/>
      <c r="G1" s="2668"/>
      <c r="H1" s="2803"/>
      <c r="I1" s="2803"/>
      <c r="J1" s="2803"/>
      <c r="K1" s="2804">
        <f>MATCH(C1,'数据-取费表'!A6:A16,0)+5</f>
        <v>10</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356</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634</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635</v>
      </c>
      <c r="B12" s="798" t="s">
        <v>1611</v>
      </c>
      <c r="C12" s="21">
        <f ca="1">ROUND(C11*F12,0)</f>
        <v>0</v>
      </c>
      <c r="D12" s="799"/>
      <c r="E12" s="329"/>
      <c r="F12" s="809">
        <f>'数据-取费表'!B33</f>
        <v>0.05</v>
      </c>
      <c r="G12" s="5" t="s">
        <v>1612</v>
      </c>
      <c r="H12" s="794"/>
      <c r="I12" s="794"/>
      <c r="J12" s="794"/>
      <c r="K12" s="795"/>
    </row>
    <row r="13" spans="1:33" s="800" customFormat="1" ht="13.5" customHeight="1">
      <c r="A13" s="797" t="s">
        <v>636</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637</v>
      </c>
      <c r="B14" s="798" t="s">
        <v>1615</v>
      </c>
      <c r="C14" s="21">
        <f ca="1">ROUND(D14*E14*F11/10000,0)</f>
        <v>0</v>
      </c>
      <c r="D14" s="843">
        <f ca="1">IF(C1="",'数据-汇总表'!E3,INDIRECT("'数据-取费表'!K"&amp;$K$1)+INDIRECT("'数据-取费表'!S"&amp;$K$1))</f>
        <v>112144.48</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638</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357</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358</v>
      </c>
      <c r="B17" s="798" t="s">
        <v>1620</v>
      </c>
      <c r="C17" s="21">
        <f ca="1">ROUND(D17*E17/10000,0)</f>
        <v>0</v>
      </c>
      <c r="D17" s="843">
        <f ca="1">D14</f>
        <v>112144.48</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639</v>
      </c>
      <c r="B18" s="798" t="s">
        <v>1622</v>
      </c>
      <c r="C18" s="21">
        <f ca="1">C19+C20-IF(C1="",'数据-取费表'!B29,IF(G18="已全部缴纳",C19+C20,H18))</f>
        <v>0</v>
      </c>
      <c r="D18" s="843"/>
      <c r="E18" s="21"/>
      <c r="F18" s="801"/>
      <c r="G18" s="1859"/>
      <c r="H18" s="1184"/>
      <c r="I18" s="1860" t="s">
        <v>1623</v>
      </c>
      <c r="J18" s="804"/>
      <c r="K18" s="805"/>
    </row>
    <row r="19" spans="1:33" s="800" customFormat="1" ht="13.5" customHeight="1">
      <c r="A19" s="797" t="s">
        <v>359</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360</v>
      </c>
      <c r="B20" s="798" t="s">
        <v>1625</v>
      </c>
      <c r="C20" s="21">
        <f ca="1">ROUND(D20*E20/10000,0)</f>
        <v>2243</v>
      </c>
      <c r="D20" s="843">
        <f ca="1">IF(C1="",'数据-汇总表'!E6,IF(INDIRECT("'数据-取费表'!c"&amp;$K$1)="住宅",INDIRECT("'数据-取费表'!s"&amp;$K$1),INDIRECT("'数据-取费表'!k"&amp;$K$1)+INDIRECT("'数据-取费表'!s"&amp;$K$1)))</f>
        <v>112144.48</v>
      </c>
      <c r="E20" s="21">
        <f>'数据-取费表'!B28</f>
        <v>200</v>
      </c>
      <c r="F20" s="801"/>
      <c r="G20" s="12"/>
      <c r="H20" s="806"/>
      <c r="I20" s="806"/>
      <c r="J20" s="806"/>
      <c r="K20" s="807"/>
    </row>
    <row r="21" spans="1:33" s="800" customFormat="1" ht="13.5" customHeight="1">
      <c r="A21" s="787" t="s">
        <v>356</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0.03</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0.03</v>
      </c>
      <c r="G23" s="5" t="s">
        <v>1631</v>
      </c>
      <c r="H23" s="794"/>
      <c r="I23" s="794"/>
      <c r="J23" s="794"/>
      <c r="K23" s="795"/>
    </row>
    <row r="24" spans="1:33" s="800" customFormat="1" ht="13.5" customHeight="1">
      <c r="A24" s="787" t="s">
        <v>1632</v>
      </c>
      <c r="B24" s="810" t="s">
        <v>1633</v>
      </c>
      <c r="C24" s="280">
        <f>ROUND(F24/(1+'数据-取费表'!C42),4)</f>
        <v>4.7600000000000003E-2</v>
      </c>
      <c r="D24" s="281" t="s">
        <v>12</v>
      </c>
      <c r="E24" s="281"/>
      <c r="F24" s="813">
        <f>IF(项目基本情况!B8="出让",0,'数据-取费表'!B48+'数据-取费表'!B49)</f>
        <v>0.05</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357</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358</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0.19</v>
      </c>
      <c r="G28" s="814"/>
      <c r="H28" s="815"/>
      <c r="I28" s="815"/>
      <c r="J28" s="815"/>
      <c r="K28" s="816"/>
    </row>
    <row r="29" spans="1:33" s="291" customFormat="1" ht="13.5" customHeight="1">
      <c r="A29" s="797" t="s">
        <v>357</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358</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582231</v>
      </c>
      <c r="C2" s="1869" t="s">
        <v>1649</v>
      </c>
      <c r="D2" s="1870" t="s">
        <v>1650</v>
      </c>
      <c r="E2" s="2604">
        <f>SUM(E6:E13)</f>
        <v>112144.48</v>
      </c>
      <c r="F2" s="2704"/>
      <c r="G2" s="1486"/>
      <c r="H2" s="1486"/>
      <c r="I2" s="1486"/>
      <c r="J2" s="1486"/>
      <c r="K2" s="1486"/>
      <c r="L2" s="1486"/>
      <c r="M2" s="1486"/>
      <c r="N2" s="1486"/>
      <c r="O2" s="1486"/>
      <c r="P2" s="1486"/>
      <c r="Q2" s="1486"/>
      <c r="R2" s="1486"/>
      <c r="S2" s="1486"/>
    </row>
    <row r="3" spans="1:22" ht="15.75">
      <c r="A3" s="1867" t="s">
        <v>685</v>
      </c>
      <c r="B3" s="2598">
        <f ca="1">ROUND(B2*10000/E2,0)</f>
        <v>51918</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749" t="s">
        <v>1652</v>
      </c>
      <c r="C5" s="3750"/>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435963</v>
      </c>
      <c r="C6" s="1869" t="s">
        <v>1649</v>
      </c>
      <c r="D6" s="2706"/>
      <c r="E6" s="2603">
        <f>IF(OR(A6=0,F6="否"),0,'数据-取费表'!K6+'数据-取费表'!S6)</f>
        <v>64998.039999999994</v>
      </c>
      <c r="F6" s="1873" t="s">
        <v>1655</v>
      </c>
      <c r="G6" s="1486"/>
      <c r="H6" s="1486"/>
      <c r="I6" s="1486"/>
      <c r="J6" s="1486"/>
      <c r="K6" s="1486"/>
      <c r="L6" s="1486"/>
      <c r="M6" s="1486"/>
      <c r="N6" s="1486"/>
      <c r="O6" s="1486"/>
      <c r="P6" s="1486"/>
      <c r="Q6" s="1486"/>
      <c r="R6" s="1486"/>
      <c r="S6" s="1486"/>
    </row>
    <row r="7" spans="1:22">
      <c r="A7" s="2601" t="str">
        <f>'数据-取费表'!AN7</f>
        <v>收益法-商业</v>
      </c>
      <c r="B7" s="2599">
        <f ca="1">IF(F7="是",'数据-取费表'!AO7,0)</f>
        <v>138943</v>
      </c>
      <c r="C7" s="1869" t="s">
        <v>1649</v>
      </c>
      <c r="D7" s="2706"/>
      <c r="E7" s="2603">
        <f>IF(OR(A7=0,F7="否"),0,'数据-取费表'!K7+'数据-取费表'!S7)</f>
        <v>34160.93</v>
      </c>
      <c r="F7" s="1873" t="s">
        <v>1655</v>
      </c>
      <c r="G7" s="1486"/>
      <c r="H7" s="1486"/>
      <c r="I7" s="1486"/>
      <c r="J7" s="1486"/>
      <c r="K7" s="1486"/>
      <c r="L7" s="1486"/>
      <c r="M7" s="1486"/>
      <c r="N7" s="1486"/>
      <c r="O7" s="1486"/>
      <c r="P7" s="1486"/>
      <c r="Q7" s="1486"/>
      <c r="R7" s="1486"/>
      <c r="S7" s="1486"/>
    </row>
    <row r="8" spans="1:22">
      <c r="A8" s="2601" t="str">
        <f>'数据-取费表'!AN8</f>
        <v>收益法-车库</v>
      </c>
      <c r="B8" s="2599">
        <f ca="1">IF(F8="是",'数据-取费表'!AO8,0)</f>
        <v>2625</v>
      </c>
      <c r="C8" s="1869" t="s">
        <v>1649</v>
      </c>
      <c r="D8" s="2706"/>
      <c r="E8" s="2603">
        <f>IF(OR(A8=0,F8="否"),0,'数据-取费表'!K8+'数据-取费表'!S8)</f>
        <v>10131.459999999992</v>
      </c>
      <c r="F8" s="1873" t="s">
        <v>1655</v>
      </c>
      <c r="G8" s="1486"/>
      <c r="H8" s="1486"/>
      <c r="I8" s="1486"/>
      <c r="J8" s="1486"/>
      <c r="K8" s="1486"/>
      <c r="L8" s="1486"/>
      <c r="M8" s="1486"/>
      <c r="N8" s="1486"/>
      <c r="O8" s="1486"/>
      <c r="P8" s="1486"/>
      <c r="Q8" s="1486"/>
      <c r="R8" s="1486"/>
      <c r="S8" s="1486"/>
    </row>
    <row r="9" spans="1:22">
      <c r="A9" s="2601" t="str">
        <f>'数据-取费表'!AN9</f>
        <v>收益法-库房</v>
      </c>
      <c r="B9" s="2599">
        <f ca="1">IF(F9="是",'数据-取费表'!AO9,0)</f>
        <v>4700</v>
      </c>
      <c r="C9" s="1869" t="s">
        <v>1649</v>
      </c>
      <c r="D9" s="2706"/>
      <c r="E9" s="2603">
        <f>IF(OR(A9=0,F9="否"),0,'数据-取费表'!K9+'数据-取费表'!S9)</f>
        <v>2854.05</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9" zoomScale="70" zoomScaleNormal="70" zoomScaleSheetLayoutView="70" workbookViewId="0">
      <selection activeCell="E48" sqref="E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3437</v>
      </c>
      <c r="D1" s="1359" t="s">
        <v>43</v>
      </c>
      <c r="E1" s="1360" t="s">
        <v>677</v>
      </c>
      <c r="F1" s="1059">
        <f ca="1">J53</f>
        <v>30.81</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4700</v>
      </c>
      <c r="C2" s="1384" t="s">
        <v>804</v>
      </c>
      <c r="D2" s="1384"/>
      <c r="E2" s="1385"/>
      <c r="F2" s="1386"/>
      <c r="G2" s="2703"/>
      <c r="H2" s="2692"/>
      <c r="I2" s="2692"/>
      <c r="J2" s="2692"/>
      <c r="K2" s="2693"/>
      <c r="L2" s="2692"/>
      <c r="M2" s="2692"/>
    </row>
    <row r="3" spans="1:37" ht="18" customHeight="1" thickBot="1">
      <c r="A3" s="3521" t="s">
        <v>805</v>
      </c>
      <c r="B3" s="1388">
        <f ca="1">IF(ISERROR(B2*10000/F43),0,ROUND(B2*10000/F43,0))</f>
        <v>16468</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297</v>
      </c>
      <c r="D5" s="1361" t="s">
        <v>692</v>
      </c>
      <c r="E5" s="1068"/>
      <c r="F5" s="1069"/>
      <c r="G5" s="1381"/>
      <c r="H5" s="299">
        <v>1</v>
      </c>
      <c r="I5" s="300" t="s">
        <v>691</v>
      </c>
      <c r="J5" s="1067">
        <f ca="1">J6+J10+J12</f>
        <v>0</v>
      </c>
      <c r="K5" s="1361" t="s">
        <v>692</v>
      </c>
      <c r="L5" s="1068"/>
      <c r="M5" s="1069"/>
    </row>
    <row r="6" spans="1:37" ht="18" customHeight="1">
      <c r="A6" s="1066" t="s">
        <v>397</v>
      </c>
      <c r="B6" s="3751" t="s">
        <v>693</v>
      </c>
      <c r="C6" s="1071">
        <f ca="1">ROUND(F6*F8*F7*(1-F9)/10000,0)</f>
        <v>297</v>
      </c>
      <c r="D6" s="155" t="s">
        <v>2106</v>
      </c>
      <c r="E6" s="302" t="s">
        <v>695</v>
      </c>
      <c r="F6" s="303">
        <f ca="1">INDIRECT("'数据-取费表'!u"&amp;$G$1)</f>
        <v>3</v>
      </c>
      <c r="G6" s="1381"/>
      <c r="H6" s="1066" t="s">
        <v>397</v>
      </c>
      <c r="I6" s="3751" t="s">
        <v>693</v>
      </c>
      <c r="J6" s="301">
        <f ca="1">ROUND(M6*M8*M7*(1-M9)/10000,0)</f>
        <v>0</v>
      </c>
      <c r="K6" s="155" t="s">
        <v>2105</v>
      </c>
      <c r="L6" s="302" t="s">
        <v>695</v>
      </c>
      <c r="M6" s="303">
        <f ca="1">INDIRECT("'数据-取费表'!z"&amp;$G$1)</f>
        <v>0</v>
      </c>
    </row>
    <row r="7" spans="1:37" ht="18" customHeight="1">
      <c r="A7" s="1070"/>
      <c r="B7" s="3752"/>
      <c r="C7" s="1072"/>
      <c r="D7" s="307"/>
      <c r="E7" s="3479" t="s">
        <v>696</v>
      </c>
      <c r="F7" s="303">
        <f ca="1">IF(INDIRECT("'数据-取费表'!ah"&amp;$G$1)="",INDIRECT("'数据-取费表'!k"&amp;$G$1),INDIRECT("'数据-取费表'!ah"&amp;$G$1))</f>
        <v>2854.05</v>
      </c>
      <c r="G7" s="1381"/>
      <c r="H7" s="304"/>
      <c r="I7" s="3752"/>
      <c r="J7" s="306"/>
      <c r="K7" s="307"/>
      <c r="L7" s="302" t="s">
        <v>696</v>
      </c>
      <c r="M7" s="303">
        <f ca="1">F7</f>
        <v>2854.05</v>
      </c>
    </row>
    <row r="8" spans="1:37" ht="18" customHeight="1">
      <c r="A8" s="304"/>
      <c r="B8" s="3752"/>
      <c r="C8" s="306"/>
      <c r="D8" s="307"/>
      <c r="E8" s="302" t="s">
        <v>697</v>
      </c>
      <c r="F8" s="303">
        <f ca="1">INDIRECT("'数据-取费表'!ai"&amp;$G$1)</f>
        <v>365</v>
      </c>
      <c r="G8" s="1381"/>
      <c r="H8" s="304"/>
      <c r="I8" s="3752"/>
      <c r="J8" s="306"/>
      <c r="K8" s="307"/>
      <c r="L8" s="302" t="s">
        <v>697</v>
      </c>
      <c r="M8" s="303">
        <f ca="1">INDIRECT("'数据-取费表'!ai"&amp;$G$1)</f>
        <v>365</v>
      </c>
    </row>
    <row r="9" spans="1:37" ht="18" customHeight="1">
      <c r="A9" s="304"/>
      <c r="B9" s="3753"/>
      <c r="C9" s="306"/>
      <c r="D9" s="307"/>
      <c r="E9" s="302" t="s">
        <v>698</v>
      </c>
      <c r="F9" s="312">
        <f ca="1">INDIRECT("'数据-取费表'!w"&amp;$G$1)</f>
        <v>0.05</v>
      </c>
      <c r="G9" s="1381"/>
      <c r="H9" s="304"/>
      <c r="I9" s="3753"/>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3462</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1822</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1284</v>
      </c>
      <c r="D14" s="3486" t="s">
        <v>707</v>
      </c>
      <c r="E14" s="3485"/>
      <c r="F14" s="319"/>
      <c r="G14" s="1381"/>
      <c r="H14" s="979" t="s">
        <v>397</v>
      </c>
      <c r="I14" s="302" t="s">
        <v>708</v>
      </c>
      <c r="J14" s="21">
        <f ca="1">C29</f>
        <v>1859</v>
      </c>
      <c r="K14" s="3478"/>
      <c r="L14" s="804"/>
      <c r="M14" s="805"/>
    </row>
    <row r="15" spans="1:37" s="1394" customFormat="1" ht="18" customHeight="1" thickBot="1">
      <c r="A15" s="979" t="s">
        <v>398</v>
      </c>
      <c r="B15" s="302" t="s">
        <v>709</v>
      </c>
      <c r="C15" s="21">
        <f ca="1">ROUND(C14*F15,0)</f>
        <v>64</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10</v>
      </c>
      <c r="K16" s="1084" t="s">
        <v>714</v>
      </c>
      <c r="L16" s="3488"/>
      <c r="M16" s="1069"/>
    </row>
    <row r="17" spans="1:37" s="1394" customFormat="1" ht="18" customHeight="1">
      <c r="A17" s="979" t="s">
        <v>680</v>
      </c>
      <c r="B17" s="302" t="s">
        <v>715</v>
      </c>
      <c r="C17" s="21">
        <f ca="1">ROUND(F17*(F43+INDIRECT("'数据-取费表'!S"&amp;$G$1))/10000,0)</f>
        <v>57</v>
      </c>
      <c r="D17" s="302" t="s">
        <v>716</v>
      </c>
      <c r="E17" s="302" t="s">
        <v>717</v>
      </c>
      <c r="F17" s="23">
        <f>'数据-取费表'!B35</f>
        <v>200</v>
      </c>
      <c r="G17" s="1393"/>
      <c r="H17" s="979" t="s">
        <v>397</v>
      </c>
      <c r="I17" s="302" t="s">
        <v>718</v>
      </c>
      <c r="J17" s="2313">
        <f ca="1">ROUND(IF(AND(项目基本情况!B11="自然人",项目基本情况!B10="北京市"),J6*M17/(1+'数据-取费表'!C42),J18+J19+J20),2)</f>
        <v>0.48</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19</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1424</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43</v>
      </c>
      <c r="D20" s="2425" t="s">
        <v>728</v>
      </c>
      <c r="E20" s="302" t="s">
        <v>711</v>
      </c>
      <c r="F20" s="322">
        <f>'数据-取费表'!B37</f>
        <v>0.03</v>
      </c>
      <c r="G20" s="1393"/>
      <c r="H20" s="979" t="s">
        <v>679</v>
      </c>
      <c r="I20" s="155" t="s">
        <v>729</v>
      </c>
      <c r="J20" s="22">
        <f ca="1">ROUND(M20*M21/10000,2)</f>
        <v>0.48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265.36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9.3000000000000007</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81</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1.6999999999999999E-3</v>
      </c>
      <c r="D24" s="329" t="str">
        <f>IF(F23&lt;=1,"销售费用×利率×(建设周期÷2)","销售费用×((1+利率)^(建设周期÷2)-1)")</f>
        <v>销售费用×((1+利率)^(建设周期÷2)-1)</v>
      </c>
      <c r="E24" s="302" t="s">
        <v>746</v>
      </c>
      <c r="F24" s="331">
        <f ca="1">'数据-取费表'!B40</f>
        <v>3.6499999999999998E-2</v>
      </c>
      <c r="G24" s="1393"/>
      <c r="H24" s="1086" t="s">
        <v>682</v>
      </c>
      <c r="I24" s="1087" t="s">
        <v>727</v>
      </c>
      <c r="J24" s="1088">
        <f ca="1">ROUND(J5*M24,2)</f>
        <v>0</v>
      </c>
      <c r="K24" s="1089" t="s">
        <v>747</v>
      </c>
      <c r="L24" s="1087" t="s">
        <v>743</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-10</v>
      </c>
      <c r="K25" s="1092" t="s">
        <v>752</v>
      </c>
      <c r="L25" s="1093"/>
      <c r="M25" s="1094"/>
    </row>
    <row r="26" spans="1:37">
      <c r="A26" s="979" t="s">
        <v>396</v>
      </c>
      <c r="B26" s="302" t="s">
        <v>753</v>
      </c>
      <c r="C26" s="21">
        <f ca="1">ROUND((C19+C20)*F26,0)</f>
        <v>147</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1859</v>
      </c>
      <c r="D29" s="1089"/>
      <c r="E29" s="1087"/>
      <c r="F29" s="1090"/>
      <c r="G29" s="1393"/>
      <c r="H29" s="334" t="s">
        <v>395</v>
      </c>
      <c r="I29" s="335" t="s">
        <v>767</v>
      </c>
      <c r="J29" s="336">
        <f ca="1">ROUND(J26/(1+F40)^F41,0)</f>
        <v>0</v>
      </c>
      <c r="K29" s="337" t="s">
        <v>768</v>
      </c>
      <c r="L29" s="338"/>
      <c r="M29" s="339">
        <f ca="1">INDIRECT("'数据-取费表'!k"&amp;$G$1)</f>
        <v>2854.05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64</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50.26</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15.84</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33.94</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0.48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265.36</v>
      </c>
      <c r="G35" s="1381"/>
      <c r="H35" s="2694"/>
      <c r="I35" s="1395"/>
      <c r="J35" s="1396"/>
      <c r="K35" s="2698"/>
      <c r="L35" s="2697"/>
      <c r="M35" s="2697"/>
    </row>
    <row r="36" spans="1:18" ht="18" customHeight="1">
      <c r="A36" s="1099" t="s">
        <v>401</v>
      </c>
      <c r="B36" s="302" t="s">
        <v>737</v>
      </c>
      <c r="C36" s="21">
        <f ca="1">ROUND(C29*F36,2)</f>
        <v>9.3000000000000007</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1.82</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2.97</v>
      </c>
      <c r="D38" s="1089" t="s">
        <v>747</v>
      </c>
      <c r="E38" s="1087" t="s">
        <v>743</v>
      </c>
      <c r="F38" s="1083">
        <f ca="1">INDIRECT("'数据-取费表'!Am"&amp;$G$1)</f>
        <v>0.01</v>
      </c>
      <c r="G38" s="1381"/>
      <c r="H38" s="2697"/>
      <c r="I38" s="1395"/>
      <c r="J38" s="1396"/>
      <c r="K38" s="2701"/>
      <c r="L38" s="2697"/>
      <c r="M38" s="2697"/>
    </row>
    <row r="39" spans="1:18" ht="24.6" customHeight="1" thickTop="1">
      <c r="A39" s="1076" t="s">
        <v>393</v>
      </c>
      <c r="B39" s="1091" t="s">
        <v>751</v>
      </c>
      <c r="C39" s="310">
        <f ca="1">C5-C30</f>
        <v>233</v>
      </c>
      <c r="D39" s="1092" t="s">
        <v>752</v>
      </c>
      <c r="E39" s="1093"/>
      <c r="F39" s="1094"/>
      <c r="G39" s="1381"/>
      <c r="H39" s="2697"/>
      <c r="I39" s="1395"/>
      <c r="J39" s="1396"/>
      <c r="K39" s="2701"/>
      <c r="L39" s="2697"/>
      <c r="M39" s="2697"/>
    </row>
    <row r="40" spans="1:18" ht="18" customHeight="1">
      <c r="A40" s="299" t="s">
        <v>394</v>
      </c>
      <c r="B40" s="300" t="s">
        <v>773</v>
      </c>
      <c r="C40" s="301">
        <f ca="1">ROUND(C39*(1-((1+F42)/(1+F40))^F41)/(F40-F42),0)</f>
        <v>4587</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30.81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16072</v>
      </c>
      <c r="D43" s="337" t="s">
        <v>776</v>
      </c>
      <c r="E43" s="338" t="s">
        <v>777</v>
      </c>
      <c r="F43" s="339">
        <f ca="1">INDIRECT("'数据-取费表'!k"&amp;$G$1)</f>
        <v>2854.05</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-4758</v>
      </c>
      <c r="D46" s="1403" t="str">
        <f>C2</f>
        <v>万元</v>
      </c>
      <c r="E46" s="1397"/>
      <c r="F46" s="1397"/>
      <c r="I46" s="1404" t="s">
        <v>809</v>
      </c>
      <c r="J46" s="1405"/>
      <c r="K46" s="1406"/>
      <c r="L46" s="1407">
        <f ca="1">IF(M47="住宅",0,IF(L48&gt;J51,L60,J60))</f>
        <v>113</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3463</v>
      </c>
      <c r="K47" s="1413" t="s">
        <v>815</v>
      </c>
      <c r="L47" s="1414">
        <f ca="1">INDIRECT("'数据-取费表'!d"&amp;$G$1)</f>
        <v>50</v>
      </c>
      <c r="M47" s="1377" t="str">
        <f>IF(ISNUMBER(FIND("住宅",C1)),"住宅","非住宅")</f>
        <v>非住宅</v>
      </c>
      <c r="O47" s="1415" t="s">
        <v>402</v>
      </c>
      <c r="P47" s="1416" t="s">
        <v>816</v>
      </c>
      <c r="Q47" s="1417">
        <f ca="1">C40+J29</f>
        <v>4587</v>
      </c>
      <c r="R47" s="1417" t="s">
        <v>817</v>
      </c>
    </row>
    <row r="48" spans="1:18" s="1381" customFormat="1" ht="28.5" thickBot="1">
      <c r="A48" s="1107" t="s">
        <v>437</v>
      </c>
      <c r="B48" s="300" t="s">
        <v>691</v>
      </c>
      <c r="C48" s="3491">
        <f ca="1">C49+C53+C55</f>
        <v>0</v>
      </c>
      <c r="D48" s="1109"/>
      <c r="E48" s="1110"/>
      <c r="F48" s="959"/>
      <c r="G48" s="722"/>
      <c r="H48" s="723"/>
      <c r="I48" s="1418" t="s">
        <v>818</v>
      </c>
      <c r="J48" s="1419" t="s">
        <v>3464</v>
      </c>
      <c r="K48" s="1420" t="s">
        <v>819</v>
      </c>
      <c r="L48" s="1421">
        <f ca="1">INDIRECT("'数据-取费表'!f"&amp;$G$1)</f>
        <v>30.81</v>
      </c>
      <c r="O48" s="1415" t="s">
        <v>403</v>
      </c>
      <c r="P48" s="1416" t="s">
        <v>820</v>
      </c>
      <c r="Q48" s="1417">
        <f ca="1">J60</f>
        <v>113</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1859</v>
      </c>
      <c r="R49" s="1417" t="s">
        <v>817</v>
      </c>
    </row>
    <row r="50" spans="1:18" s="1381" customFormat="1" ht="13.5" thickBot="1">
      <c r="A50" s="973"/>
      <c r="B50" s="976"/>
      <c r="C50" s="1115"/>
      <c r="D50" s="950"/>
      <c r="E50" s="1053" t="s">
        <v>696</v>
      </c>
      <c r="F50" s="1054">
        <f ca="1">F7</f>
        <v>2854.05</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365</v>
      </c>
      <c r="I51" s="1429" t="s">
        <v>828</v>
      </c>
      <c r="J51" s="1430">
        <f>IF(J49="",J50,J49+J50-YEAR('数据-取费表'!B2))</f>
        <v>60</v>
      </c>
      <c r="K51" s="1431" t="s">
        <v>829</v>
      </c>
      <c r="L51" s="1432">
        <f ca="1">ROUND(-PV(INDIRECT("'数据-取费表'!h"&amp;$G$1),J51,(C39-C13*C76),0),0)</f>
        <v>2364</v>
      </c>
      <c r="M51" s="1433"/>
      <c r="O51" s="1425" t="s">
        <v>406</v>
      </c>
      <c r="P51" s="1416" t="s">
        <v>830</v>
      </c>
      <c r="Q51" s="1428">
        <f>J52</f>
        <v>7.0000000000000007E-2</v>
      </c>
      <c r="R51" s="1417"/>
    </row>
    <row r="52" spans="1:18" s="1381" customFormat="1" ht="13.5" thickBot="1">
      <c r="A52" s="974"/>
      <c r="B52" s="976"/>
      <c r="C52" s="977"/>
      <c r="D52" s="950"/>
      <c r="E52" s="978" t="s">
        <v>698</v>
      </c>
      <c r="F52" s="1051"/>
      <c r="I52" s="1434" t="s">
        <v>831</v>
      </c>
      <c r="J52" s="1435">
        <f>'数据-取费表'!J9+0.5%</f>
        <v>7.0000000000000007E-2</v>
      </c>
      <c r="K52" s="1434" t="s">
        <v>832</v>
      </c>
      <c r="L52" s="1435"/>
      <c r="O52" s="1425" t="s">
        <v>407</v>
      </c>
      <c r="P52" s="1416" t="s">
        <v>833</v>
      </c>
      <c r="Q52" s="1417">
        <f ca="1">J53</f>
        <v>30.81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30.81</v>
      </c>
      <c r="K53" s="3754" t="s">
        <v>836</v>
      </c>
      <c r="L53" s="3755"/>
      <c r="O53" s="1415" t="s">
        <v>408</v>
      </c>
      <c r="P53" s="1416" t="s">
        <v>837</v>
      </c>
      <c r="Q53" s="1417">
        <f ca="1">Q47+Q48</f>
        <v>4700</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1822</v>
      </c>
      <c r="D56" s="1444"/>
      <c r="E56" s="1445"/>
      <c r="F56" s="1437"/>
      <c r="I56" s="1446" t="s">
        <v>841</v>
      </c>
      <c r="J56" s="1447" t="s">
        <v>3419</v>
      </c>
      <c r="K56" s="1418" t="s">
        <v>842</v>
      </c>
      <c r="L56" s="1421" t="str">
        <f ca="1">IF(L48&lt;J51,"——",L48-J53)</f>
        <v>——</v>
      </c>
      <c r="O56" s="1415" t="s">
        <v>402</v>
      </c>
      <c r="P56" s="1416" t="s">
        <v>816</v>
      </c>
      <c r="Q56" s="1417">
        <f ca="1">C40+J29</f>
        <v>4587</v>
      </c>
      <c r="R56" s="1417" t="s">
        <v>817</v>
      </c>
    </row>
    <row r="57" spans="1:18" s="1381" customFormat="1" ht="24.75" thickBot="1">
      <c r="A57" s="1448"/>
      <c r="B57" s="947" t="s">
        <v>766</v>
      </c>
      <c r="C57" s="238">
        <f ca="1">C29</f>
        <v>1859</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11</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905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113</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0.48</v>
      </c>
      <c r="D62" s="962" t="s">
        <v>730</v>
      </c>
      <c r="E62" s="947" t="s">
        <v>731</v>
      </c>
      <c r="F62" s="325">
        <f t="shared" si="0"/>
        <v>18</v>
      </c>
      <c r="I62" s="1459" t="s">
        <v>857</v>
      </c>
      <c r="J62" s="1460" t="s">
        <v>858</v>
      </c>
      <c r="K62" s="1460" t="s">
        <v>859</v>
      </c>
      <c r="L62" s="1460" t="s">
        <v>860</v>
      </c>
      <c r="M62" s="1461" t="s">
        <v>861</v>
      </c>
      <c r="O62" s="1415" t="s">
        <v>408</v>
      </c>
      <c r="P62" s="1416" t="s">
        <v>837</v>
      </c>
      <c r="Q62" s="1417">
        <f ca="1">Q56+Q57</f>
        <v>4587</v>
      </c>
      <c r="R62" s="1417" t="s">
        <v>409</v>
      </c>
    </row>
    <row r="63" spans="1:18" s="1381" customFormat="1" ht="13.5" thickBot="1">
      <c r="A63" s="326"/>
      <c r="B63" s="953"/>
      <c r="C63" s="26"/>
      <c r="D63" s="963"/>
      <c r="E63" s="947" t="s">
        <v>735</v>
      </c>
      <c r="F63" s="303">
        <f t="shared" ca="1" si="0"/>
        <v>265.36</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9.3000000000000007</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1.82</v>
      </c>
      <c r="D65" s="961" t="s">
        <v>742</v>
      </c>
      <c r="E65" s="947" t="s">
        <v>743</v>
      </c>
      <c r="F65" s="330">
        <f t="shared" ca="1" si="0"/>
        <v>1E-3</v>
      </c>
      <c r="I65" s="1459" t="s">
        <v>866</v>
      </c>
      <c r="J65" s="1460">
        <v>40</v>
      </c>
      <c r="K65" s="1460">
        <v>30</v>
      </c>
      <c r="L65" s="1460">
        <v>50</v>
      </c>
      <c r="M65" s="1462">
        <v>0.02</v>
      </c>
      <c r="O65" s="1415" t="s">
        <v>402</v>
      </c>
      <c r="P65" s="1416" t="s">
        <v>867</v>
      </c>
      <c r="Q65" s="1417">
        <f ca="1">C40+J29</f>
        <v>4587</v>
      </c>
      <c r="R65" s="1417" t="s">
        <v>817</v>
      </c>
    </row>
    <row r="66" spans="1:18" s="1381" customFormat="1" ht="16.5" thickBot="1">
      <c r="A66" s="979" t="s">
        <v>792</v>
      </c>
      <c r="B66" s="947" t="s">
        <v>727</v>
      </c>
      <c r="C66" s="21">
        <f ca="1">ROUND(C48*F66,2)</f>
        <v>0</v>
      </c>
      <c r="D66" s="961" t="s">
        <v>747</v>
      </c>
      <c r="E66" s="947" t="s">
        <v>711</v>
      </c>
      <c r="F66" s="312">
        <f t="shared" ca="1" si="0"/>
        <v>0.01</v>
      </c>
      <c r="O66" s="1415" t="s">
        <v>403</v>
      </c>
      <c r="P66" s="1416" t="s">
        <v>845</v>
      </c>
      <c r="Q66" s="1417">
        <f ca="1">L60</f>
        <v>0</v>
      </c>
      <c r="R66" s="1417" t="s">
        <v>868</v>
      </c>
    </row>
    <row r="67" spans="1:18" s="1381" customFormat="1" ht="16.5" thickBot="1">
      <c r="A67" s="954" t="s">
        <v>393</v>
      </c>
      <c r="B67" s="964" t="s">
        <v>751</v>
      </c>
      <c r="C67" s="316">
        <f ca="1">C48-C58</f>
        <v>-11</v>
      </c>
      <c r="D67" s="960" t="s">
        <v>752</v>
      </c>
      <c r="E67" s="965"/>
      <c r="F67" s="966"/>
      <c r="O67" s="1425" t="s">
        <v>404</v>
      </c>
      <c r="P67" s="1416" t="s">
        <v>849</v>
      </c>
      <c r="Q67" s="1463">
        <f ca="1">L51</f>
        <v>2364</v>
      </c>
      <c r="R67" s="1417" t="s">
        <v>869</v>
      </c>
    </row>
    <row r="68" spans="1:18" s="1381" customFormat="1" ht="16.5" thickBot="1">
      <c r="A68" s="944" t="s">
        <v>394</v>
      </c>
      <c r="B68" s="945" t="s">
        <v>773</v>
      </c>
      <c r="C68" s="301">
        <f ca="1">ROUND(C67*(1-((1+F70)/(1+F68))^F69)/(F68-F70),0)</f>
        <v>-171</v>
      </c>
      <c r="D68" s="962" t="s">
        <v>757</v>
      </c>
      <c r="E68" s="947" t="s">
        <v>758</v>
      </c>
      <c r="F68" s="312">
        <f ca="1">F40</f>
        <v>0.05</v>
      </c>
      <c r="O68" s="1425" t="s">
        <v>405</v>
      </c>
      <c r="P68" s="1464" t="s">
        <v>870</v>
      </c>
      <c r="Q68" s="1417">
        <f ca="1">ROUND(Q69-Q70*Q71,0)</f>
        <v>115</v>
      </c>
      <c r="R68" s="1417" t="s">
        <v>413</v>
      </c>
    </row>
    <row r="69" spans="1:18" s="1381" customFormat="1" ht="13.5" thickBot="1">
      <c r="A69" s="948"/>
      <c r="B69" s="949"/>
      <c r="C69" s="306"/>
      <c r="D69" s="967" t="s">
        <v>761</v>
      </c>
      <c r="E69" s="947" t="s">
        <v>762</v>
      </c>
      <c r="F69" s="333">
        <f ca="1">F41</f>
        <v>30.81</v>
      </c>
      <c r="O69" s="1425" t="s">
        <v>410</v>
      </c>
      <c r="P69" s="1464" t="s">
        <v>871</v>
      </c>
      <c r="Q69" s="1417">
        <f ca="1">C39</f>
        <v>233</v>
      </c>
      <c r="R69" s="1417" t="s">
        <v>817</v>
      </c>
    </row>
    <row r="70" spans="1:18" s="1381" customFormat="1" ht="13.5" thickBot="1">
      <c r="A70" s="951"/>
      <c r="B70" s="952"/>
      <c r="C70" s="310"/>
      <c r="D70" s="963"/>
      <c r="E70" s="947" t="s">
        <v>765</v>
      </c>
      <c r="F70" s="1051"/>
      <c r="O70" s="1425" t="s">
        <v>411</v>
      </c>
      <c r="P70" s="1464" t="s">
        <v>872</v>
      </c>
      <c r="Q70" s="1417">
        <f ca="1">C13</f>
        <v>1822</v>
      </c>
      <c r="R70" s="1417" t="s">
        <v>817</v>
      </c>
    </row>
    <row r="71" spans="1:18" s="1381" customFormat="1" ht="13.5" thickBot="1">
      <c r="A71" s="968" t="s">
        <v>395</v>
      </c>
      <c r="B71" s="969" t="s">
        <v>775</v>
      </c>
      <c r="C71" s="336">
        <f ca="1">ROUND(C68*10000/F71,0)</f>
        <v>-599</v>
      </c>
      <c r="D71" s="970" t="s">
        <v>776</v>
      </c>
      <c r="E71" s="971" t="s">
        <v>777</v>
      </c>
      <c r="F71" s="339">
        <f ca="1">F43</f>
        <v>2854.05</v>
      </c>
      <c r="O71" s="1425" t="s">
        <v>412</v>
      </c>
      <c r="P71" s="1464" t="s">
        <v>873</v>
      </c>
      <c r="Q71" s="1428">
        <f ca="1">C76</f>
        <v>6.5000000000000002E-2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118</v>
      </c>
      <c r="D75" s="1381"/>
      <c r="E75" s="1381"/>
      <c r="F75" s="1381"/>
      <c r="K75" s="1399"/>
      <c r="L75" s="1381"/>
      <c r="O75" s="1415" t="s">
        <v>408</v>
      </c>
      <c r="P75" s="1416" t="s">
        <v>837</v>
      </c>
      <c r="Q75" s="1417">
        <f ca="1">Q65+Q66</f>
        <v>4587</v>
      </c>
      <c r="R75" s="1417" t="s">
        <v>409</v>
      </c>
    </row>
    <row r="76" spans="1:18">
      <c r="B76" s="342" t="s">
        <v>795</v>
      </c>
      <c r="C76" s="343">
        <f ca="1">INDIRECT("'数据-取费表'!j"&amp;$G$1)</f>
        <v>6.5000000000000002E-2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0.49399999999999999</v>
      </c>
    </row>
    <row r="80" spans="1:18">
      <c r="B80" s="340" t="s">
        <v>799</v>
      </c>
      <c r="C80" s="274">
        <f ca="1">ROUND(C75/C39,3)</f>
        <v>0.50600000000000001</v>
      </c>
    </row>
    <row r="81" spans="2:3">
      <c r="B81" s="270" t="s">
        <v>800</v>
      </c>
      <c r="C81" s="238"/>
    </row>
    <row r="82" spans="2:3">
      <c r="B82" s="273" t="s">
        <v>801</v>
      </c>
      <c r="C82" s="275">
        <f ca="1">1-C83</f>
        <v>0.60299999999999998</v>
      </c>
    </row>
    <row r="83" spans="2:3">
      <c r="B83" s="273" t="s">
        <v>802</v>
      </c>
      <c r="C83" s="274">
        <f ca="1">ROUND(C13/C40,3)</f>
        <v>0.39700000000000002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7" priority="4">
      <formula>$L$48&gt;$J$51</formula>
    </cfRule>
  </conditionalFormatting>
  <conditionalFormatting sqref="I55 I60">
    <cfRule type="expression" dxfId="186" priority="5">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3334</v>
      </c>
      <c r="D1" s="1359" t="s">
        <v>43</v>
      </c>
      <c r="E1" s="1360" t="s">
        <v>677</v>
      </c>
      <c r="F1" s="1059">
        <f ca="1">J53</f>
        <v>30.81</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2625</v>
      </c>
      <c r="C2" s="1384" t="s">
        <v>804</v>
      </c>
      <c r="D2" s="1384"/>
      <c r="E2" s="1385"/>
      <c r="F2" s="1386"/>
      <c r="G2" s="2703"/>
      <c r="H2" s="2692"/>
      <c r="I2" s="2692"/>
      <c r="J2" s="2692"/>
      <c r="K2" s="2693"/>
      <c r="L2" s="2692"/>
      <c r="M2" s="2692"/>
    </row>
    <row r="3" spans="1:37" ht="18" customHeight="1" thickBot="1">
      <c r="A3" s="3521" t="s">
        <v>805</v>
      </c>
      <c r="B3" s="1388">
        <f ca="1">IF(ISERROR(B2*10000/F43),0,ROUND(B2*10000/F43,0))</f>
        <v>2591</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188</v>
      </c>
      <c r="D5" s="1361" t="s">
        <v>692</v>
      </c>
      <c r="E5" s="1068"/>
      <c r="F5" s="1069"/>
      <c r="G5" s="1381"/>
      <c r="H5" s="299">
        <v>1</v>
      </c>
      <c r="I5" s="300" t="s">
        <v>691</v>
      </c>
      <c r="J5" s="1067">
        <f ca="1">J6+J10+J12</f>
        <v>0</v>
      </c>
      <c r="K5" s="1361" t="s">
        <v>692</v>
      </c>
      <c r="L5" s="1068"/>
      <c r="M5" s="1069"/>
    </row>
    <row r="6" spans="1:37" ht="18" customHeight="1">
      <c r="A6" s="1066" t="s">
        <v>397</v>
      </c>
      <c r="B6" s="3751" t="s">
        <v>693</v>
      </c>
      <c r="C6" s="1071">
        <f ca="1">ROUND(F6*F8*F7*(1-F9)/10000,0)</f>
        <v>188</v>
      </c>
      <c r="D6" s="155" t="s">
        <v>2106</v>
      </c>
      <c r="E6" s="302" t="s">
        <v>695</v>
      </c>
      <c r="F6" s="303">
        <f ca="1">INDIRECT("'数据-取费表'!u"&amp;$G$1)</f>
        <v>1500</v>
      </c>
      <c r="G6" s="1381"/>
      <c r="H6" s="1066" t="s">
        <v>397</v>
      </c>
      <c r="I6" s="3751" t="s">
        <v>693</v>
      </c>
      <c r="J6" s="301">
        <f ca="1">ROUND(M6*M8*M7*(1-M9)/10000,0)</f>
        <v>0</v>
      </c>
      <c r="K6" s="155" t="s">
        <v>2105</v>
      </c>
      <c r="L6" s="302" t="s">
        <v>695</v>
      </c>
      <c r="M6" s="303">
        <f ca="1">INDIRECT("'数据-取费表'!z"&amp;$G$1)</f>
        <v>0</v>
      </c>
    </row>
    <row r="7" spans="1:37" ht="18" customHeight="1">
      <c r="A7" s="1070"/>
      <c r="B7" s="3752"/>
      <c r="C7" s="1072"/>
      <c r="D7" s="307"/>
      <c r="E7" s="3479" t="s">
        <v>696</v>
      </c>
      <c r="F7" s="303">
        <f ca="1">IF(INDIRECT("'数据-取费表'!ah"&amp;$G$1)="",INDIRECT("'数据-取费表'!k"&amp;$G$1),INDIRECT("'数据-取费表'!ah"&amp;$G$1))</f>
        <v>110</v>
      </c>
      <c r="G7" s="1381"/>
      <c r="H7" s="304"/>
      <c r="I7" s="3752"/>
      <c r="J7" s="306"/>
      <c r="K7" s="307"/>
      <c r="L7" s="302" t="s">
        <v>696</v>
      </c>
      <c r="M7" s="303">
        <f ca="1">F7</f>
        <v>110</v>
      </c>
    </row>
    <row r="8" spans="1:37" ht="18" customHeight="1">
      <c r="A8" s="304"/>
      <c r="B8" s="3752"/>
      <c r="C8" s="306"/>
      <c r="D8" s="307"/>
      <c r="E8" s="302" t="s">
        <v>697</v>
      </c>
      <c r="F8" s="303">
        <f ca="1">INDIRECT("'数据-取费表'!ai"&amp;$G$1)</f>
        <v>12</v>
      </c>
      <c r="G8" s="1381"/>
      <c r="H8" s="304"/>
      <c r="I8" s="3752"/>
      <c r="J8" s="306"/>
      <c r="K8" s="307"/>
      <c r="L8" s="302" t="s">
        <v>697</v>
      </c>
      <c r="M8" s="303">
        <f ca="1">INDIRECT("'数据-取费表'!ai"&amp;$G$1)</f>
        <v>12</v>
      </c>
    </row>
    <row r="9" spans="1:37" ht="18" customHeight="1">
      <c r="A9" s="304"/>
      <c r="B9" s="3753"/>
      <c r="C9" s="306"/>
      <c r="D9" s="307"/>
      <c r="E9" s="302" t="s">
        <v>698</v>
      </c>
      <c r="F9" s="312">
        <f ca="1">INDIRECT("'数据-取费表'!w"&amp;$G$1)</f>
        <v>0.05</v>
      </c>
      <c r="G9" s="1381"/>
      <c r="H9" s="304"/>
      <c r="I9" s="3753"/>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3465</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6467</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4559</v>
      </c>
      <c r="D14" s="3486" t="s">
        <v>707</v>
      </c>
      <c r="E14" s="3485"/>
      <c r="F14" s="319"/>
      <c r="G14" s="1381"/>
      <c r="H14" s="979" t="s">
        <v>397</v>
      </c>
      <c r="I14" s="302" t="s">
        <v>708</v>
      </c>
      <c r="J14" s="21">
        <f ca="1">C29</f>
        <v>6599</v>
      </c>
      <c r="K14" s="3478"/>
      <c r="L14" s="804"/>
      <c r="M14" s="805"/>
    </row>
    <row r="15" spans="1:37" s="1394" customFormat="1" ht="18" customHeight="1" thickBot="1">
      <c r="A15" s="979" t="s">
        <v>398</v>
      </c>
      <c r="B15" s="302" t="s">
        <v>709</v>
      </c>
      <c r="C15" s="21">
        <f ca="1">ROUND(C14*F15,0)</f>
        <v>228</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35</v>
      </c>
      <c r="K16" s="1084" t="s">
        <v>714</v>
      </c>
      <c r="L16" s="3488"/>
      <c r="M16" s="1069"/>
    </row>
    <row r="17" spans="1:37" s="1394" customFormat="1" ht="18" customHeight="1">
      <c r="A17" s="979" t="s">
        <v>680</v>
      </c>
      <c r="B17" s="302" t="s">
        <v>715</v>
      </c>
      <c r="C17" s="21">
        <f ca="1">ROUND(F17*(F43+INDIRECT("'数据-取费表'!S"&amp;$G$1))/10000,0)</f>
        <v>203</v>
      </c>
      <c r="D17" s="302" t="s">
        <v>716</v>
      </c>
      <c r="E17" s="302" t="s">
        <v>717</v>
      </c>
      <c r="F17" s="23">
        <f>'数据-取费表'!B35</f>
        <v>200</v>
      </c>
      <c r="G17" s="1393"/>
      <c r="H17" s="979" t="s">
        <v>397</v>
      </c>
      <c r="I17" s="302" t="s">
        <v>718</v>
      </c>
      <c r="J17" s="2313">
        <f ca="1">ROUND(IF(AND(项目基本情况!B11="自然人",项目基本情况!B10="北京市"),J6*M17/(1+'数据-取费表'!C42),J18+J19+J20),2)</f>
        <v>1.7</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68</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5058</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152</v>
      </c>
      <c r="D20" s="2425" t="s">
        <v>728</v>
      </c>
      <c r="E20" s="302" t="s">
        <v>711</v>
      </c>
      <c r="F20" s="322">
        <f>'数据-取费表'!B37</f>
        <v>0.03</v>
      </c>
      <c r="G20" s="1393"/>
      <c r="H20" s="979" t="s">
        <v>679</v>
      </c>
      <c r="I20" s="155" t="s">
        <v>729</v>
      </c>
      <c r="J20" s="22">
        <f ca="1">ROUND(M20*M21/10000,2)</f>
        <v>1.7</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941.99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33</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287</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1.6999999999999999E-3</v>
      </c>
      <c r="D24" s="329" t="str">
        <f>IF(F23&lt;=1,"销售费用×利率×(建设周期÷2)","销售费用×((1+利率)^(建设周期÷2)-1)")</f>
        <v>销售费用×((1+利率)^(建设周期÷2)-1)</v>
      </c>
      <c r="E24" s="302" t="s">
        <v>746</v>
      </c>
      <c r="F24" s="331">
        <f ca="1">'数据-取费表'!B40</f>
        <v>3.6499999999999998E-2</v>
      </c>
      <c r="G24" s="1393"/>
      <c r="H24" s="1086" t="s">
        <v>682</v>
      </c>
      <c r="I24" s="1087" t="s">
        <v>727</v>
      </c>
      <c r="J24" s="1088">
        <f ca="1">ROUND(J5*M24,2)</f>
        <v>0</v>
      </c>
      <c r="K24" s="1089" t="s">
        <v>747</v>
      </c>
      <c r="L24" s="1087" t="s">
        <v>743</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-35</v>
      </c>
      <c r="K25" s="1092" t="s">
        <v>752</v>
      </c>
      <c r="L25" s="1093"/>
      <c r="M25" s="1094"/>
    </row>
    <row r="26" spans="1:37">
      <c r="A26" s="979" t="s">
        <v>396</v>
      </c>
      <c r="B26" s="302" t="s">
        <v>753</v>
      </c>
      <c r="C26" s="21">
        <f ca="1">ROUND((C19+C20)*F26,0)</f>
        <v>521</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6599</v>
      </c>
      <c r="D29" s="1089"/>
      <c r="E29" s="1087"/>
      <c r="F29" s="1090"/>
      <c r="G29" s="1393"/>
      <c r="H29" s="334" t="s">
        <v>395</v>
      </c>
      <c r="I29" s="335" t="s">
        <v>767</v>
      </c>
      <c r="J29" s="336">
        <f ca="1">ROUND(J26/(1+F40)^F41,0)</f>
        <v>0</v>
      </c>
      <c r="K29" s="337" t="s">
        <v>768</v>
      </c>
      <c r="L29" s="338"/>
      <c r="M29" s="339">
        <f ca="1">INDIRECT("'数据-取费表'!k"&amp;$G$1)</f>
        <v>10131.459999999992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75</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33.22</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10.029999999999999</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21.49</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1.7</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941.99</v>
      </c>
      <c r="G35" s="1381"/>
      <c r="H35" s="2694"/>
      <c r="I35" s="1395"/>
      <c r="J35" s="1396"/>
      <c r="K35" s="2698"/>
      <c r="L35" s="2697"/>
      <c r="M35" s="2697"/>
    </row>
    <row r="36" spans="1:18" ht="18" customHeight="1">
      <c r="A36" s="1099" t="s">
        <v>401</v>
      </c>
      <c r="B36" s="302" t="s">
        <v>737</v>
      </c>
      <c r="C36" s="21">
        <f ca="1">ROUND(C29*F36,2)</f>
        <v>33</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6.47</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1.88</v>
      </c>
      <c r="D38" s="1089" t="s">
        <v>747</v>
      </c>
      <c r="E38" s="1087" t="s">
        <v>743</v>
      </c>
      <c r="F38" s="1083">
        <f ca="1">INDIRECT("'数据-取费表'!Am"&amp;$G$1)</f>
        <v>0.01</v>
      </c>
      <c r="G38" s="1381"/>
      <c r="H38" s="2697"/>
      <c r="I38" s="1395"/>
      <c r="J38" s="1396"/>
      <c r="K38" s="2701"/>
      <c r="L38" s="2697"/>
      <c r="M38" s="2697"/>
    </row>
    <row r="39" spans="1:18" ht="24.6" customHeight="1" thickTop="1">
      <c r="A39" s="1076" t="s">
        <v>393</v>
      </c>
      <c r="B39" s="1091" t="s">
        <v>751</v>
      </c>
      <c r="C39" s="310">
        <f ca="1">C5-C30</f>
        <v>113</v>
      </c>
      <c r="D39" s="1092" t="s">
        <v>752</v>
      </c>
      <c r="E39" s="1093"/>
      <c r="F39" s="1094"/>
      <c r="G39" s="1381"/>
      <c r="H39" s="2697"/>
      <c r="I39" s="1395"/>
      <c r="J39" s="1396"/>
      <c r="K39" s="2701"/>
      <c r="L39" s="2697"/>
      <c r="M39" s="2697"/>
    </row>
    <row r="40" spans="1:18" ht="18" customHeight="1">
      <c r="A40" s="299" t="s">
        <v>394</v>
      </c>
      <c r="B40" s="300" t="s">
        <v>773</v>
      </c>
      <c r="C40" s="301">
        <f ca="1">ROUND(C39*(1-((1+F42)/(1+F40))^F41)/(F40-F42),0)</f>
        <v>2225</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30.81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2196</v>
      </c>
      <c r="D43" s="337" t="s">
        <v>776</v>
      </c>
      <c r="E43" s="338" t="s">
        <v>777</v>
      </c>
      <c r="F43" s="339">
        <f ca="1">INDIRECT("'数据-取费表'!k"&amp;$G$1)</f>
        <v>10131.459999999992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-2863</v>
      </c>
      <c r="D46" s="1403" t="str">
        <f>C2</f>
        <v>万元</v>
      </c>
      <c r="E46" s="1397"/>
      <c r="F46" s="1397"/>
      <c r="I46" s="1404" t="s">
        <v>809</v>
      </c>
      <c r="J46" s="1405"/>
      <c r="K46" s="1406"/>
      <c r="L46" s="1407">
        <f ca="1">IF(M47="住宅",0,IF(L48&gt;J51,L60,J60))</f>
        <v>400</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3463</v>
      </c>
      <c r="K47" s="1413" t="s">
        <v>815</v>
      </c>
      <c r="L47" s="1414">
        <f ca="1">INDIRECT("'数据-取费表'!d"&amp;$G$1)</f>
        <v>50</v>
      </c>
      <c r="M47" s="1377" t="str">
        <f>IF(ISNUMBER(FIND("住宅",C1)),"住宅","非住宅")</f>
        <v>非住宅</v>
      </c>
      <c r="O47" s="1415" t="s">
        <v>402</v>
      </c>
      <c r="P47" s="1416" t="s">
        <v>816</v>
      </c>
      <c r="Q47" s="1417">
        <f ca="1">C40+J29</f>
        <v>2225</v>
      </c>
      <c r="R47" s="1417" t="s">
        <v>817</v>
      </c>
    </row>
    <row r="48" spans="1:18" s="1381" customFormat="1" ht="28.5" thickBot="1">
      <c r="A48" s="1107" t="s">
        <v>437</v>
      </c>
      <c r="B48" s="300" t="s">
        <v>691</v>
      </c>
      <c r="C48" s="3491">
        <f ca="1">C49+C53+C55</f>
        <v>0</v>
      </c>
      <c r="D48" s="1109"/>
      <c r="E48" s="1110"/>
      <c r="F48" s="959"/>
      <c r="G48" s="722"/>
      <c r="H48" s="723"/>
      <c r="I48" s="1418" t="s">
        <v>818</v>
      </c>
      <c r="J48" s="1419" t="s">
        <v>3464</v>
      </c>
      <c r="K48" s="1420" t="s">
        <v>819</v>
      </c>
      <c r="L48" s="1421">
        <f ca="1">INDIRECT("'数据-取费表'!f"&amp;$G$1)</f>
        <v>30.81</v>
      </c>
      <c r="O48" s="1415" t="s">
        <v>403</v>
      </c>
      <c r="P48" s="1416" t="s">
        <v>820</v>
      </c>
      <c r="Q48" s="1417">
        <f ca="1">J60</f>
        <v>400</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6599</v>
      </c>
      <c r="R49" s="1417" t="s">
        <v>817</v>
      </c>
    </row>
    <row r="50" spans="1:18" s="1381" customFormat="1" ht="13.5" thickBot="1">
      <c r="A50" s="973"/>
      <c r="B50" s="976"/>
      <c r="C50" s="1115"/>
      <c r="D50" s="950"/>
      <c r="E50" s="1053" t="s">
        <v>696</v>
      </c>
      <c r="F50" s="1054">
        <f ca="1">F7</f>
        <v>110</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12</v>
      </c>
      <c r="I51" s="1429" t="s">
        <v>828</v>
      </c>
      <c r="J51" s="1430">
        <f>IF(J49="",J50,J49+J50-YEAR('数据-取费表'!B2))</f>
        <v>60</v>
      </c>
      <c r="K51" s="1431" t="s">
        <v>829</v>
      </c>
      <c r="L51" s="1432">
        <f ca="1">ROUND(-PV(INDIRECT("'数据-取费表'!h"&amp;$G$1),J51,(C39-C13*C76),0),0)</f>
        <v>-6343</v>
      </c>
      <c r="M51" s="1433"/>
      <c r="O51" s="1425" t="s">
        <v>406</v>
      </c>
      <c r="P51" s="1416" t="s">
        <v>830</v>
      </c>
      <c r="Q51" s="1428">
        <f>J52</f>
        <v>7.0000000000000007E-2</v>
      </c>
      <c r="R51" s="1417"/>
    </row>
    <row r="52" spans="1:18" s="1381" customFormat="1" ht="13.5" thickBot="1">
      <c r="A52" s="974"/>
      <c r="B52" s="976"/>
      <c r="C52" s="977"/>
      <c r="D52" s="950"/>
      <c r="E52" s="978" t="s">
        <v>698</v>
      </c>
      <c r="F52" s="1051"/>
      <c r="I52" s="1434" t="s">
        <v>831</v>
      </c>
      <c r="J52" s="1435">
        <f>'数据-取费表'!J8+0.5%</f>
        <v>7.0000000000000007E-2</v>
      </c>
      <c r="K52" s="1434" t="s">
        <v>832</v>
      </c>
      <c r="L52" s="1435"/>
      <c r="O52" s="1425" t="s">
        <v>407</v>
      </c>
      <c r="P52" s="1416" t="s">
        <v>833</v>
      </c>
      <c r="Q52" s="1417">
        <f ca="1">J53</f>
        <v>30.81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30.81</v>
      </c>
      <c r="K53" s="3754" t="s">
        <v>836</v>
      </c>
      <c r="L53" s="3755"/>
      <c r="O53" s="1415" t="s">
        <v>408</v>
      </c>
      <c r="P53" s="1416" t="s">
        <v>837</v>
      </c>
      <c r="Q53" s="1417">
        <f ca="1">Q47+Q48</f>
        <v>2625</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6467</v>
      </c>
      <c r="D56" s="1444"/>
      <c r="E56" s="1445"/>
      <c r="F56" s="1437"/>
      <c r="I56" s="1446" t="s">
        <v>841</v>
      </c>
      <c r="J56" s="1447" t="s">
        <v>3419</v>
      </c>
      <c r="K56" s="1418" t="s">
        <v>842</v>
      </c>
      <c r="L56" s="1421" t="str">
        <f ca="1">IF(L48&lt;J51,"——",L48-J53)</f>
        <v>——</v>
      </c>
      <c r="O56" s="1415" t="s">
        <v>402</v>
      </c>
      <c r="P56" s="1416" t="s">
        <v>816</v>
      </c>
      <c r="Q56" s="1417">
        <f ca="1">C40+J29</f>
        <v>2225</v>
      </c>
      <c r="R56" s="1417" t="s">
        <v>817</v>
      </c>
    </row>
    <row r="57" spans="1:18" s="1381" customFormat="1" ht="24.75" thickBot="1">
      <c r="A57" s="1448"/>
      <c r="B57" s="947" t="s">
        <v>766</v>
      </c>
      <c r="C57" s="238">
        <f ca="1">C29</f>
        <v>6599</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41</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2</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3214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400</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1.7</v>
      </c>
      <c r="D62" s="962" t="s">
        <v>730</v>
      </c>
      <c r="E62" s="947" t="s">
        <v>731</v>
      </c>
      <c r="F62" s="325">
        <f t="shared" si="0"/>
        <v>18</v>
      </c>
      <c r="I62" s="1459" t="s">
        <v>857</v>
      </c>
      <c r="J62" s="1460" t="s">
        <v>858</v>
      </c>
      <c r="K62" s="1460" t="s">
        <v>859</v>
      </c>
      <c r="L62" s="1460" t="s">
        <v>860</v>
      </c>
      <c r="M62" s="1461" t="s">
        <v>861</v>
      </c>
      <c r="O62" s="1415" t="s">
        <v>408</v>
      </c>
      <c r="P62" s="1416" t="s">
        <v>837</v>
      </c>
      <c r="Q62" s="1417">
        <f ca="1">Q56+Q57</f>
        <v>2225</v>
      </c>
      <c r="R62" s="1417" t="s">
        <v>409</v>
      </c>
    </row>
    <row r="63" spans="1:18" s="1381" customFormat="1" ht="13.5" thickBot="1">
      <c r="A63" s="326"/>
      <c r="B63" s="953"/>
      <c r="C63" s="26"/>
      <c r="D63" s="963"/>
      <c r="E63" s="947" t="s">
        <v>735</v>
      </c>
      <c r="F63" s="303">
        <f t="shared" ca="1" si="0"/>
        <v>941.99</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33</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6.47</v>
      </c>
      <c r="D65" s="961" t="s">
        <v>742</v>
      </c>
      <c r="E65" s="947" t="s">
        <v>743</v>
      </c>
      <c r="F65" s="330">
        <f t="shared" ca="1" si="0"/>
        <v>1E-3</v>
      </c>
      <c r="I65" s="1459" t="s">
        <v>866</v>
      </c>
      <c r="J65" s="1460">
        <v>40</v>
      </c>
      <c r="K65" s="1460">
        <v>30</v>
      </c>
      <c r="L65" s="1460">
        <v>50</v>
      </c>
      <c r="M65" s="1462">
        <v>0.02</v>
      </c>
      <c r="O65" s="1415" t="s">
        <v>402</v>
      </c>
      <c r="P65" s="1416" t="s">
        <v>867</v>
      </c>
      <c r="Q65" s="1417">
        <f ca="1">C40+J29</f>
        <v>2225</v>
      </c>
      <c r="R65" s="1417" t="s">
        <v>817</v>
      </c>
    </row>
    <row r="66" spans="1:18" s="1381" customFormat="1" ht="16.5" thickBot="1">
      <c r="A66" s="979" t="s">
        <v>792</v>
      </c>
      <c r="B66" s="947" t="s">
        <v>727</v>
      </c>
      <c r="C66" s="21">
        <f ca="1">ROUND(C48*F66,2)</f>
        <v>0</v>
      </c>
      <c r="D66" s="961" t="s">
        <v>747</v>
      </c>
      <c r="E66" s="947" t="s">
        <v>711</v>
      </c>
      <c r="F66" s="312">
        <f t="shared" ca="1" si="0"/>
        <v>0.01</v>
      </c>
      <c r="O66" s="1415" t="s">
        <v>403</v>
      </c>
      <c r="P66" s="1416" t="s">
        <v>845</v>
      </c>
      <c r="Q66" s="1417">
        <f ca="1">L60</f>
        <v>0</v>
      </c>
      <c r="R66" s="1417" t="s">
        <v>868</v>
      </c>
    </row>
    <row r="67" spans="1:18" s="1381" customFormat="1" ht="16.5" thickBot="1">
      <c r="A67" s="954" t="s">
        <v>393</v>
      </c>
      <c r="B67" s="964" t="s">
        <v>751</v>
      </c>
      <c r="C67" s="316">
        <f ca="1">C48-C58</f>
        <v>-41</v>
      </c>
      <c r="D67" s="960" t="s">
        <v>752</v>
      </c>
      <c r="E67" s="965"/>
      <c r="F67" s="966"/>
      <c r="O67" s="1425" t="s">
        <v>404</v>
      </c>
      <c r="P67" s="1416" t="s">
        <v>849</v>
      </c>
      <c r="Q67" s="1463">
        <f ca="1">L51</f>
        <v>-6343</v>
      </c>
      <c r="R67" s="1417" t="s">
        <v>869</v>
      </c>
    </row>
    <row r="68" spans="1:18" s="1381" customFormat="1" ht="16.5" thickBot="1">
      <c r="A68" s="944" t="s">
        <v>394</v>
      </c>
      <c r="B68" s="945" t="s">
        <v>773</v>
      </c>
      <c r="C68" s="301">
        <f ca="1">ROUND(C67*(1-((1+F70)/(1+F68))^F69)/(F68-F70),0)</f>
        <v>-638</v>
      </c>
      <c r="D68" s="962" t="s">
        <v>757</v>
      </c>
      <c r="E68" s="947" t="s">
        <v>758</v>
      </c>
      <c r="F68" s="312">
        <f ca="1">F40</f>
        <v>0.05</v>
      </c>
      <c r="O68" s="1425" t="s">
        <v>405</v>
      </c>
      <c r="P68" s="1464" t="s">
        <v>870</v>
      </c>
      <c r="Q68" s="1417">
        <f ca="1">ROUND(Q69-Q70*Q71,0)</f>
        <v>-307</v>
      </c>
      <c r="R68" s="1417" t="s">
        <v>413</v>
      </c>
    </row>
    <row r="69" spans="1:18" s="1381" customFormat="1" ht="13.5" thickBot="1">
      <c r="A69" s="948"/>
      <c r="B69" s="949"/>
      <c r="C69" s="306"/>
      <c r="D69" s="967" t="s">
        <v>761</v>
      </c>
      <c r="E69" s="947" t="s">
        <v>762</v>
      </c>
      <c r="F69" s="333">
        <f ca="1">F41</f>
        <v>30.81</v>
      </c>
      <c r="O69" s="1425" t="s">
        <v>410</v>
      </c>
      <c r="P69" s="1464" t="s">
        <v>871</v>
      </c>
      <c r="Q69" s="1417">
        <f ca="1">C39</f>
        <v>113</v>
      </c>
      <c r="R69" s="1417" t="s">
        <v>817</v>
      </c>
    </row>
    <row r="70" spans="1:18" s="1381" customFormat="1" ht="13.5" thickBot="1">
      <c r="A70" s="951"/>
      <c r="B70" s="952"/>
      <c r="C70" s="310"/>
      <c r="D70" s="963"/>
      <c r="E70" s="947" t="s">
        <v>765</v>
      </c>
      <c r="F70" s="1051"/>
      <c r="O70" s="1425" t="s">
        <v>411</v>
      </c>
      <c r="P70" s="1464" t="s">
        <v>872</v>
      </c>
      <c r="Q70" s="1417">
        <f ca="1">C13</f>
        <v>6467</v>
      </c>
      <c r="R70" s="1417" t="s">
        <v>817</v>
      </c>
    </row>
    <row r="71" spans="1:18" s="1381" customFormat="1" ht="13.5" thickBot="1">
      <c r="A71" s="968" t="s">
        <v>395</v>
      </c>
      <c r="B71" s="969" t="s">
        <v>775</v>
      </c>
      <c r="C71" s="336">
        <f ca="1">ROUND(C68*10000/F71,0)</f>
        <v>-630</v>
      </c>
      <c r="D71" s="970" t="s">
        <v>776</v>
      </c>
      <c r="E71" s="971" t="s">
        <v>777</v>
      </c>
      <c r="F71" s="339">
        <f ca="1">F43</f>
        <v>10131.459999999992</v>
      </c>
      <c r="O71" s="1425" t="s">
        <v>412</v>
      </c>
      <c r="P71" s="1464" t="s">
        <v>873</v>
      </c>
      <c r="Q71" s="1428">
        <f ca="1">C76</f>
        <v>6.5000000000000002E-2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420</v>
      </c>
      <c r="D75" s="1381"/>
      <c r="E75" s="1381"/>
      <c r="F75" s="1381"/>
      <c r="K75" s="1399"/>
      <c r="L75" s="1381"/>
      <c r="O75" s="1415" t="s">
        <v>408</v>
      </c>
      <c r="P75" s="1416" t="s">
        <v>837</v>
      </c>
      <c r="Q75" s="1417">
        <f ca="1">Q65+Q66</f>
        <v>2225</v>
      </c>
      <c r="R75" s="1417" t="s">
        <v>409</v>
      </c>
    </row>
    <row r="76" spans="1:18">
      <c r="B76" s="342" t="s">
        <v>795</v>
      </c>
      <c r="C76" s="343">
        <f ca="1">INDIRECT("'数据-取费表'!j"&amp;$G$1)</f>
        <v>6.5000000000000002E-2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-2.7170000000000001</v>
      </c>
    </row>
    <row r="80" spans="1:18">
      <c r="B80" s="340" t="s">
        <v>799</v>
      </c>
      <c r="C80" s="274">
        <f ca="1">ROUND(C75/C39,3)</f>
        <v>3.7170000000000001</v>
      </c>
    </row>
    <row r="81" spans="2:3">
      <c r="B81" s="270" t="s">
        <v>800</v>
      </c>
      <c r="C81" s="238"/>
    </row>
    <row r="82" spans="2:3">
      <c r="B82" s="273" t="s">
        <v>801</v>
      </c>
      <c r="C82" s="275">
        <f ca="1">1-C83</f>
        <v>-1.907</v>
      </c>
    </row>
    <row r="83" spans="2:3">
      <c r="B83" s="273" t="s">
        <v>802</v>
      </c>
      <c r="C83" s="274">
        <f ca="1">ROUND(C13/C40,3)</f>
        <v>2.907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672</v>
      </c>
      <c r="D1" s="1359" t="s">
        <v>43</v>
      </c>
      <c r="E1" s="1360" t="s">
        <v>677</v>
      </c>
      <c r="F1" s="1059">
        <f ca="1">J53</f>
        <v>20.8</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138943</v>
      </c>
      <c r="C2" s="1384" t="s">
        <v>804</v>
      </c>
      <c r="D2" s="1384"/>
      <c r="E2" s="1385"/>
      <c r="F2" s="1386"/>
      <c r="G2" s="2703"/>
      <c r="H2" s="2692"/>
      <c r="I2" s="2692"/>
      <c r="J2" s="2692"/>
      <c r="K2" s="2693"/>
      <c r="L2" s="2692"/>
      <c r="M2" s="2692"/>
    </row>
    <row r="3" spans="1:37" ht="18" customHeight="1" thickBot="1">
      <c r="A3" s="3521" t="s">
        <v>805</v>
      </c>
      <c r="B3" s="1388">
        <f ca="1">IF(ISERROR(B2*10000/F43),0,ROUND(B2*10000/F43,0))</f>
        <v>40673</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11236</v>
      </c>
      <c r="D5" s="1361" t="s">
        <v>692</v>
      </c>
      <c r="E5" s="1068"/>
      <c r="F5" s="1069"/>
      <c r="G5" s="1381"/>
      <c r="H5" s="299">
        <v>1</v>
      </c>
      <c r="I5" s="300" t="s">
        <v>691</v>
      </c>
      <c r="J5" s="1067">
        <f ca="1">J6+J10+J12</f>
        <v>0</v>
      </c>
      <c r="K5" s="1361" t="s">
        <v>692</v>
      </c>
      <c r="L5" s="1068"/>
      <c r="M5" s="1069"/>
    </row>
    <row r="6" spans="1:37" ht="18" customHeight="1">
      <c r="A6" s="1066" t="s">
        <v>397</v>
      </c>
      <c r="B6" s="3751" t="s">
        <v>693</v>
      </c>
      <c r="C6" s="1071">
        <f ca="1">ROUND(F6*F8*F7*(1-F9)/10000,0)</f>
        <v>11222</v>
      </c>
      <c r="D6" s="155" t="s">
        <v>2106</v>
      </c>
      <c r="E6" s="302" t="s">
        <v>695</v>
      </c>
      <c r="F6" s="303">
        <f ca="1">INDIRECT("'数据-取费表'!u"&amp;$G$1)</f>
        <v>10</v>
      </c>
      <c r="G6" s="1381"/>
      <c r="H6" s="1066" t="s">
        <v>397</v>
      </c>
      <c r="I6" s="3751" t="s">
        <v>693</v>
      </c>
      <c r="J6" s="301">
        <f ca="1">ROUND(M6*M8*M7*(1-M9)/10000,0)</f>
        <v>0</v>
      </c>
      <c r="K6" s="155" t="s">
        <v>2105</v>
      </c>
      <c r="L6" s="302" t="s">
        <v>695</v>
      </c>
      <c r="M6" s="303">
        <f ca="1">INDIRECT("'数据-取费表'!z"&amp;$G$1)</f>
        <v>0</v>
      </c>
    </row>
    <row r="7" spans="1:37" ht="18" customHeight="1">
      <c r="A7" s="1070"/>
      <c r="B7" s="3752"/>
      <c r="C7" s="1072"/>
      <c r="D7" s="307"/>
      <c r="E7" s="3479" t="s">
        <v>696</v>
      </c>
      <c r="F7" s="303">
        <f ca="1">IF(INDIRECT("'数据-取费表'!ah"&amp;$G$1)="",INDIRECT("'数据-取费表'!k"&amp;$G$1),INDIRECT("'数据-取费表'!ah"&amp;$G$1))</f>
        <v>34160.93</v>
      </c>
      <c r="G7" s="1381"/>
      <c r="H7" s="304"/>
      <c r="I7" s="3752"/>
      <c r="J7" s="306"/>
      <c r="K7" s="307"/>
      <c r="L7" s="302" t="s">
        <v>696</v>
      </c>
      <c r="M7" s="303">
        <f ca="1">F7</f>
        <v>34160.93</v>
      </c>
    </row>
    <row r="8" spans="1:37" ht="18" customHeight="1">
      <c r="A8" s="304"/>
      <c r="B8" s="3752"/>
      <c r="C8" s="306"/>
      <c r="D8" s="307"/>
      <c r="E8" s="302" t="s">
        <v>697</v>
      </c>
      <c r="F8" s="303">
        <f ca="1">INDIRECT("'数据-取费表'!ai"&amp;$G$1)</f>
        <v>365</v>
      </c>
      <c r="G8" s="1381"/>
      <c r="H8" s="304"/>
      <c r="I8" s="3752"/>
      <c r="J8" s="306"/>
      <c r="K8" s="307"/>
      <c r="L8" s="302" t="s">
        <v>697</v>
      </c>
      <c r="M8" s="303">
        <f ca="1">INDIRECT("'数据-取费表'!ai"&amp;$G$1)</f>
        <v>365</v>
      </c>
    </row>
    <row r="9" spans="1:37" ht="18" customHeight="1">
      <c r="A9" s="304"/>
      <c r="B9" s="3753"/>
      <c r="C9" s="306"/>
      <c r="D9" s="307"/>
      <c r="E9" s="302" t="s">
        <v>698</v>
      </c>
      <c r="F9" s="312">
        <f ca="1">INDIRECT("'数据-取费表'!w"&amp;$G$1)</f>
        <v>0.1</v>
      </c>
      <c r="G9" s="1381"/>
      <c r="H9" s="304"/>
      <c r="I9" s="3753"/>
      <c r="J9" s="306"/>
      <c r="K9" s="307"/>
      <c r="L9" s="313" t="s">
        <v>698</v>
      </c>
      <c r="M9" s="314">
        <f ca="1">INDIRECT("'数据-取费表'!ab"&amp;$G$1)</f>
        <v>0</v>
      </c>
    </row>
    <row r="10" spans="1:37" ht="18" customHeight="1">
      <c r="A10" s="1066" t="s">
        <v>401</v>
      </c>
      <c r="B10" s="1362" t="s">
        <v>699</v>
      </c>
      <c r="C10" s="316">
        <f ca="1">ROUND(IF(F10="押一",C6/12*F11,IF(F10="押二",C6/12*2*F11,IF(F10="押三",C6/12*3*F11,C11*F11))),0)</f>
        <v>14</v>
      </c>
      <c r="D10" s="1363" t="s">
        <v>2113</v>
      </c>
      <c r="E10" s="313" t="s">
        <v>700</v>
      </c>
      <c r="F10" s="1113" t="s">
        <v>3462</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31379</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20497</v>
      </c>
      <c r="D14" s="3486" t="s">
        <v>707</v>
      </c>
      <c r="E14" s="3485"/>
      <c r="F14" s="319"/>
      <c r="G14" s="1381"/>
      <c r="H14" s="979" t="s">
        <v>397</v>
      </c>
      <c r="I14" s="302" t="s">
        <v>708</v>
      </c>
      <c r="J14" s="21">
        <f ca="1">C29</f>
        <v>32019</v>
      </c>
      <c r="K14" s="3478"/>
      <c r="L14" s="804"/>
      <c r="M14" s="805"/>
    </row>
    <row r="15" spans="1:37" s="1394" customFormat="1" ht="18" customHeight="1" thickBot="1">
      <c r="A15" s="979" t="s">
        <v>398</v>
      </c>
      <c r="B15" s="302" t="s">
        <v>709</v>
      </c>
      <c r="C15" s="21">
        <f ca="1">ROUND(C14*F15,0)</f>
        <v>1025</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166</v>
      </c>
      <c r="K16" s="1084" t="s">
        <v>714</v>
      </c>
      <c r="L16" s="3488"/>
      <c r="M16" s="1069"/>
    </row>
    <row r="17" spans="1:37" s="1394" customFormat="1" ht="18" customHeight="1">
      <c r="A17" s="979" t="s">
        <v>680</v>
      </c>
      <c r="B17" s="302" t="s">
        <v>715</v>
      </c>
      <c r="C17" s="21">
        <f ca="1">ROUND(F17*(F43+INDIRECT("'数据-取费表'!S"&amp;$G$1))/10000,0)</f>
        <v>683</v>
      </c>
      <c r="D17" s="302" t="s">
        <v>716</v>
      </c>
      <c r="E17" s="302" t="s">
        <v>717</v>
      </c>
      <c r="F17" s="23">
        <f>'数据-取费表'!B35</f>
        <v>200</v>
      </c>
      <c r="G17" s="1393"/>
      <c r="H17" s="979" t="s">
        <v>397</v>
      </c>
      <c r="I17" s="302" t="s">
        <v>718</v>
      </c>
      <c r="J17" s="2313">
        <f ca="1">ROUND(IF(AND(项目基本情况!B11="自然人",项目基本情况!B10="北京市"),J6*M17/(1+'数据-取费表'!C42),J18+J19+J20),2)</f>
        <v>5.72</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307</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22512</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675</v>
      </c>
      <c r="D20" s="2425" t="s">
        <v>728</v>
      </c>
      <c r="E20" s="302" t="s">
        <v>711</v>
      </c>
      <c r="F20" s="322">
        <f>'数据-取费表'!B37</f>
        <v>0.03</v>
      </c>
      <c r="G20" s="1393"/>
      <c r="H20" s="979" t="s">
        <v>679</v>
      </c>
      <c r="I20" s="155" t="s">
        <v>729</v>
      </c>
      <c r="J20" s="22">
        <f ca="1">ROUND(M20*M21/10000,2)</f>
        <v>5.72</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3176.16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160.1</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1281</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1.6999999999999999E-3</v>
      </c>
      <c r="D24" s="329" t="str">
        <f>IF(F23&lt;=1,"销售费用×利率×(建设周期÷2)","销售费用×((1+利率)^(建设周期÷2)-1)")</f>
        <v>销售费用×((1+利率)^(建设周期÷2)-1)</v>
      </c>
      <c r="E24" s="302" t="s">
        <v>746</v>
      </c>
      <c r="F24" s="331">
        <f ca="1">'数据-取费表'!B40</f>
        <v>3.6499999999999998E-2</v>
      </c>
      <c r="G24" s="1393"/>
      <c r="H24" s="1086" t="s">
        <v>682</v>
      </c>
      <c r="I24" s="1087" t="s">
        <v>727</v>
      </c>
      <c r="J24" s="1088">
        <f ca="1">ROUND(J5*M24,2)</f>
        <v>0</v>
      </c>
      <c r="K24" s="1089" t="s">
        <v>747</v>
      </c>
      <c r="L24" s="1087" t="s">
        <v>743</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-166</v>
      </c>
      <c r="K25" s="1092" t="s">
        <v>752</v>
      </c>
      <c r="L25" s="1093"/>
      <c r="M25" s="1094"/>
    </row>
    <row r="26" spans="1:37">
      <c r="A26" s="979" t="s">
        <v>396</v>
      </c>
      <c r="B26" s="302" t="s">
        <v>753</v>
      </c>
      <c r="C26" s="21">
        <f ca="1">ROUND((C19+C20)*F26,0)</f>
        <v>4637</v>
      </c>
      <c r="D26" s="2425" t="s">
        <v>754</v>
      </c>
      <c r="E26" s="313" t="s">
        <v>755</v>
      </c>
      <c r="F26" s="312">
        <f ca="1">INDIRECT("'数据-取费表'!q"&amp;$G$1)</f>
        <v>0.2</v>
      </c>
      <c r="G26" s="1381"/>
      <c r="H26" s="299" t="s">
        <v>394</v>
      </c>
      <c r="I26" s="300" t="s">
        <v>756</v>
      </c>
      <c r="J26" s="301">
        <f ca="1">IF(J5&lt;&gt;0,ROUND(J25*(1-((1+M28)/(1+M26))^M27)/(M26-M28),0),0)</f>
        <v>0</v>
      </c>
      <c r="K26" s="324" t="s">
        <v>757</v>
      </c>
      <c r="L26" s="302" t="s">
        <v>758</v>
      </c>
      <c r="M26" s="312">
        <f ca="1">INDIRECT("'数据-取费表'!I"&amp;$G$1)</f>
        <v>0.06</v>
      </c>
    </row>
    <row r="27" spans="1:37" ht="18" customHeight="1">
      <c r="A27" s="979" t="s">
        <v>398</v>
      </c>
      <c r="B27" s="302" t="s">
        <v>759</v>
      </c>
      <c r="C27" s="21">
        <f ca="1">ROUND(F21*F26,4)</f>
        <v>6.0000000000000001E-3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32019</v>
      </c>
      <c r="D29" s="1089"/>
      <c r="E29" s="1087"/>
      <c r="F29" s="1090"/>
      <c r="G29" s="1393"/>
      <c r="H29" s="334" t="s">
        <v>395</v>
      </c>
      <c r="I29" s="335" t="s">
        <v>767</v>
      </c>
      <c r="J29" s="336">
        <f ca="1">ROUND(J26/(1+F40)^F41,0)</f>
        <v>0</v>
      </c>
      <c r="K29" s="337" t="s">
        <v>768</v>
      </c>
      <c r="L29" s="338"/>
      <c r="M29" s="339">
        <f ca="1">INDIRECT("'数据-取费表'!k"&amp;$G$1)</f>
        <v>34160.93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2247</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1886.74</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598.51</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1282.51</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5.72</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3176.16</v>
      </c>
      <c r="G35" s="1381"/>
      <c r="H35" s="2694"/>
      <c r="I35" s="1395"/>
      <c r="J35" s="1396"/>
      <c r="K35" s="2698"/>
      <c r="L35" s="2697"/>
      <c r="M35" s="2697"/>
    </row>
    <row r="36" spans="1:18" ht="18" customHeight="1">
      <c r="A36" s="1099" t="s">
        <v>401</v>
      </c>
      <c r="B36" s="302" t="s">
        <v>737</v>
      </c>
      <c r="C36" s="21">
        <f ca="1">ROUND(C29*F36,2)</f>
        <v>160.1</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31.38</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168.54</v>
      </c>
      <c r="D38" s="1089" t="s">
        <v>747</v>
      </c>
      <c r="E38" s="1087" t="s">
        <v>743</v>
      </c>
      <c r="F38" s="1083">
        <f ca="1">INDIRECT("'数据-取费表'!Am"&amp;$G$1)</f>
        <v>1.4999999999999999E-2</v>
      </c>
      <c r="G38" s="1381"/>
      <c r="H38" s="2697"/>
      <c r="I38" s="1395"/>
      <c r="J38" s="1396"/>
      <c r="K38" s="2701"/>
      <c r="L38" s="2697"/>
      <c r="M38" s="2697"/>
    </row>
    <row r="39" spans="1:18" ht="24.6" customHeight="1" thickTop="1">
      <c r="A39" s="1076" t="s">
        <v>393</v>
      </c>
      <c r="B39" s="1091" t="s">
        <v>751</v>
      </c>
      <c r="C39" s="310">
        <f ca="1">C5-C30</f>
        <v>8989</v>
      </c>
      <c r="D39" s="1092" t="s">
        <v>752</v>
      </c>
      <c r="E39" s="1093"/>
      <c r="F39" s="1094"/>
      <c r="G39" s="1381"/>
      <c r="H39" s="2697"/>
      <c r="I39" s="1395"/>
      <c r="J39" s="1396"/>
      <c r="K39" s="2701"/>
      <c r="L39" s="2697"/>
      <c r="M39" s="2697"/>
    </row>
    <row r="40" spans="1:18" ht="18" customHeight="1">
      <c r="A40" s="299" t="s">
        <v>394</v>
      </c>
      <c r="B40" s="300" t="s">
        <v>773</v>
      </c>
      <c r="C40" s="301">
        <f ca="1">ROUND(C39*(1-((1+F42)/(1+F40))^F41)/(F40-F42),0)</f>
        <v>134725</v>
      </c>
      <c r="D40" s="324" t="s">
        <v>757</v>
      </c>
      <c r="E40" s="302" t="s">
        <v>758</v>
      </c>
      <c r="F40" s="312">
        <f ca="1">INDIRECT("'数据-取费表'!I"&amp;$G$1)</f>
        <v>0.06</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20.8</v>
      </c>
      <c r="G41" s="1381"/>
      <c r="H41" s="1188"/>
      <c r="I41" s="1395"/>
      <c r="J41" s="1396"/>
      <c r="K41" s="2541"/>
      <c r="L41" s="1188"/>
      <c r="M41" s="1188"/>
    </row>
    <row r="42" spans="1:18" ht="18" customHeight="1">
      <c r="A42" s="308"/>
      <c r="B42" s="309"/>
      <c r="C42" s="310"/>
      <c r="D42" s="327"/>
      <c r="E42" s="302" t="s">
        <v>765</v>
      </c>
      <c r="F42" s="312">
        <f ca="1">INDIRECT("'数据-取费表'!v"&amp;$G$1)</f>
        <v>0.03</v>
      </c>
      <c r="G42" s="1381"/>
      <c r="H42" s="1188"/>
      <c r="I42" s="1395"/>
      <c r="J42" s="1396"/>
      <c r="K42" s="2541"/>
      <c r="L42" s="1188"/>
      <c r="M42" s="1188"/>
    </row>
    <row r="43" spans="1:18" ht="18" customHeight="1" thickBot="1">
      <c r="A43" s="334" t="s">
        <v>395</v>
      </c>
      <c r="B43" s="335" t="s">
        <v>775</v>
      </c>
      <c r="C43" s="336">
        <f ca="1">ROUND(C40*10000/F43,0)</f>
        <v>39438</v>
      </c>
      <c r="D43" s="337" t="s">
        <v>776</v>
      </c>
      <c r="E43" s="338" t="s">
        <v>777</v>
      </c>
      <c r="F43" s="339">
        <f ca="1">INDIRECT("'数据-取费表'!k"&amp;$G$1)</f>
        <v>34160.93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-137031</v>
      </c>
      <c r="D46" s="1403" t="str">
        <f>C2</f>
        <v>万元</v>
      </c>
      <c r="E46" s="1397"/>
      <c r="F46" s="1397"/>
      <c r="I46" s="1404" t="s">
        <v>809</v>
      </c>
      <c r="J46" s="1405"/>
      <c r="K46" s="1406"/>
      <c r="L46" s="1407">
        <f ca="1">IF(M47="住宅",0,IF(L48&gt;J51,L60,J60))</f>
        <v>4218</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3463</v>
      </c>
      <c r="K47" s="1413" t="s">
        <v>815</v>
      </c>
      <c r="L47" s="1414">
        <f ca="1">INDIRECT("'数据-取费表'!d"&amp;$G$1)</f>
        <v>40</v>
      </c>
      <c r="M47" s="1377" t="str">
        <f>IF(ISNUMBER(FIND("住宅",C1)),"住宅","非住宅")</f>
        <v>非住宅</v>
      </c>
      <c r="O47" s="1415" t="s">
        <v>402</v>
      </c>
      <c r="P47" s="1416" t="s">
        <v>816</v>
      </c>
      <c r="Q47" s="1417">
        <f ca="1">C40+J29</f>
        <v>134725</v>
      </c>
      <c r="R47" s="1417" t="s">
        <v>817</v>
      </c>
    </row>
    <row r="48" spans="1:18" s="1381" customFormat="1" ht="28.5" thickBot="1">
      <c r="A48" s="1107" t="s">
        <v>437</v>
      </c>
      <c r="B48" s="300" t="s">
        <v>691</v>
      </c>
      <c r="C48" s="3491">
        <f ca="1">C49+C53+C55</f>
        <v>0</v>
      </c>
      <c r="D48" s="1109"/>
      <c r="E48" s="1110"/>
      <c r="F48" s="959"/>
      <c r="G48" s="722"/>
      <c r="H48" s="723"/>
      <c r="I48" s="1418" t="s">
        <v>818</v>
      </c>
      <c r="J48" s="1419" t="s">
        <v>3464</v>
      </c>
      <c r="K48" s="1420" t="s">
        <v>819</v>
      </c>
      <c r="L48" s="1421">
        <f ca="1">INDIRECT("'数据-取费表'!f"&amp;$G$1)</f>
        <v>20.8</v>
      </c>
      <c r="O48" s="1415" t="s">
        <v>403</v>
      </c>
      <c r="P48" s="1416" t="s">
        <v>820</v>
      </c>
      <c r="Q48" s="1417">
        <f ca="1">J60</f>
        <v>4218</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32019</v>
      </c>
      <c r="R49" s="1417" t="s">
        <v>817</v>
      </c>
    </row>
    <row r="50" spans="1:18" s="1381" customFormat="1" ht="13.5" thickBot="1">
      <c r="A50" s="973"/>
      <c r="B50" s="976"/>
      <c r="C50" s="1115"/>
      <c r="D50" s="950"/>
      <c r="E50" s="1053" t="s">
        <v>696</v>
      </c>
      <c r="F50" s="1054">
        <f ca="1">F7</f>
        <v>34160.93</v>
      </c>
      <c r="H50" s="723"/>
      <c r="I50" s="1418" t="s">
        <v>825</v>
      </c>
      <c r="J50" s="1426">
        <f>SUMPRODUCT((I63:I65=J47)*(J62:L62=J48)*(J63:L65))</f>
        <v>60</v>
      </c>
      <c r="K50" s="1420" t="s">
        <v>826</v>
      </c>
      <c r="L50" s="1424"/>
      <c r="M50" s="1427"/>
      <c r="O50" s="1425" t="s">
        <v>405</v>
      </c>
      <c r="P50" s="1416" t="s">
        <v>827</v>
      </c>
      <c r="Q50" s="1428">
        <f ca="1">J58</f>
        <v>0.65300000000000002</v>
      </c>
      <c r="R50" s="1417"/>
    </row>
    <row r="51" spans="1:18" s="1381" customFormat="1" ht="13.5" thickBot="1">
      <c r="A51" s="974"/>
      <c r="B51" s="976"/>
      <c r="C51" s="977"/>
      <c r="D51" s="950"/>
      <c r="E51" s="978" t="s">
        <v>697</v>
      </c>
      <c r="F51" s="303">
        <f ca="1">F8</f>
        <v>365</v>
      </c>
      <c r="I51" s="1429" t="s">
        <v>828</v>
      </c>
      <c r="J51" s="1430">
        <f>IF(J49="",J50,J49+J50-YEAR('数据-取费表'!B2))</f>
        <v>60</v>
      </c>
      <c r="K51" s="1431" t="s">
        <v>829</v>
      </c>
      <c r="L51" s="1432">
        <f ca="1">ROUND(-PV(INDIRECT("'数据-取费表'!h"&amp;$G$1),J51,(C39-C13*C76),0),0)</f>
        <v>115790</v>
      </c>
      <c r="M51" s="1433"/>
      <c r="O51" s="1425" t="s">
        <v>406</v>
      </c>
      <c r="P51" s="1416" t="s">
        <v>830</v>
      </c>
      <c r="Q51" s="1428">
        <f>J52</f>
        <v>0.08</v>
      </c>
      <c r="R51" s="1417"/>
    </row>
    <row r="52" spans="1:18" s="1381" customFormat="1" ht="13.5" thickBot="1">
      <c r="A52" s="974"/>
      <c r="B52" s="976"/>
      <c r="C52" s="977"/>
      <c r="D52" s="950"/>
      <c r="E52" s="978" t="s">
        <v>698</v>
      </c>
      <c r="F52" s="1051"/>
      <c r="I52" s="1434" t="s">
        <v>831</v>
      </c>
      <c r="J52" s="1435">
        <f>'数据-取费表'!J7+0.5%</f>
        <v>0.08</v>
      </c>
      <c r="K52" s="1434" t="s">
        <v>832</v>
      </c>
      <c r="L52" s="1435"/>
      <c r="O52" s="1425" t="s">
        <v>407</v>
      </c>
      <c r="P52" s="1416" t="s">
        <v>833</v>
      </c>
      <c r="Q52" s="1417">
        <f ca="1">J53</f>
        <v>20.8</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20.8</v>
      </c>
      <c r="K53" s="3754" t="s">
        <v>836</v>
      </c>
      <c r="L53" s="3755"/>
      <c r="O53" s="1415" t="s">
        <v>408</v>
      </c>
      <c r="P53" s="1416" t="s">
        <v>837</v>
      </c>
      <c r="Q53" s="1417">
        <f ca="1">Q47+Q48</f>
        <v>138943</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0.65300000000000002</v>
      </c>
      <c r="K55" s="1442" t="s">
        <v>840</v>
      </c>
      <c r="L55" s="1443"/>
      <c r="O55" s="1408" t="s">
        <v>810</v>
      </c>
      <c r="P55" s="1409" t="s">
        <v>811</v>
      </c>
      <c r="Q55" s="1410" t="s">
        <v>812</v>
      </c>
      <c r="R55" s="1410" t="s">
        <v>813</v>
      </c>
    </row>
    <row r="56" spans="1:18" s="1381" customFormat="1" ht="25.5" thickTop="1" thickBot="1">
      <c r="A56" s="954">
        <v>2</v>
      </c>
      <c r="B56" s="955" t="s">
        <v>703</v>
      </c>
      <c r="C56" s="232">
        <f ca="1">C13</f>
        <v>31379</v>
      </c>
      <c r="D56" s="1444"/>
      <c r="E56" s="1445"/>
      <c r="F56" s="1437"/>
      <c r="I56" s="1446" t="s">
        <v>841</v>
      </c>
      <c r="J56" s="1447" t="s">
        <v>3419</v>
      </c>
      <c r="K56" s="1418" t="s">
        <v>842</v>
      </c>
      <c r="L56" s="1421" t="str">
        <f ca="1">IF(L48&lt;J51,"——",L48-J53)</f>
        <v>——</v>
      </c>
      <c r="O56" s="1415" t="s">
        <v>402</v>
      </c>
      <c r="P56" s="1416" t="s">
        <v>816</v>
      </c>
      <c r="Q56" s="1417">
        <f ca="1">C40+J29</f>
        <v>134725</v>
      </c>
      <c r="R56" s="1417" t="s">
        <v>817</v>
      </c>
    </row>
    <row r="57" spans="1:18" s="1381" customFormat="1" ht="24.75" thickBot="1">
      <c r="A57" s="1448"/>
      <c r="B57" s="947" t="s">
        <v>766</v>
      </c>
      <c r="C57" s="238">
        <f ca="1">C29</f>
        <v>32019</v>
      </c>
      <c r="D57" s="1449"/>
      <c r="E57" s="1450"/>
      <c r="F57" s="1451"/>
      <c r="I57" s="1452" t="s">
        <v>843</v>
      </c>
      <c r="J57" s="1453">
        <f ca="1">IF(OR(M47="住宅",J51&lt;L48,J56="是"),"——",J51-L48)</f>
        <v>39.200000000000003</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197</v>
      </c>
      <c r="D58" s="957" t="s">
        <v>714</v>
      </c>
      <c r="E58" s="958"/>
      <c r="F58" s="959"/>
      <c r="I58" s="1452" t="s">
        <v>847</v>
      </c>
      <c r="J58" s="1454">
        <f ca="1">IF(J55&lt;0.4,0.4,J55)</f>
        <v>0.65300000000000002</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6</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20908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4218</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5.72</v>
      </c>
      <c r="D62" s="962" t="s">
        <v>730</v>
      </c>
      <c r="E62" s="947" t="s">
        <v>731</v>
      </c>
      <c r="F62" s="325">
        <f t="shared" si="0"/>
        <v>18</v>
      </c>
      <c r="I62" s="1459" t="s">
        <v>857</v>
      </c>
      <c r="J62" s="1460" t="s">
        <v>858</v>
      </c>
      <c r="K62" s="1460" t="s">
        <v>859</v>
      </c>
      <c r="L62" s="1460" t="s">
        <v>860</v>
      </c>
      <c r="M62" s="1461" t="s">
        <v>861</v>
      </c>
      <c r="O62" s="1415" t="s">
        <v>408</v>
      </c>
      <c r="P62" s="1416" t="s">
        <v>837</v>
      </c>
      <c r="Q62" s="1417">
        <f ca="1">Q56+Q57</f>
        <v>134725</v>
      </c>
      <c r="R62" s="1417" t="s">
        <v>409</v>
      </c>
    </row>
    <row r="63" spans="1:18" s="1381" customFormat="1" ht="13.5" thickBot="1">
      <c r="A63" s="326"/>
      <c r="B63" s="953"/>
      <c r="C63" s="26"/>
      <c r="D63" s="963"/>
      <c r="E63" s="947" t="s">
        <v>735</v>
      </c>
      <c r="F63" s="303">
        <f t="shared" ca="1" si="0"/>
        <v>3176.16</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160.1</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31.38</v>
      </c>
      <c r="D65" s="961" t="s">
        <v>742</v>
      </c>
      <c r="E65" s="947" t="s">
        <v>743</v>
      </c>
      <c r="F65" s="330">
        <f t="shared" ca="1" si="0"/>
        <v>1E-3</v>
      </c>
      <c r="I65" s="1459" t="s">
        <v>866</v>
      </c>
      <c r="J65" s="1460">
        <v>40</v>
      </c>
      <c r="K65" s="1460">
        <v>30</v>
      </c>
      <c r="L65" s="1460">
        <v>50</v>
      </c>
      <c r="M65" s="1462">
        <v>0.02</v>
      </c>
      <c r="O65" s="1415" t="s">
        <v>402</v>
      </c>
      <c r="P65" s="1416" t="s">
        <v>867</v>
      </c>
      <c r="Q65" s="1417">
        <f ca="1">C40+J29</f>
        <v>134725</v>
      </c>
      <c r="R65" s="1417" t="s">
        <v>817</v>
      </c>
    </row>
    <row r="66" spans="1:18" s="1381" customFormat="1" ht="16.5" thickBot="1">
      <c r="A66" s="979" t="s">
        <v>792</v>
      </c>
      <c r="B66" s="947" t="s">
        <v>727</v>
      </c>
      <c r="C66" s="21">
        <f ca="1">ROUND(C48*F66,2)</f>
        <v>0</v>
      </c>
      <c r="D66" s="961" t="s">
        <v>747</v>
      </c>
      <c r="E66" s="947" t="s">
        <v>711</v>
      </c>
      <c r="F66" s="312">
        <f t="shared" ca="1" si="0"/>
        <v>1.4999999999999999E-2</v>
      </c>
      <c r="O66" s="1415" t="s">
        <v>403</v>
      </c>
      <c r="P66" s="1416" t="s">
        <v>845</v>
      </c>
      <c r="Q66" s="1417">
        <f ca="1">L60</f>
        <v>0</v>
      </c>
      <c r="R66" s="1417" t="s">
        <v>868</v>
      </c>
    </row>
    <row r="67" spans="1:18" s="1381" customFormat="1" ht="16.5" thickBot="1">
      <c r="A67" s="954" t="s">
        <v>393</v>
      </c>
      <c r="B67" s="964" t="s">
        <v>751</v>
      </c>
      <c r="C67" s="316">
        <f ca="1">C48-C58</f>
        <v>-197</v>
      </c>
      <c r="D67" s="960" t="s">
        <v>752</v>
      </c>
      <c r="E67" s="965"/>
      <c r="F67" s="966"/>
      <c r="O67" s="1425" t="s">
        <v>404</v>
      </c>
      <c r="P67" s="1416" t="s">
        <v>849</v>
      </c>
      <c r="Q67" s="1463">
        <f ca="1">L51</f>
        <v>115790</v>
      </c>
      <c r="R67" s="1417" t="s">
        <v>869</v>
      </c>
    </row>
    <row r="68" spans="1:18" s="1381" customFormat="1" ht="16.5" thickBot="1">
      <c r="A68" s="944" t="s">
        <v>394</v>
      </c>
      <c r="B68" s="945" t="s">
        <v>773</v>
      </c>
      <c r="C68" s="301">
        <f ca="1">ROUND(C67*(1-((1+F70)/(1+F68))^F69)/(F68-F70),0)</f>
        <v>-2306</v>
      </c>
      <c r="D68" s="962" t="s">
        <v>757</v>
      </c>
      <c r="E68" s="947" t="s">
        <v>758</v>
      </c>
      <c r="F68" s="312">
        <f ca="1">F40</f>
        <v>0.06</v>
      </c>
      <c r="O68" s="1425" t="s">
        <v>405</v>
      </c>
      <c r="P68" s="1464" t="s">
        <v>870</v>
      </c>
      <c r="Q68" s="1417">
        <f ca="1">ROUND(Q69-Q70*Q71,0)</f>
        <v>6636</v>
      </c>
      <c r="R68" s="1417" t="s">
        <v>413</v>
      </c>
    </row>
    <row r="69" spans="1:18" s="1381" customFormat="1" ht="13.5" thickBot="1">
      <c r="A69" s="948"/>
      <c r="B69" s="949"/>
      <c r="C69" s="306"/>
      <c r="D69" s="967" t="s">
        <v>761</v>
      </c>
      <c r="E69" s="947" t="s">
        <v>762</v>
      </c>
      <c r="F69" s="333">
        <f ca="1">F41</f>
        <v>20.8</v>
      </c>
      <c r="O69" s="1425" t="s">
        <v>410</v>
      </c>
      <c r="P69" s="1464" t="s">
        <v>871</v>
      </c>
      <c r="Q69" s="1417">
        <f ca="1">C39</f>
        <v>8989</v>
      </c>
      <c r="R69" s="1417" t="s">
        <v>817</v>
      </c>
    </row>
    <row r="70" spans="1:18" s="1381" customFormat="1" ht="13.5" thickBot="1">
      <c r="A70" s="951"/>
      <c r="B70" s="952"/>
      <c r="C70" s="310"/>
      <c r="D70" s="963"/>
      <c r="E70" s="947" t="s">
        <v>765</v>
      </c>
      <c r="F70" s="1051"/>
      <c r="O70" s="1425" t="s">
        <v>411</v>
      </c>
      <c r="P70" s="1464" t="s">
        <v>872</v>
      </c>
      <c r="Q70" s="1417">
        <f ca="1">C13</f>
        <v>31379</v>
      </c>
      <c r="R70" s="1417" t="s">
        <v>817</v>
      </c>
    </row>
    <row r="71" spans="1:18" s="1381" customFormat="1" ht="13.5" thickBot="1">
      <c r="A71" s="968" t="s">
        <v>395</v>
      </c>
      <c r="B71" s="969" t="s">
        <v>775</v>
      </c>
      <c r="C71" s="336">
        <f ca="1">ROUND(C68*10000/F71,0)</f>
        <v>-675</v>
      </c>
      <c r="D71" s="970" t="s">
        <v>776</v>
      </c>
      <c r="E71" s="971" t="s">
        <v>777</v>
      </c>
      <c r="F71" s="339">
        <f ca="1">F43</f>
        <v>34160.93</v>
      </c>
      <c r="O71" s="1425" t="s">
        <v>412</v>
      </c>
      <c r="P71" s="1464" t="s">
        <v>873</v>
      </c>
      <c r="Q71" s="1428">
        <f ca="1">C76</f>
        <v>7.4999999999999997E-2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2353</v>
      </c>
      <c r="D75" s="1381"/>
      <c r="E75" s="1381"/>
      <c r="F75" s="1381"/>
      <c r="K75" s="1399"/>
      <c r="L75" s="1381"/>
      <c r="O75" s="1415" t="s">
        <v>408</v>
      </c>
      <c r="P75" s="1416" t="s">
        <v>837</v>
      </c>
      <c r="Q75" s="1417">
        <f ca="1">Q65+Q66</f>
        <v>134725</v>
      </c>
      <c r="R75" s="1417" t="s">
        <v>409</v>
      </c>
    </row>
    <row r="76" spans="1:18">
      <c r="B76" s="342" t="s">
        <v>795</v>
      </c>
      <c r="C76" s="343">
        <f ca="1">INDIRECT("'数据-取费表'!j"&amp;$G$1)</f>
        <v>7.4999999999999997E-2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0.73799999999999999</v>
      </c>
    </row>
    <row r="80" spans="1:18">
      <c r="B80" s="340" t="s">
        <v>799</v>
      </c>
      <c r="C80" s="274">
        <f ca="1">ROUND(C75/C39,3)</f>
        <v>0.26200000000000001</v>
      </c>
    </row>
    <row r="81" spans="2:3">
      <c r="B81" s="270" t="s">
        <v>800</v>
      </c>
      <c r="C81" s="238"/>
    </row>
    <row r="82" spans="2:3">
      <c r="B82" s="273" t="s">
        <v>801</v>
      </c>
      <c r="C82" s="275">
        <f ca="1">1-C83</f>
        <v>0.76700000000000002</v>
      </c>
    </row>
    <row r="83" spans="2:3">
      <c r="B83" s="273" t="s">
        <v>802</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21</v>
      </c>
      <c r="D1" s="1359" t="s">
        <v>43</v>
      </c>
      <c r="E1" s="1360" t="s">
        <v>677</v>
      </c>
      <c r="F1" s="1059">
        <f ca="1">J53</f>
        <v>30.81</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803</v>
      </c>
      <c r="B2" s="1383">
        <f ca="1">C40+J29+L46</f>
        <v>435963</v>
      </c>
      <c r="C2" s="1384" t="s">
        <v>804</v>
      </c>
      <c r="D2" s="1384"/>
      <c r="E2" s="1385"/>
      <c r="F2" s="1386"/>
      <c r="G2" s="2703"/>
      <c r="H2" s="2692"/>
      <c r="I2" s="2692"/>
      <c r="J2" s="2692"/>
      <c r="K2" s="2693"/>
      <c r="L2" s="2692"/>
      <c r="M2" s="2692"/>
    </row>
    <row r="3" spans="1:37" ht="18" customHeight="1" thickBot="1">
      <c r="A3" s="1387" t="s">
        <v>805</v>
      </c>
      <c r="B3" s="1388">
        <f ca="1">IF(ISERROR(B2*10000/F43),0,ROUND(B2*10000/F43,0))</f>
        <v>67073</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26296</v>
      </c>
      <c r="D5" s="1361" t="s">
        <v>692</v>
      </c>
      <c r="E5" s="1068"/>
      <c r="F5" s="1069"/>
      <c r="G5" s="1381"/>
      <c r="H5" s="299">
        <v>1</v>
      </c>
      <c r="I5" s="300" t="s">
        <v>691</v>
      </c>
      <c r="J5" s="1067">
        <f ca="1">J6+J10+J12</f>
        <v>0</v>
      </c>
      <c r="K5" s="1361" t="s">
        <v>692</v>
      </c>
      <c r="L5" s="1068"/>
      <c r="M5" s="1069"/>
    </row>
    <row r="6" spans="1:37" ht="18" customHeight="1">
      <c r="A6" s="1066" t="s">
        <v>397</v>
      </c>
      <c r="B6" s="3751" t="s">
        <v>693</v>
      </c>
      <c r="C6" s="1071">
        <f ca="1">ROUND(F6*F8*F7*(1-F9)/10000,0)</f>
        <v>26263</v>
      </c>
      <c r="D6" s="155" t="s">
        <v>2106</v>
      </c>
      <c r="E6" s="302" t="s">
        <v>695</v>
      </c>
      <c r="F6" s="303">
        <f ca="1">INDIRECT("'数据-取费表'!u"&amp;$G$1)</f>
        <v>12.3</v>
      </c>
      <c r="G6" s="1381"/>
      <c r="H6" s="1066" t="s">
        <v>397</v>
      </c>
      <c r="I6" s="3751" t="s">
        <v>693</v>
      </c>
      <c r="J6" s="301">
        <f ca="1">ROUND(M6*M8*M7*(1-M9)/10000,0)</f>
        <v>0</v>
      </c>
      <c r="K6" s="155" t="s">
        <v>2105</v>
      </c>
      <c r="L6" s="302" t="s">
        <v>695</v>
      </c>
      <c r="M6" s="303">
        <f ca="1">INDIRECT("'数据-取费表'!z"&amp;$G$1)</f>
        <v>0</v>
      </c>
    </row>
    <row r="7" spans="1:37" ht="18" customHeight="1">
      <c r="A7" s="1070"/>
      <c r="B7" s="3752"/>
      <c r="C7" s="1072"/>
      <c r="D7" s="307"/>
      <c r="E7" s="1073" t="s">
        <v>696</v>
      </c>
      <c r="F7" s="303">
        <f ca="1">IF(INDIRECT("'数据-取费表'!ah"&amp;$G$1)="",INDIRECT("'数据-取费表'!k"&amp;$G$1),INDIRECT("'数据-取费表'!ah"&amp;$G$1))</f>
        <v>64998.039999999994</v>
      </c>
      <c r="G7" s="1381"/>
      <c r="H7" s="304"/>
      <c r="I7" s="3752"/>
      <c r="J7" s="306"/>
      <c r="K7" s="307"/>
      <c r="L7" s="302" t="s">
        <v>696</v>
      </c>
      <c r="M7" s="303">
        <f ca="1">F7</f>
        <v>64998.039999999994</v>
      </c>
    </row>
    <row r="8" spans="1:37" ht="18" customHeight="1">
      <c r="A8" s="304"/>
      <c r="B8" s="3752"/>
      <c r="C8" s="306"/>
      <c r="D8" s="307"/>
      <c r="E8" s="302" t="s">
        <v>697</v>
      </c>
      <c r="F8" s="303">
        <f ca="1">INDIRECT("'数据-取费表'!ai"&amp;$G$1)</f>
        <v>365</v>
      </c>
      <c r="G8" s="1381"/>
      <c r="H8" s="304"/>
      <c r="I8" s="3752"/>
      <c r="J8" s="306"/>
      <c r="K8" s="307"/>
      <c r="L8" s="302" t="s">
        <v>697</v>
      </c>
      <c r="M8" s="303">
        <f ca="1">INDIRECT("'数据-取费表'!ai"&amp;$G$1)</f>
        <v>365</v>
      </c>
    </row>
    <row r="9" spans="1:37" ht="18" customHeight="1">
      <c r="A9" s="304"/>
      <c r="B9" s="3753"/>
      <c r="C9" s="306"/>
      <c r="D9" s="307"/>
      <c r="E9" s="302" t="s">
        <v>698</v>
      </c>
      <c r="F9" s="312">
        <f ca="1">INDIRECT("'数据-取费表'!w"&amp;$G$1)</f>
        <v>0.1</v>
      </c>
      <c r="G9" s="1381"/>
      <c r="H9" s="304"/>
      <c r="I9" s="3753"/>
      <c r="J9" s="306"/>
      <c r="K9" s="307"/>
      <c r="L9" s="313" t="s">
        <v>698</v>
      </c>
      <c r="M9" s="314">
        <f ca="1">INDIRECT("'数据-取费表'!ab"&amp;$G$1)</f>
        <v>0</v>
      </c>
    </row>
    <row r="10" spans="1:37" ht="18" customHeight="1">
      <c r="A10" s="1066" t="s">
        <v>401</v>
      </c>
      <c r="B10" s="1362" t="s">
        <v>699</v>
      </c>
      <c r="C10" s="316">
        <f ca="1">ROUND(IF(F10="押一",C6/12*F11,IF(F10="押二",C6/12*2*F11,IF(F10="押三",C6/12*3*F11,C11*F11))),0)</f>
        <v>33</v>
      </c>
      <c r="D10" s="1363" t="s">
        <v>2114</v>
      </c>
      <c r="E10" s="313" t="s">
        <v>700</v>
      </c>
      <c r="F10" s="1113" t="s">
        <v>3462</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64531</v>
      </c>
      <c r="D13" s="1078" t="s">
        <v>704</v>
      </c>
      <c r="E13" s="1078"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42249</v>
      </c>
      <c r="D14" s="1342" t="s">
        <v>707</v>
      </c>
      <c r="E14" s="1339"/>
      <c r="F14" s="319"/>
      <c r="G14" s="1381"/>
      <c r="H14" s="979" t="s">
        <v>397</v>
      </c>
      <c r="I14" s="302" t="s">
        <v>708</v>
      </c>
      <c r="J14" s="21">
        <f ca="1">C29</f>
        <v>65848</v>
      </c>
      <c r="K14" s="12"/>
      <c r="L14" s="804"/>
      <c r="M14" s="805"/>
    </row>
    <row r="15" spans="1:37" s="1394" customFormat="1" ht="18" customHeight="1" thickBot="1">
      <c r="A15" s="979" t="s">
        <v>398</v>
      </c>
      <c r="B15" s="302" t="s">
        <v>709</v>
      </c>
      <c r="C15" s="21">
        <f ca="1">ROUND(C14*F15,0)</f>
        <v>2112</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340</v>
      </c>
      <c r="K16" s="1084" t="s">
        <v>714</v>
      </c>
      <c r="L16" s="1085"/>
      <c r="M16" s="1069"/>
    </row>
    <row r="17" spans="1:37" s="1394" customFormat="1" ht="18" customHeight="1">
      <c r="A17" s="979" t="s">
        <v>680</v>
      </c>
      <c r="B17" s="302" t="s">
        <v>715</v>
      </c>
      <c r="C17" s="21">
        <f ca="1">ROUND(F17*(F43+INDIRECT("'数据-取费表'!S"&amp;$G$1))/10000,0)</f>
        <v>1300</v>
      </c>
      <c r="D17" s="302" t="s">
        <v>716</v>
      </c>
      <c r="E17" s="302" t="s">
        <v>717</v>
      </c>
      <c r="F17" s="23">
        <f>'数据-取费表'!B35</f>
        <v>200</v>
      </c>
      <c r="G17" s="1393"/>
      <c r="H17" s="979" t="s">
        <v>397</v>
      </c>
      <c r="I17" s="302" t="s">
        <v>718</v>
      </c>
      <c r="J17" s="2313">
        <f ca="1">ROUND(IF(AND(项目基本情况!B11="自然人",项目基本情况!B10="北京市"),J6*M17/(1+'数据-取费表'!C42),J18+J19+J20),2)</f>
        <v>10.88</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634</v>
      </c>
      <c r="D18" s="302" t="s">
        <v>710</v>
      </c>
      <c r="E18" s="302" t="s">
        <v>711</v>
      </c>
      <c r="F18" s="322">
        <f>'数据-取费表'!B36</f>
        <v>1.4999999999999999E-2</v>
      </c>
      <c r="G18" s="1393"/>
      <c r="H18" s="979" t="s">
        <v>396</v>
      </c>
      <c r="I18" s="302" t="s">
        <v>722</v>
      </c>
      <c r="J18" s="21">
        <f ca="1">ROUND(J6*M18/(1+'数据-取费表'!C42),2)</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46295</v>
      </c>
      <c r="D19" s="131" t="s">
        <v>725</v>
      </c>
      <c r="E19" s="1357"/>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1389</v>
      </c>
      <c r="D20" s="323" t="s">
        <v>728</v>
      </c>
      <c r="E20" s="302" t="s">
        <v>711</v>
      </c>
      <c r="F20" s="322">
        <f>'数据-取费表'!B37</f>
        <v>0.03</v>
      </c>
      <c r="G20" s="1393"/>
      <c r="H20" s="979" t="s">
        <v>679</v>
      </c>
      <c r="I20" s="155" t="s">
        <v>729</v>
      </c>
      <c r="J20" s="22">
        <f ca="1">ROUND(M20*M21/10000,2)</f>
        <v>10.88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323" t="s">
        <v>733</v>
      </c>
      <c r="E21" s="302" t="s">
        <v>734</v>
      </c>
      <c r="F21" s="322">
        <f>'数据-取费表'!B38</f>
        <v>0.03</v>
      </c>
      <c r="G21" s="1393"/>
      <c r="H21" s="326"/>
      <c r="I21" s="311"/>
      <c r="J21" s="26"/>
      <c r="K21" s="327"/>
      <c r="L21" s="302" t="s">
        <v>735</v>
      </c>
      <c r="M21" s="303">
        <f ca="1">INDIRECT("'数据-取费表'!r"&amp;$G$1)</f>
        <v>6043.28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ROUND(J14*M22,2)</f>
        <v>329.24</v>
      </c>
      <c r="K22" s="1341"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2635</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1341"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1.6999999999999999E-3</v>
      </c>
      <c r="D24" s="329" t="str">
        <f>IF(F23&lt;=1,"销售费用×利率×(建设周期÷2)","销售费用×((1+利率)^(建设周期÷2)-1)")</f>
        <v>销售费用×((1+利率)^(建设周期÷2)-1)</v>
      </c>
      <c r="E24" s="302" t="s">
        <v>746</v>
      </c>
      <c r="F24" s="331">
        <f ca="1">'数据-取费表'!B40</f>
        <v>3.6499999999999998E-2</v>
      </c>
      <c r="G24" s="1393"/>
      <c r="H24" s="1086" t="s">
        <v>683</v>
      </c>
      <c r="I24" s="1087" t="s">
        <v>727</v>
      </c>
      <c r="J24" s="1088">
        <f ca="1">ROUND(J5*M24,2)</f>
        <v>0</v>
      </c>
      <c r="K24" s="1089" t="s">
        <v>747</v>
      </c>
      <c r="L24" s="1087" t="s">
        <v>743</v>
      </c>
      <c r="M24" s="1083">
        <f ca="1">INDIRECT("'数据-取费表'!Am"&amp;$G$1)</f>
        <v>0.03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1357"/>
      <c r="F25" s="23"/>
      <c r="G25" s="1381"/>
      <c r="H25" s="1076" t="s">
        <v>393</v>
      </c>
      <c r="I25" s="1091" t="s">
        <v>751</v>
      </c>
      <c r="J25" s="310">
        <f ca="1">J5-J16</f>
        <v>-340</v>
      </c>
      <c r="K25" s="1092" t="s">
        <v>752</v>
      </c>
      <c r="L25" s="1093"/>
      <c r="M25" s="1094"/>
    </row>
    <row r="26" spans="1:37">
      <c r="A26" s="979" t="s">
        <v>396</v>
      </c>
      <c r="B26" s="302" t="s">
        <v>753</v>
      </c>
      <c r="C26" s="21">
        <f ca="1">ROUND((C19+C20)*F26,0)</f>
        <v>9537</v>
      </c>
      <c r="D26" s="323" t="s">
        <v>754</v>
      </c>
      <c r="E26" s="313" t="s">
        <v>755</v>
      </c>
      <c r="F26" s="312">
        <f ca="1">INDIRECT("'数据-取费表'!q"&amp;$G$1)</f>
        <v>0.2</v>
      </c>
      <c r="G26" s="1381"/>
      <c r="H26" s="299" t="s">
        <v>394</v>
      </c>
      <c r="I26" s="300" t="s">
        <v>756</v>
      </c>
      <c r="J26" s="301">
        <f ca="1">IF(J5&lt;&gt;0,ROUND(J25*(1-((1+M28)/(1+M26))^M27)/(M26-M28),0),0)</f>
        <v>0</v>
      </c>
      <c r="K26" s="324" t="s">
        <v>757</v>
      </c>
      <c r="L26" s="302" t="s">
        <v>758</v>
      </c>
      <c r="M26" s="312">
        <f ca="1">INDIRECT("'数据-取费表'!I"&amp;$G$1)</f>
        <v>5.5E-2</v>
      </c>
    </row>
    <row r="27" spans="1:37" ht="18" customHeight="1">
      <c r="A27" s="979" t="s">
        <v>398</v>
      </c>
      <c r="B27" s="302" t="s">
        <v>759</v>
      </c>
      <c r="C27" s="21">
        <f ca="1">ROUND(F21*F26,4)</f>
        <v>6.0000000000000001E-3</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65848</v>
      </c>
      <c r="D29" s="1089"/>
      <c r="E29" s="1087"/>
      <c r="F29" s="1090"/>
      <c r="G29" s="1393"/>
      <c r="H29" s="334" t="s">
        <v>395</v>
      </c>
      <c r="I29" s="335" t="s">
        <v>767</v>
      </c>
      <c r="J29" s="336">
        <f ca="1">ROUND(J26/(1+F40)^F41,0)</f>
        <v>0</v>
      </c>
      <c r="K29" s="337" t="s">
        <v>768</v>
      </c>
      <c r="L29" s="338"/>
      <c r="M29" s="339">
        <f ca="1">INDIRECT("'数据-取费表'!k"&amp;$G$1)</f>
        <v>64998.039999999994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5596</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4413.0600000000004</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1400.69</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3001.49</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10.88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6043.28</v>
      </c>
      <c r="G35" s="1381"/>
      <c r="H35" s="2694"/>
      <c r="I35" s="1395"/>
      <c r="J35" s="1396"/>
      <c r="K35" s="2698"/>
      <c r="L35" s="2697"/>
      <c r="M35" s="2697"/>
    </row>
    <row r="36" spans="1:18" ht="18" customHeight="1">
      <c r="A36" s="1099" t="s">
        <v>401</v>
      </c>
      <c r="B36" s="302" t="s">
        <v>737</v>
      </c>
      <c r="C36" s="21">
        <f ca="1">ROUND(C29*F36,2)</f>
        <v>329.24</v>
      </c>
      <c r="D36" s="1341"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64.53</v>
      </c>
      <c r="D37" s="1341" t="s">
        <v>742</v>
      </c>
      <c r="E37" s="302" t="s">
        <v>743</v>
      </c>
      <c r="F37" s="330">
        <f ca="1">INDIRECT("'数据-取费表'!Al"&amp;$G$1)</f>
        <v>1E-3</v>
      </c>
      <c r="G37" s="1381"/>
      <c r="H37" s="2697"/>
      <c r="I37" s="1395"/>
      <c r="J37" s="1396"/>
      <c r="K37" s="2541"/>
      <c r="L37" s="2697"/>
      <c r="M37" s="2697"/>
    </row>
    <row r="38" spans="1:18" ht="18" customHeight="1" thickBot="1">
      <c r="A38" s="1086" t="s">
        <v>683</v>
      </c>
      <c r="B38" s="1087" t="s">
        <v>727</v>
      </c>
      <c r="C38" s="1088">
        <f ca="1">ROUND(C5*F38,2)</f>
        <v>788.88</v>
      </c>
      <c r="D38" s="1089" t="s">
        <v>747</v>
      </c>
      <c r="E38" s="1087" t="s">
        <v>743</v>
      </c>
      <c r="F38" s="1083">
        <f ca="1">INDIRECT("'数据-取费表'!Am"&amp;$G$1)</f>
        <v>0.03</v>
      </c>
      <c r="G38" s="1381"/>
      <c r="H38" s="2697"/>
      <c r="I38" s="1395"/>
      <c r="J38" s="1396"/>
      <c r="K38" s="2701"/>
      <c r="L38" s="2697"/>
      <c r="M38" s="2697"/>
    </row>
    <row r="39" spans="1:18" ht="24.6" customHeight="1" thickTop="1">
      <c r="A39" s="1076" t="s">
        <v>393</v>
      </c>
      <c r="B39" s="1091" t="s">
        <v>771</v>
      </c>
      <c r="C39" s="310">
        <f ca="1">C5-C30</f>
        <v>20700</v>
      </c>
      <c r="D39" s="1092" t="s">
        <v>772</v>
      </c>
      <c r="E39" s="1093"/>
      <c r="F39" s="1094"/>
      <c r="G39" s="1381"/>
      <c r="H39" s="2697"/>
      <c r="I39" s="1395"/>
      <c r="J39" s="1396"/>
      <c r="K39" s="2701"/>
      <c r="L39" s="2697"/>
      <c r="M39" s="2697"/>
    </row>
    <row r="40" spans="1:18" ht="18" customHeight="1">
      <c r="A40" s="299" t="s">
        <v>394</v>
      </c>
      <c r="B40" s="300" t="s">
        <v>773</v>
      </c>
      <c r="C40" s="301">
        <f ca="1">ROUND(C39*(1-((1+F42)/(1+F40))^F41)/(F40-F42),0)</f>
        <v>432509</v>
      </c>
      <c r="D40" s="324" t="s">
        <v>757</v>
      </c>
      <c r="E40" s="302" t="s">
        <v>758</v>
      </c>
      <c r="F40" s="312">
        <f ca="1">INDIRECT("'数据-取费表'!I"&amp;$G$1)</f>
        <v>5.5E-2</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30.81</v>
      </c>
      <c r="G41" s="1381"/>
      <c r="H41" s="1188"/>
      <c r="I41" s="1395"/>
      <c r="J41" s="1396"/>
      <c r="K41" s="2541"/>
      <c r="L41" s="1188"/>
      <c r="M41" s="1188"/>
    </row>
    <row r="42" spans="1:18" ht="18" customHeight="1">
      <c r="A42" s="308"/>
      <c r="B42" s="309"/>
      <c r="C42" s="310"/>
      <c r="D42" s="327"/>
      <c r="E42" s="302" t="s">
        <v>765</v>
      </c>
      <c r="F42" s="312">
        <f ca="1">INDIRECT("'数据-取费表'!v"&amp;$G$1)</f>
        <v>0.03</v>
      </c>
      <c r="G42" s="1381"/>
      <c r="H42" s="1188"/>
      <c r="I42" s="1395"/>
      <c r="J42" s="1396"/>
      <c r="K42" s="2541"/>
      <c r="L42" s="1188"/>
      <c r="M42" s="1188"/>
    </row>
    <row r="43" spans="1:18" ht="18" customHeight="1" thickBot="1">
      <c r="A43" s="334" t="s">
        <v>395</v>
      </c>
      <c r="B43" s="335" t="s">
        <v>775</v>
      </c>
      <c r="C43" s="336">
        <f ca="1">ROUND(C40*10000/F43,0)</f>
        <v>66542</v>
      </c>
      <c r="D43" s="337" t="s">
        <v>776</v>
      </c>
      <c r="E43" s="338" t="s">
        <v>777</v>
      </c>
      <c r="F43" s="339">
        <f ca="1">INDIRECT("'数据-取费表'!k"&amp;$G$1)</f>
        <v>64998.039999999994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-438458</v>
      </c>
      <c r="D46" s="1403" t="str">
        <f>C2</f>
        <v>万元</v>
      </c>
      <c r="E46" s="1397"/>
      <c r="F46" s="1397"/>
      <c r="I46" s="1404" t="s">
        <v>809</v>
      </c>
      <c r="J46" s="1405"/>
      <c r="K46" s="1406"/>
      <c r="L46" s="1407">
        <f ca="1">IF(M47="住宅",0,IF(L48&gt;J51,L60,J60))</f>
        <v>3454</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3463</v>
      </c>
      <c r="K47" s="1413" t="s">
        <v>815</v>
      </c>
      <c r="L47" s="1414">
        <f ca="1">INDIRECT("'数据-取费表'!d"&amp;$G$1)</f>
        <v>50</v>
      </c>
      <c r="M47" s="1377" t="str">
        <f>IF(ISNUMBER(FIND("住宅",C1)),"住宅","非住宅")</f>
        <v>非住宅</v>
      </c>
      <c r="O47" s="1415" t="s">
        <v>402</v>
      </c>
      <c r="P47" s="1416" t="s">
        <v>816</v>
      </c>
      <c r="Q47" s="1417">
        <f ca="1">C40+J29</f>
        <v>432509</v>
      </c>
      <c r="R47" s="1417" t="s">
        <v>817</v>
      </c>
    </row>
    <row r="48" spans="1:18" s="1381" customFormat="1" ht="28.5" thickBot="1">
      <c r="A48" s="1107" t="s">
        <v>437</v>
      </c>
      <c r="B48" s="300" t="s">
        <v>691</v>
      </c>
      <c r="C48" s="1356">
        <f ca="1">C49+C53+C55</f>
        <v>0</v>
      </c>
      <c r="D48" s="1109"/>
      <c r="E48" s="1110"/>
      <c r="F48" s="959"/>
      <c r="G48" s="722"/>
      <c r="H48" s="723"/>
      <c r="I48" s="1418" t="s">
        <v>818</v>
      </c>
      <c r="J48" s="1419" t="s">
        <v>3464</v>
      </c>
      <c r="K48" s="1420" t="s">
        <v>819</v>
      </c>
      <c r="L48" s="1421">
        <f ca="1">INDIRECT("'数据-取费表'!f"&amp;$G$1)</f>
        <v>30.81</v>
      </c>
      <c r="O48" s="1415" t="s">
        <v>403</v>
      </c>
      <c r="P48" s="1416" t="s">
        <v>820</v>
      </c>
      <c r="Q48" s="1417">
        <f ca="1">J60</f>
        <v>3454</v>
      </c>
      <c r="R48" s="1417" t="s">
        <v>821</v>
      </c>
    </row>
    <row r="49" spans="1:18" s="1381" customFormat="1" ht="13.5" thickBot="1">
      <c r="A49" s="972" t="s">
        <v>438</v>
      </c>
      <c r="B49" s="1368" t="s">
        <v>778</v>
      </c>
      <c r="C49" s="1111">
        <f ca="1">ROUND(F49*F51*F50*(1-F52)/10000,0)</f>
        <v>0</v>
      </c>
      <c r="D49" s="1052" t="s">
        <v>2107</v>
      </c>
      <c r="E49" s="1369" t="s">
        <v>779</v>
      </c>
      <c r="F49" s="1057"/>
      <c r="G49" s="1422"/>
      <c r="H49" s="723"/>
      <c r="I49" s="1418" t="s">
        <v>822</v>
      </c>
      <c r="J49" s="1423">
        <v>2023</v>
      </c>
      <c r="K49" s="1420" t="s">
        <v>823</v>
      </c>
      <c r="L49" s="1424"/>
      <c r="O49" s="1425" t="s">
        <v>404</v>
      </c>
      <c r="P49" s="1416" t="s">
        <v>824</v>
      </c>
      <c r="Q49" s="1417">
        <f ca="1">C29</f>
        <v>65848</v>
      </c>
      <c r="R49" s="1417" t="s">
        <v>817</v>
      </c>
    </row>
    <row r="50" spans="1:18" s="1381" customFormat="1" ht="13.5" thickBot="1">
      <c r="A50" s="973"/>
      <c r="B50" s="976"/>
      <c r="C50" s="1115"/>
      <c r="D50" s="950"/>
      <c r="E50" s="1053" t="s">
        <v>696</v>
      </c>
      <c r="F50" s="1054">
        <f ca="1">F7</f>
        <v>64998.039999999994</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365</v>
      </c>
      <c r="I51" s="1429" t="s">
        <v>828</v>
      </c>
      <c r="J51" s="1430">
        <f>IF(J49="",J50,J49+J50-YEAR('数据-取费表'!B2))</f>
        <v>60</v>
      </c>
      <c r="K51" s="1431" t="s">
        <v>829</v>
      </c>
      <c r="L51" s="1432">
        <f ca="1">ROUND(-PV(INDIRECT("'数据-取费表'!h"&amp;$G$1),J51,(C39-C13*C76),0),0)</f>
        <v>306329</v>
      </c>
      <c r="M51" s="1433"/>
      <c r="O51" s="1425" t="s">
        <v>406</v>
      </c>
      <c r="P51" s="1416" t="s">
        <v>830</v>
      </c>
      <c r="Q51" s="1428">
        <f>J52</f>
        <v>7.5000000000000011E-2</v>
      </c>
      <c r="R51" s="1417"/>
    </row>
    <row r="52" spans="1:18" s="1381" customFormat="1" ht="13.5" thickBot="1">
      <c r="A52" s="974"/>
      <c r="B52" s="976"/>
      <c r="C52" s="977"/>
      <c r="D52" s="950"/>
      <c r="E52" s="978" t="s">
        <v>698</v>
      </c>
      <c r="F52" s="1051"/>
      <c r="I52" s="1434" t="s">
        <v>831</v>
      </c>
      <c r="J52" s="1435">
        <f>'数据-取费表'!J6+0.5%</f>
        <v>7.5000000000000011E-2</v>
      </c>
      <c r="K52" s="1434" t="s">
        <v>832</v>
      </c>
      <c r="L52" s="1435"/>
      <c r="O52" s="1425" t="s">
        <v>407</v>
      </c>
      <c r="P52" s="1416" t="s">
        <v>833</v>
      </c>
      <c r="Q52" s="1417">
        <f ca="1">J53</f>
        <v>30.81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30.81</v>
      </c>
      <c r="K53" s="3754" t="s">
        <v>836</v>
      </c>
      <c r="L53" s="3755"/>
      <c r="O53" s="1415" t="s">
        <v>408</v>
      </c>
      <c r="P53" s="1416" t="s">
        <v>837</v>
      </c>
      <c r="Q53" s="1417">
        <f ca="1">Q47+Q48</f>
        <v>435963</v>
      </c>
      <c r="R53" s="1417" t="s">
        <v>409</v>
      </c>
    </row>
    <row r="54" spans="1:18" s="1381" customFormat="1" ht="13.5" thickBot="1">
      <c r="A54" s="1150"/>
      <c r="B54" s="1364" t="s">
        <v>678</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1371"/>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64531</v>
      </c>
      <c r="D56" s="1444"/>
      <c r="E56" s="1445"/>
      <c r="F56" s="1437"/>
      <c r="I56" s="1446" t="s">
        <v>841</v>
      </c>
      <c r="J56" s="1447" t="s">
        <v>3419</v>
      </c>
      <c r="K56" s="1418" t="s">
        <v>842</v>
      </c>
      <c r="L56" s="1421" t="str">
        <f ca="1">IF(L48&lt;J51,"——",L48-J53)</f>
        <v>——</v>
      </c>
      <c r="O56" s="1415" t="s">
        <v>402</v>
      </c>
      <c r="P56" s="1416" t="s">
        <v>816</v>
      </c>
      <c r="Q56" s="1417">
        <f ca="1">C40+J29</f>
        <v>432509</v>
      </c>
      <c r="R56" s="1417" t="s">
        <v>817</v>
      </c>
    </row>
    <row r="57" spans="1:18" s="1381" customFormat="1" ht="24.75" thickBot="1">
      <c r="A57" s="1448"/>
      <c r="B57" s="947" t="s">
        <v>766</v>
      </c>
      <c r="C57" s="238">
        <f ca="1">C29</f>
        <v>65848</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405</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11</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32068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3454</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784</v>
      </c>
      <c r="C62" s="22">
        <f ca="1">IF(项目基本情况!B11="自然人","——",ROUND(F62*F63/10000,2))</f>
        <v>10.88</v>
      </c>
      <c r="D62" s="962" t="s">
        <v>785</v>
      </c>
      <c r="E62" s="947" t="s">
        <v>786</v>
      </c>
      <c r="F62" s="325">
        <f t="shared" si="0"/>
        <v>18</v>
      </c>
      <c r="I62" s="1459" t="s">
        <v>857</v>
      </c>
      <c r="J62" s="1460" t="s">
        <v>858</v>
      </c>
      <c r="K62" s="1460" t="s">
        <v>859</v>
      </c>
      <c r="L62" s="1460" t="s">
        <v>860</v>
      </c>
      <c r="M62" s="1461" t="s">
        <v>861</v>
      </c>
      <c r="O62" s="1415" t="s">
        <v>408</v>
      </c>
      <c r="P62" s="1416" t="s">
        <v>862</v>
      </c>
      <c r="Q62" s="1417">
        <f ca="1">Q56+Q57</f>
        <v>432509</v>
      </c>
      <c r="R62" s="1417" t="s">
        <v>409</v>
      </c>
    </row>
    <row r="63" spans="1:18" s="1381" customFormat="1" ht="13.5" thickBot="1">
      <c r="A63" s="326"/>
      <c r="B63" s="953"/>
      <c r="C63" s="26"/>
      <c r="D63" s="963"/>
      <c r="E63" s="947" t="s">
        <v>787</v>
      </c>
      <c r="F63" s="303">
        <f t="shared" ca="1" si="0"/>
        <v>6043.28</v>
      </c>
      <c r="I63" s="1459" t="s">
        <v>863</v>
      </c>
      <c r="J63" s="1460">
        <v>70</v>
      </c>
      <c r="K63" s="1460">
        <v>50</v>
      </c>
      <c r="L63" s="1460">
        <v>80</v>
      </c>
      <c r="M63" s="1462">
        <v>0.02</v>
      </c>
      <c r="O63" s="1400" t="s">
        <v>864</v>
      </c>
      <c r="P63" s="1378"/>
      <c r="Q63" s="1378"/>
      <c r="R63" s="1378"/>
    </row>
    <row r="64" spans="1:18" s="1381" customFormat="1" ht="13.5" thickBot="1">
      <c r="A64" s="979" t="s">
        <v>788</v>
      </c>
      <c r="B64" s="947" t="s">
        <v>789</v>
      </c>
      <c r="C64" s="21">
        <f ca="1">ROUND(C57*F64,2)</f>
        <v>329.24</v>
      </c>
      <c r="D64" s="961" t="s">
        <v>790</v>
      </c>
      <c r="E64" s="947" t="s">
        <v>782</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64.53</v>
      </c>
      <c r="D65" s="961" t="s">
        <v>742</v>
      </c>
      <c r="E65" s="947" t="s">
        <v>743</v>
      </c>
      <c r="F65" s="330">
        <f t="shared" ca="1" si="0"/>
        <v>1E-3</v>
      </c>
      <c r="I65" s="1459" t="s">
        <v>866</v>
      </c>
      <c r="J65" s="1460">
        <v>40</v>
      </c>
      <c r="K65" s="1460">
        <v>30</v>
      </c>
      <c r="L65" s="1460">
        <v>50</v>
      </c>
      <c r="M65" s="1462">
        <v>0.02</v>
      </c>
      <c r="O65" s="1415" t="s">
        <v>402</v>
      </c>
      <c r="P65" s="1416" t="s">
        <v>867</v>
      </c>
      <c r="Q65" s="1417">
        <f ca="1">C40+J29</f>
        <v>432509</v>
      </c>
      <c r="R65" s="1417" t="s">
        <v>817</v>
      </c>
    </row>
    <row r="66" spans="1:18" s="1381" customFormat="1" ht="16.5" thickBot="1">
      <c r="A66" s="979" t="s">
        <v>792</v>
      </c>
      <c r="B66" s="947" t="s">
        <v>727</v>
      </c>
      <c r="C66" s="21">
        <f ca="1">ROUND(C48*F66,2)</f>
        <v>0</v>
      </c>
      <c r="D66" s="961" t="s">
        <v>793</v>
      </c>
      <c r="E66" s="947" t="s">
        <v>711</v>
      </c>
      <c r="F66" s="312">
        <f t="shared" ca="1" si="0"/>
        <v>0.03</v>
      </c>
      <c r="O66" s="1415" t="s">
        <v>403</v>
      </c>
      <c r="P66" s="1416" t="s">
        <v>845</v>
      </c>
      <c r="Q66" s="1417">
        <f ca="1">L60</f>
        <v>0</v>
      </c>
      <c r="R66" s="1417" t="s">
        <v>868</v>
      </c>
    </row>
    <row r="67" spans="1:18" s="1381" customFormat="1" ht="16.5" thickBot="1">
      <c r="A67" s="954" t="s">
        <v>393</v>
      </c>
      <c r="B67" s="964" t="s">
        <v>751</v>
      </c>
      <c r="C67" s="316">
        <f ca="1">C48-C58</f>
        <v>-405</v>
      </c>
      <c r="D67" s="960" t="s">
        <v>752</v>
      </c>
      <c r="E67" s="965"/>
      <c r="F67" s="966"/>
      <c r="O67" s="1425" t="s">
        <v>404</v>
      </c>
      <c r="P67" s="1416" t="s">
        <v>849</v>
      </c>
      <c r="Q67" s="1463">
        <f ca="1">L51</f>
        <v>306329</v>
      </c>
      <c r="R67" s="1417" t="s">
        <v>869</v>
      </c>
    </row>
    <row r="68" spans="1:18" s="1381" customFormat="1" ht="16.5" thickBot="1">
      <c r="A68" s="944" t="s">
        <v>394</v>
      </c>
      <c r="B68" s="945" t="s">
        <v>773</v>
      </c>
      <c r="C68" s="301">
        <f ca="1">ROUND(C67*(1-((1+F70)/(1+F68))^F69)/(F68-F70),0)</f>
        <v>-5949</v>
      </c>
      <c r="D68" s="962" t="s">
        <v>757</v>
      </c>
      <c r="E68" s="947" t="s">
        <v>758</v>
      </c>
      <c r="F68" s="312">
        <f ca="1">F40</f>
        <v>5.5E-2</v>
      </c>
      <c r="O68" s="1425" t="s">
        <v>405</v>
      </c>
      <c r="P68" s="1464" t="s">
        <v>870</v>
      </c>
      <c r="Q68" s="1417">
        <f ca="1">ROUND(Q69-Q70*Q71,0)</f>
        <v>16183</v>
      </c>
      <c r="R68" s="1417" t="s">
        <v>413</v>
      </c>
    </row>
    <row r="69" spans="1:18" s="1381" customFormat="1" ht="13.5" thickBot="1">
      <c r="A69" s="948"/>
      <c r="B69" s="949"/>
      <c r="C69" s="306"/>
      <c r="D69" s="967" t="s">
        <v>761</v>
      </c>
      <c r="E69" s="947" t="s">
        <v>762</v>
      </c>
      <c r="F69" s="333">
        <f ca="1">F41</f>
        <v>30.81</v>
      </c>
      <c r="O69" s="1425" t="s">
        <v>410</v>
      </c>
      <c r="P69" s="1464" t="s">
        <v>871</v>
      </c>
      <c r="Q69" s="1417">
        <f ca="1">C39</f>
        <v>20700</v>
      </c>
      <c r="R69" s="1417" t="s">
        <v>817</v>
      </c>
    </row>
    <row r="70" spans="1:18" s="1381" customFormat="1" ht="13.5" thickBot="1">
      <c r="A70" s="951"/>
      <c r="B70" s="952"/>
      <c r="C70" s="310"/>
      <c r="D70" s="963"/>
      <c r="E70" s="947" t="s">
        <v>765</v>
      </c>
      <c r="F70" s="1051"/>
      <c r="O70" s="1425" t="s">
        <v>411</v>
      </c>
      <c r="P70" s="1464" t="s">
        <v>872</v>
      </c>
      <c r="Q70" s="1417">
        <f ca="1">C13</f>
        <v>64531</v>
      </c>
      <c r="R70" s="1417" t="s">
        <v>817</v>
      </c>
    </row>
    <row r="71" spans="1:18" s="1381" customFormat="1" ht="13.5" thickBot="1">
      <c r="A71" s="968" t="s">
        <v>395</v>
      </c>
      <c r="B71" s="969" t="s">
        <v>775</v>
      </c>
      <c r="C71" s="336">
        <f ca="1">ROUND(C68*10000/F71,0)</f>
        <v>-915</v>
      </c>
      <c r="D71" s="970" t="s">
        <v>776</v>
      </c>
      <c r="E71" s="971" t="s">
        <v>777</v>
      </c>
      <c r="F71" s="339">
        <f ca="1">F43</f>
        <v>64998.039999999994</v>
      </c>
      <c r="O71" s="1425" t="s">
        <v>412</v>
      </c>
      <c r="P71" s="1464" t="s">
        <v>873</v>
      </c>
      <c r="Q71" s="1428">
        <f ca="1">C76</f>
        <v>7.0000000000000007E-2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4517</v>
      </c>
      <c r="D75" s="1381"/>
      <c r="E75" s="1381"/>
      <c r="F75" s="1381"/>
      <c r="K75" s="1399"/>
      <c r="L75" s="1381"/>
      <c r="O75" s="1415" t="s">
        <v>408</v>
      </c>
      <c r="P75" s="1416" t="s">
        <v>837</v>
      </c>
      <c r="Q75" s="1417">
        <f ca="1">Q65+Q66</f>
        <v>432509</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0.78200000000000003</v>
      </c>
    </row>
    <row r="80" spans="1:18">
      <c r="B80" s="340" t="s">
        <v>799</v>
      </c>
      <c r="C80" s="274">
        <f ca="1">ROUND(C75/C39,3)</f>
        <v>0.218</v>
      </c>
    </row>
    <row r="81" spans="2:3">
      <c r="B81" s="270" t="s">
        <v>800</v>
      </c>
      <c r="C81" s="238"/>
    </row>
    <row r="82" spans="2:3">
      <c r="B82" s="273" t="s">
        <v>801</v>
      </c>
      <c r="C82" s="275">
        <f ca="1">1-C83</f>
        <v>0.85099999999999998</v>
      </c>
    </row>
    <row r="83" spans="2:3">
      <c r="B83" s="273" t="s">
        <v>802</v>
      </c>
      <c r="C83" s="274">
        <f ca="1">ROUND(C13/C40,3)</f>
        <v>0.14899999999999999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c r="D1" s="1359" t="s">
        <v>43</v>
      </c>
      <c r="E1" s="1360" t="s">
        <v>677</v>
      </c>
      <c r="F1" s="1059">
        <f ca="1">J53</f>
        <v>0</v>
      </c>
      <c r="G1" s="1375">
        <f>MATCH(C1,'数据-取费表'!A6:A16,0)+5</f>
        <v>10</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877</v>
      </c>
      <c r="B2" s="3422" t="e">
        <f ca="1">ROUND(D2/10000,4)</f>
        <v>#DIV/0!</v>
      </c>
      <c r="C2" s="1384" t="s">
        <v>878</v>
      </c>
      <c r="D2" s="1468" t="e">
        <f ca="1">C40+J29+L46</f>
        <v>#DIV/0!</v>
      </c>
      <c r="E2" s="1385" t="s">
        <v>879</v>
      </c>
      <c r="F2" s="1386"/>
      <c r="G2" s="2703"/>
      <c r="H2" s="2692"/>
      <c r="I2" s="2692"/>
      <c r="J2" s="2692"/>
      <c r="K2" s="2693"/>
      <c r="L2" s="2692"/>
      <c r="M2" s="2692"/>
    </row>
    <row r="3" spans="1:37" ht="18" customHeight="1" thickBot="1">
      <c r="A3" s="1387" t="s">
        <v>880</v>
      </c>
      <c r="B3" s="1388">
        <f ca="1">IF(ISERROR(D2/F43),0,ROUND(D2/F43,0))</f>
        <v>0</v>
      </c>
      <c r="C3" s="1384" t="s">
        <v>881</v>
      </c>
      <c r="D3" s="1384"/>
      <c r="E3" s="1385"/>
      <c r="F3" s="1386"/>
      <c r="G3" s="2703"/>
      <c r="H3" s="683" t="s">
        <v>875</v>
      </c>
      <c r="I3" s="1379"/>
      <c r="J3" s="1379"/>
      <c r="K3" s="1380"/>
      <c r="L3" s="1379"/>
      <c r="M3" s="1379"/>
    </row>
    <row r="4" spans="1:37" ht="18" customHeight="1">
      <c r="A4" s="295" t="s">
        <v>882</v>
      </c>
      <c r="B4" s="296" t="s">
        <v>883</v>
      </c>
      <c r="C4" s="296" t="s">
        <v>884</v>
      </c>
      <c r="D4" s="296" t="s">
        <v>885</v>
      </c>
      <c r="E4" s="297" t="s">
        <v>886</v>
      </c>
      <c r="F4" s="298"/>
      <c r="G4" s="1381"/>
      <c r="H4" s="295" t="s">
        <v>882</v>
      </c>
      <c r="I4" s="296" t="s">
        <v>883</v>
      </c>
      <c r="J4" s="296" t="s">
        <v>884</v>
      </c>
      <c r="K4" s="296" t="s">
        <v>885</v>
      </c>
      <c r="L4" s="297" t="s">
        <v>886</v>
      </c>
      <c r="M4" s="298"/>
    </row>
    <row r="5" spans="1:37" ht="18" customHeight="1">
      <c r="A5" s="299">
        <v>1</v>
      </c>
      <c r="B5" s="300" t="s">
        <v>887</v>
      </c>
      <c r="C5" s="1067">
        <f ca="1">C6+C10+C12</f>
        <v>0</v>
      </c>
      <c r="D5" s="1361" t="s">
        <v>888</v>
      </c>
      <c r="E5" s="1068"/>
      <c r="F5" s="1069"/>
      <c r="G5" s="1381"/>
      <c r="H5" s="299">
        <v>1</v>
      </c>
      <c r="I5" s="300" t="s">
        <v>887</v>
      </c>
      <c r="J5" s="1067">
        <f ca="1">J6+J10+J12</f>
        <v>0</v>
      </c>
      <c r="K5" s="1361" t="s">
        <v>888</v>
      </c>
      <c r="L5" s="1068"/>
      <c r="M5" s="1069"/>
    </row>
    <row r="6" spans="1:37" ht="18" customHeight="1">
      <c r="A6" s="1066" t="s">
        <v>397</v>
      </c>
      <c r="B6" s="3751" t="s">
        <v>693</v>
      </c>
      <c r="C6" s="1071">
        <f ca="1">ROUND(F6*F8*F7*(1-F9),0)</f>
        <v>0</v>
      </c>
      <c r="D6" s="155" t="s">
        <v>2103</v>
      </c>
      <c r="E6" s="302" t="s">
        <v>695</v>
      </c>
      <c r="F6" s="303">
        <f ca="1">INDIRECT("'数据-取费表'!u"&amp;$G$1)</f>
        <v>0</v>
      </c>
      <c r="G6" s="1381"/>
      <c r="H6" s="1066" t="s">
        <v>397</v>
      </c>
      <c r="I6" s="3751" t="s">
        <v>693</v>
      </c>
      <c r="J6" s="301">
        <f ca="1">ROUND(M6*M8*M7*(1-M9),0)</f>
        <v>0</v>
      </c>
      <c r="K6" s="1373" t="s">
        <v>2104</v>
      </c>
      <c r="L6" s="302" t="s">
        <v>695</v>
      </c>
      <c r="M6" s="303">
        <f ca="1">INDIRECT("'数据-取费表'!z"&amp;$G$1)</f>
        <v>0</v>
      </c>
    </row>
    <row r="7" spans="1:37" ht="18" customHeight="1">
      <c r="A7" s="1070"/>
      <c r="B7" s="3752"/>
      <c r="C7" s="1072"/>
      <c r="D7" s="307"/>
      <c r="E7" s="1073" t="s">
        <v>696</v>
      </c>
      <c r="F7" s="303">
        <f ca="1">IF(INDIRECT("'数据-取费表'!ah"&amp;$G$1)="",INDIRECT("'数据-取费表'!k"&amp;$G$1),INDIRECT("'数据-取费表'!ah"&amp;$G$1))</f>
        <v>0</v>
      </c>
      <c r="G7" s="1381"/>
      <c r="H7" s="304"/>
      <c r="I7" s="3752"/>
      <c r="J7" s="306"/>
      <c r="K7" s="307"/>
      <c r="L7" s="302" t="s">
        <v>696</v>
      </c>
      <c r="M7" s="303">
        <f ca="1">F7</f>
        <v>0</v>
      </c>
    </row>
    <row r="8" spans="1:37" ht="18" customHeight="1">
      <c r="A8" s="304"/>
      <c r="B8" s="3752"/>
      <c r="C8" s="306"/>
      <c r="D8" s="307"/>
      <c r="E8" s="302" t="s">
        <v>697</v>
      </c>
      <c r="F8" s="303">
        <f ca="1">INDIRECT("'数据-取费表'!ai"&amp;$G$1)</f>
        <v>0</v>
      </c>
      <c r="G8" s="1381"/>
      <c r="H8" s="304"/>
      <c r="I8" s="3752"/>
      <c r="J8" s="306"/>
      <c r="K8" s="307"/>
      <c r="L8" s="302" t="s">
        <v>697</v>
      </c>
      <c r="M8" s="303">
        <f ca="1">INDIRECT("'数据-取费表'!ai"&amp;$G$1)</f>
        <v>0</v>
      </c>
    </row>
    <row r="9" spans="1:37" ht="18" customHeight="1">
      <c r="A9" s="304"/>
      <c r="B9" s="3753"/>
      <c r="C9" s="306"/>
      <c r="D9" s="307"/>
      <c r="E9" s="302" t="s">
        <v>698</v>
      </c>
      <c r="F9" s="312">
        <f ca="1">INDIRECT("'数据-取费表'!w"&amp;$G$1)</f>
        <v>0</v>
      </c>
      <c r="G9" s="1381"/>
      <c r="H9" s="304"/>
      <c r="I9" s="3753"/>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c r="G10" s="1381"/>
      <c r="H10" s="1066" t="s">
        <v>401</v>
      </c>
      <c r="I10" s="1362" t="s">
        <v>699</v>
      </c>
      <c r="J10" s="301">
        <f ca="1">ROUND(IF(M10="押一",J6/12*M11,IF(M10="押二",J6/12*2*M11,IF(M10="押三",J6/12*3*M11,J11*M11))),0)</f>
        <v>0</v>
      </c>
      <c r="K10" s="1374" t="s">
        <v>2115</v>
      </c>
      <c r="L10" s="313" t="s">
        <v>700</v>
      </c>
      <c r="M10" s="1113"/>
    </row>
    <row r="11" spans="1:37" ht="18" customHeight="1">
      <c r="A11" s="308"/>
      <c r="B11" s="1364" t="s">
        <v>889</v>
      </c>
      <c r="C11" s="956"/>
      <c r="D11" s="307"/>
      <c r="E11" s="313" t="s">
        <v>701</v>
      </c>
      <c r="F11" s="314">
        <f ca="1">'数据-取费表'!B39</f>
        <v>1.4999999999999999E-2</v>
      </c>
      <c r="G11" s="1381"/>
      <c r="H11" s="1074"/>
      <c r="I11" s="1364" t="s">
        <v>890</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0</v>
      </c>
      <c r="D13" s="1078" t="s">
        <v>704</v>
      </c>
      <c r="E13" s="1078" t="s">
        <v>705</v>
      </c>
      <c r="F13" s="1079">
        <f ca="1">INDIRECT("'数据-取费表'!y"&amp;$G$1)</f>
        <v>0</v>
      </c>
      <c r="G13" s="1381"/>
      <c r="H13" s="1076">
        <v>2</v>
      </c>
      <c r="I13" s="1077" t="s">
        <v>703</v>
      </c>
      <c r="J13" s="1065">
        <f ca="1">ROUND(J14*J15,0)</f>
        <v>0</v>
      </c>
      <c r="K13" s="1084" t="s">
        <v>704</v>
      </c>
      <c r="L13" s="1389"/>
      <c r="M13" s="1390"/>
    </row>
    <row r="14" spans="1:37" ht="18" customHeight="1">
      <c r="A14" s="979" t="s">
        <v>396</v>
      </c>
      <c r="B14" s="302" t="s">
        <v>706</v>
      </c>
      <c r="C14" s="318">
        <f ca="1">ROUND(INDIRECT("'数据-取费表'!l"&amp;$G$1)*F43+'数据-取费表'!L14*INDIRECT("'数据-取费表'!S"&amp;$G$1),0)</f>
        <v>0</v>
      </c>
      <c r="D14" s="1342" t="s">
        <v>707</v>
      </c>
      <c r="E14" s="1339"/>
      <c r="F14" s="319"/>
      <c r="G14" s="1381"/>
      <c r="H14" s="979" t="s">
        <v>397</v>
      </c>
      <c r="I14" s="302" t="s">
        <v>708</v>
      </c>
      <c r="J14" s="21">
        <f ca="1">C29</f>
        <v>0</v>
      </c>
      <c r="K14" s="12"/>
      <c r="L14" s="804"/>
      <c r="M14" s="805"/>
    </row>
    <row r="15" spans="1:37" s="1394" customFormat="1" ht="18" customHeight="1" thickBot="1">
      <c r="A15" s="979" t="s">
        <v>398</v>
      </c>
      <c r="B15" s="302" t="s">
        <v>709</v>
      </c>
      <c r="C15" s="21">
        <f ca="1">ROUND(C14*F15,0)</f>
        <v>0</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ROUND(INDIRECT("'数据-取费表'!l"&amp;$G$1)*F43*F16,0)</f>
        <v>0</v>
      </c>
      <c r="D16" s="302" t="s">
        <v>710</v>
      </c>
      <c r="E16" s="302" t="s">
        <v>711</v>
      </c>
      <c r="F16" s="322">
        <f ca="1">IF(INDIRECT("'数据-取费表'!c"&amp;$G$1)="住宅",'数据-取费表'!B34,0)</f>
        <v>0</v>
      </c>
      <c r="G16" s="1381"/>
      <c r="H16" s="1076" t="s">
        <v>392</v>
      </c>
      <c r="I16" s="1077" t="s">
        <v>713</v>
      </c>
      <c r="J16" s="310">
        <f ca="1">ROUND(J17+J22+J23+J24,0)</f>
        <v>0</v>
      </c>
      <c r="K16" s="1084" t="s">
        <v>714</v>
      </c>
      <c r="L16" s="1085"/>
      <c r="M16" s="1069"/>
    </row>
    <row r="17" spans="1:37" s="1394" customFormat="1" ht="18" customHeight="1">
      <c r="A17" s="979" t="s">
        <v>680</v>
      </c>
      <c r="B17" s="302" t="s">
        <v>715</v>
      </c>
      <c r="C17" s="21">
        <f ca="1">ROUND(F17*(F43+INDIRECT("'数据-取费表'!S"&amp;$G$1)),0)</f>
        <v>0</v>
      </c>
      <c r="D17" s="302" t="s">
        <v>716</v>
      </c>
      <c r="E17" s="302" t="s">
        <v>717</v>
      </c>
      <c r="F17" s="23">
        <f>'数据-取费表'!B35</f>
        <v>200</v>
      </c>
      <c r="G17" s="1393"/>
      <c r="H17" s="979" t="s">
        <v>397</v>
      </c>
      <c r="I17" s="302" t="s">
        <v>718</v>
      </c>
      <c r="J17" s="2313">
        <f ca="1">ROUND(IF(AND(项目基本情况!B11="自然人",项目基本情况!B10="北京市"),J6*M17/(1+'数据-取费表'!C42),J18+J19+J20),0)</f>
        <v>0</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0</v>
      </c>
      <c r="D18" s="302" t="s">
        <v>710</v>
      </c>
      <c r="E18" s="302" t="s">
        <v>711</v>
      </c>
      <c r="F18" s="322">
        <f>'数据-取费表'!B36</f>
        <v>1.4999999999999999E-2</v>
      </c>
      <c r="G18" s="1393"/>
      <c r="H18" s="979" t="s">
        <v>396</v>
      </c>
      <c r="I18" s="302" t="s">
        <v>722</v>
      </c>
      <c r="J18" s="21">
        <f ca="1">ROUND(J6*M18/(1+'数据-取费表'!C42),0)</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0</v>
      </c>
      <c r="D19" s="131" t="s">
        <v>725</v>
      </c>
      <c r="E19" s="1357"/>
      <c r="F19" s="23"/>
      <c r="G19" s="1381"/>
      <c r="H19" s="979" t="s">
        <v>398</v>
      </c>
      <c r="I19" s="302" t="s">
        <v>726</v>
      </c>
      <c r="J19" s="21">
        <f ca="1">IF(K19="按租金收入计税",ROUND(J6*M19/(1+'数据-取费表'!C42),0),ROUND(C29*M19*0.7,0))</f>
        <v>0</v>
      </c>
      <c r="K19" s="1367" t="s">
        <v>3337</v>
      </c>
      <c r="L19" s="302" t="s">
        <v>711</v>
      </c>
      <c r="M19" s="322">
        <f>IF(K19="按租金收入计税",'数据-取费表'!B51,'数据-取费表'!B50)</f>
        <v>0.12</v>
      </c>
    </row>
    <row r="20" spans="1:37" s="1394" customFormat="1" ht="18" customHeight="1">
      <c r="A20" s="979" t="s">
        <v>401</v>
      </c>
      <c r="B20" s="302" t="s">
        <v>727</v>
      </c>
      <c r="C20" s="21">
        <f ca="1">ROUND(C19*F20,0)</f>
        <v>0</v>
      </c>
      <c r="D20" s="323" t="s">
        <v>728</v>
      </c>
      <c r="E20" s="302" t="s">
        <v>711</v>
      </c>
      <c r="F20" s="322">
        <f>'数据-取费表'!B37</f>
        <v>0.03</v>
      </c>
      <c r="G20" s="1393"/>
      <c r="H20" s="979" t="s">
        <v>679</v>
      </c>
      <c r="I20" s="155" t="s">
        <v>729</v>
      </c>
      <c r="J20" s="22">
        <f ca="1">ROUND(M20*M21,0)</f>
        <v>0</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0</v>
      </c>
      <c r="D21" s="323" t="s">
        <v>733</v>
      </c>
      <c r="E21" s="302" t="s">
        <v>734</v>
      </c>
      <c r="F21" s="322">
        <f>'数据-取费表'!B38</f>
        <v>0.03</v>
      </c>
      <c r="G21" s="1393"/>
      <c r="H21" s="326"/>
      <c r="I21" s="311"/>
      <c r="J21" s="26"/>
      <c r="K21" s="327"/>
      <c r="L21" s="302" t="s">
        <v>735</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ROUND(J14*M22,0)</f>
        <v>0</v>
      </c>
      <c r="K22" s="1341" t="s">
        <v>738</v>
      </c>
      <c r="L22" s="302" t="s">
        <v>711</v>
      </c>
      <c r="M22" s="328">
        <f ca="1">INDIRECT("'数据-取费表'!Ak"&amp;$G$1)</f>
        <v>0</v>
      </c>
    </row>
    <row r="23" spans="1:37" s="1394" customFormat="1" ht="18" customHeight="1">
      <c r="A23" s="979" t="s">
        <v>396</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ROUND(J13*M23,0)</f>
        <v>0</v>
      </c>
      <c r="K23" s="1341" t="s">
        <v>742</v>
      </c>
      <c r="L23" s="302" t="s">
        <v>743</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1.6999999999999999E-3</v>
      </c>
      <c r="D24" s="329" t="str">
        <f>IF(F23&lt;=1,"销售费用×利率×(建设周期÷2)","销售费用×((1+利率)^(建设周期÷2)-1)")</f>
        <v>销售费用×((1+利率)^(建设周期÷2)-1)</v>
      </c>
      <c r="E24" s="302" t="s">
        <v>746</v>
      </c>
      <c r="F24" s="331">
        <f ca="1">'数据-取费表'!B40</f>
        <v>3.6499999999999998E-2</v>
      </c>
      <c r="G24" s="1393"/>
      <c r="H24" s="1086" t="s">
        <v>683</v>
      </c>
      <c r="I24" s="1087" t="s">
        <v>727</v>
      </c>
      <c r="J24" s="1088">
        <f ca="1">ROUND(J5*M24,0)</f>
        <v>0</v>
      </c>
      <c r="K24" s="1089" t="s">
        <v>747</v>
      </c>
      <c r="L24" s="1087" t="s">
        <v>743</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748</v>
      </c>
      <c r="B25" s="302" t="s">
        <v>749</v>
      </c>
      <c r="C25" s="21"/>
      <c r="D25" s="131" t="s">
        <v>750</v>
      </c>
      <c r="E25" s="1357"/>
      <c r="F25" s="23"/>
      <c r="G25" s="1381"/>
      <c r="H25" s="1076" t="s">
        <v>393</v>
      </c>
      <c r="I25" s="1091" t="s">
        <v>751</v>
      </c>
      <c r="J25" s="310">
        <f ca="1">J5-J16</f>
        <v>0</v>
      </c>
      <c r="K25" s="1092" t="s">
        <v>752</v>
      </c>
      <c r="L25" s="1093"/>
      <c r="M25" s="1094"/>
    </row>
    <row r="26" spans="1:37" ht="18" customHeight="1">
      <c r="A26" s="979" t="s">
        <v>396</v>
      </c>
      <c r="B26" s="302" t="s">
        <v>753</v>
      </c>
      <c r="C26" s="21">
        <f ca="1">ROUND((C19+C20)*F26,0)</f>
        <v>0</v>
      </c>
      <c r="D26" s="323" t="s">
        <v>754</v>
      </c>
      <c r="E26" s="313" t="s">
        <v>755</v>
      </c>
      <c r="F26" s="312">
        <f ca="1">INDIRECT("'数据-取费表'!q"&amp;$G$1)</f>
        <v>0</v>
      </c>
      <c r="G26" s="1381"/>
      <c r="H26" s="299" t="s">
        <v>394</v>
      </c>
      <c r="I26" s="300" t="s">
        <v>756</v>
      </c>
      <c r="J26" s="301">
        <f ca="1">IF(J5&lt;&gt;0,ROUND(J25*(1-((1+M28)/(1+M26))^M27)/(M26-M28),0),0)</f>
        <v>0</v>
      </c>
      <c r="K26" s="324" t="s">
        <v>757</v>
      </c>
      <c r="L26" s="302" t="s">
        <v>758</v>
      </c>
      <c r="M26" s="312">
        <f ca="1">INDIRECT("'数据-取费表'!I"&amp;$G$1)</f>
        <v>0</v>
      </c>
    </row>
    <row r="27" spans="1:37" ht="18" customHeight="1">
      <c r="A27" s="979" t="s">
        <v>398</v>
      </c>
      <c r="B27" s="302" t="s">
        <v>759</v>
      </c>
      <c r="C27" s="21">
        <f ca="1">ROUND(F21*F26,4)</f>
        <v>0</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0</v>
      </c>
      <c r="D29" s="1089"/>
      <c r="E29" s="1087"/>
      <c r="F29" s="1090"/>
      <c r="G29" s="1393"/>
      <c r="H29" s="334" t="s">
        <v>395</v>
      </c>
      <c r="I29" s="335" t="s">
        <v>767</v>
      </c>
      <c r="J29" s="336">
        <f ca="1">ROUND(J26/(1+F40)^F41,0)</f>
        <v>0</v>
      </c>
      <c r="K29" s="337" t="s">
        <v>768</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0</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ROUND(IF(AND(项目基本情况!B11="自然人",项目基本情况!B10="北京市"),C6*F31/(1+'数据-取费表'!C42),C32+C33+C34),0)</f>
        <v>0</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IF(项目基本情况!B11="自然人","——",ROUND(C6*F32/(1+'数据-取费表'!C42),0))</f>
        <v>0</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IF(项目基本情况!B11="自然人","——",IF(D33="按租金收入计税",ROUND(C6*F33/(1+'数据-取费表'!C42),0),IF(D33="按房产原值计税",ROUND(C29*F33*0.7,0),INDIRECT("'数据-取费表'!Aj"&amp;$G$1))))</f>
        <v>0</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IF(项目基本情况!B11="自然人","——",ROUND(F34*F35,0))</f>
        <v>0</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0</v>
      </c>
      <c r="G35" s="1381"/>
      <c r="H35" s="2694"/>
      <c r="I35" s="1395"/>
      <c r="J35" s="1396"/>
      <c r="K35" s="2698"/>
      <c r="L35" s="2697"/>
      <c r="M35" s="2697"/>
    </row>
    <row r="36" spans="1:18" ht="18" customHeight="1">
      <c r="A36" s="1099" t="s">
        <v>401</v>
      </c>
      <c r="B36" s="302" t="s">
        <v>737</v>
      </c>
      <c r="C36" s="21">
        <f ca="1">ROUND(C29*F36,0)</f>
        <v>0</v>
      </c>
      <c r="D36" s="1341" t="s">
        <v>770</v>
      </c>
      <c r="E36" s="302" t="s">
        <v>711</v>
      </c>
      <c r="F36" s="328">
        <f ca="1">INDIRECT("'数据-取费表'!Ak"&amp;$G$1)</f>
        <v>0</v>
      </c>
      <c r="G36" s="1381"/>
      <c r="H36" s="2697"/>
      <c r="I36" s="1395"/>
      <c r="J36" s="1396"/>
      <c r="K36" s="2541"/>
      <c r="L36" s="2697"/>
      <c r="M36" s="2697"/>
    </row>
    <row r="37" spans="1:18" ht="18" customHeight="1">
      <c r="A37" s="979" t="s">
        <v>436</v>
      </c>
      <c r="B37" s="302" t="s">
        <v>741</v>
      </c>
      <c r="C37" s="21">
        <f ca="1">ROUND(C13*F37,0)</f>
        <v>0</v>
      </c>
      <c r="D37" s="1341" t="s">
        <v>742</v>
      </c>
      <c r="E37" s="302" t="s">
        <v>743</v>
      </c>
      <c r="F37" s="330">
        <f ca="1">INDIRECT("'数据-取费表'!Al"&amp;$G$1)</f>
        <v>0</v>
      </c>
      <c r="G37" s="1381"/>
      <c r="H37" s="2697"/>
      <c r="I37" s="1395"/>
      <c r="J37" s="1396"/>
      <c r="K37" s="2541"/>
      <c r="L37" s="2697"/>
      <c r="M37" s="2697"/>
    </row>
    <row r="38" spans="1:18" ht="18" customHeight="1" thickBot="1">
      <c r="A38" s="1086" t="s">
        <v>683</v>
      </c>
      <c r="B38" s="1087" t="s">
        <v>727</v>
      </c>
      <c r="C38" s="1088">
        <f ca="1">ROUND(C5*F38,0)</f>
        <v>0</v>
      </c>
      <c r="D38" s="1089" t="s">
        <v>747</v>
      </c>
      <c r="E38" s="1087" t="s">
        <v>743</v>
      </c>
      <c r="F38" s="1083">
        <f ca="1">INDIRECT("'数据-取费表'!Am"&amp;$G$1)</f>
        <v>0</v>
      </c>
      <c r="G38" s="1381"/>
      <c r="H38" s="2697"/>
      <c r="I38" s="1395"/>
      <c r="J38" s="1396"/>
      <c r="K38" s="2701"/>
      <c r="L38" s="2697"/>
      <c r="M38" s="2697"/>
    </row>
    <row r="39" spans="1:18" ht="24.6" customHeight="1" thickTop="1">
      <c r="A39" s="1076" t="s">
        <v>393</v>
      </c>
      <c r="B39" s="1091" t="s">
        <v>771</v>
      </c>
      <c r="C39" s="310">
        <f ca="1">C5-C30</f>
        <v>0</v>
      </c>
      <c r="D39" s="1092" t="s">
        <v>772</v>
      </c>
      <c r="E39" s="1093"/>
      <c r="F39" s="1094"/>
      <c r="G39" s="1381"/>
      <c r="H39" s="2697"/>
      <c r="I39" s="1395"/>
      <c r="J39" s="1396"/>
      <c r="K39" s="2701"/>
      <c r="L39" s="2697"/>
      <c r="M39" s="2697"/>
    </row>
    <row r="40" spans="1:18" ht="18" customHeight="1">
      <c r="A40" s="299" t="s">
        <v>394</v>
      </c>
      <c r="B40" s="300" t="s">
        <v>773</v>
      </c>
      <c r="C40" s="301" t="e">
        <f ca="1">ROUND(C39*(1-((1+F42)/(1+F40))^F41)/(F40-F42),0)</f>
        <v>#DIV/0!</v>
      </c>
      <c r="D40" s="324" t="s">
        <v>757</v>
      </c>
      <c r="E40" s="302" t="s">
        <v>758</v>
      </c>
      <c r="F40" s="312">
        <f ca="1">INDIRECT("'数据-取费表'!I"&amp;$G$1)</f>
        <v>0</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765</v>
      </c>
      <c r="F42" s="312">
        <f ca="1">INDIRECT("'数据-取费表'!v"&amp;$G$1)</f>
        <v>0</v>
      </c>
      <c r="G42" s="1381"/>
      <c r="H42" s="1188"/>
      <c r="I42" s="1395"/>
      <c r="J42" s="1396"/>
      <c r="K42" s="2541"/>
      <c r="L42" s="1188"/>
      <c r="M42" s="1188"/>
    </row>
    <row r="43" spans="1:18" ht="18" customHeight="1" thickBot="1">
      <c r="A43" s="334" t="s">
        <v>395</v>
      </c>
      <c r="B43" s="335" t="s">
        <v>775</v>
      </c>
      <c r="C43" s="336" t="e">
        <f ca="1">ROUND(C40/F43,0)</f>
        <v>#DIV/0!</v>
      </c>
      <c r="D43" s="337" t="s">
        <v>776</v>
      </c>
      <c r="E43" s="338" t="s">
        <v>777</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807</v>
      </c>
      <c r="P45" s="1458"/>
      <c r="Q45" s="1458"/>
      <c r="R45" s="1458"/>
    </row>
    <row r="46" spans="1:18" s="1381" customFormat="1" ht="13.5" thickBot="1">
      <c r="A46" s="1401" t="s">
        <v>808</v>
      </c>
      <c r="C46" s="1402" t="e">
        <f ca="1">ROUND(C45,0)</f>
        <v>#DIV/0!</v>
      </c>
      <c r="D46" s="1403" t="str">
        <f>C2</f>
        <v>万元</v>
      </c>
      <c r="I46" s="1404" t="s">
        <v>809</v>
      </c>
      <c r="J46" s="1405"/>
      <c r="K46" s="1406"/>
      <c r="L46" s="1407" t="e">
        <f ca="1">IF(M47="住宅",0,IF(L48&gt;J51,L60,J60))</f>
        <v>#DIV/0!</v>
      </c>
      <c r="O46" s="1408" t="s">
        <v>810</v>
      </c>
      <c r="P46" s="1409" t="s">
        <v>811</v>
      </c>
      <c r="Q46" s="1410" t="s">
        <v>812</v>
      </c>
      <c r="R46" s="1410" t="s">
        <v>813</v>
      </c>
    </row>
    <row r="47" spans="1:18" s="1381" customFormat="1" ht="13.5" thickBot="1">
      <c r="A47" s="943" t="s">
        <v>686</v>
      </c>
      <c r="B47" s="975" t="s">
        <v>687</v>
      </c>
      <c r="C47" s="975" t="s">
        <v>688</v>
      </c>
      <c r="D47" s="975" t="s">
        <v>689</v>
      </c>
      <c r="E47" s="1055" t="s">
        <v>690</v>
      </c>
      <c r="F47" s="1056"/>
      <c r="G47" s="722"/>
      <c r="I47" s="1411" t="s">
        <v>814</v>
      </c>
      <c r="J47" s="1412"/>
      <c r="K47" s="1413" t="s">
        <v>815</v>
      </c>
      <c r="L47" s="1414">
        <f ca="1">INDIRECT("'数据-取费表'!d"&amp;$G$1)</f>
        <v>0</v>
      </c>
      <c r="M47" s="1377" t="str">
        <f>IF(ISNUMBER(FIND("住宅",C1)),"住宅","非住宅")</f>
        <v>非住宅</v>
      </c>
      <c r="O47" s="1415" t="s">
        <v>402</v>
      </c>
      <c r="P47" s="1416" t="s">
        <v>816</v>
      </c>
      <c r="Q47" s="1417" t="e">
        <f ca="1">C40+J29</f>
        <v>#DIV/0!</v>
      </c>
      <c r="R47" s="1417" t="s">
        <v>817</v>
      </c>
    </row>
    <row r="48" spans="1:18" s="1381" customFormat="1" ht="28.5" thickBot="1">
      <c r="A48" s="1107" t="s">
        <v>437</v>
      </c>
      <c r="B48" s="300" t="s">
        <v>691</v>
      </c>
      <c r="C48" s="1356">
        <f ca="1">C49+C53+C55</f>
        <v>0</v>
      </c>
      <c r="D48" s="1109"/>
      <c r="E48" s="1110"/>
      <c r="F48" s="959"/>
      <c r="G48" s="722"/>
      <c r="H48" s="723"/>
      <c r="I48" s="1418" t="s">
        <v>818</v>
      </c>
      <c r="J48" s="1419"/>
      <c r="K48" s="1420" t="s">
        <v>819</v>
      </c>
      <c r="L48" s="1421">
        <f ca="1">INDIRECT("'数据-取费表'!f"&amp;$G$1)</f>
        <v>0</v>
      </c>
      <c r="O48" s="1415" t="s">
        <v>403</v>
      </c>
      <c r="P48" s="1416" t="s">
        <v>820</v>
      </c>
      <c r="Q48" s="1417" t="e">
        <f ca="1">J60</f>
        <v>#DIV/0!</v>
      </c>
      <c r="R48" s="1417" t="s">
        <v>821</v>
      </c>
    </row>
    <row r="49" spans="1:18" s="1381" customFormat="1" ht="13.5" thickBot="1">
      <c r="A49" s="972" t="s">
        <v>438</v>
      </c>
      <c r="B49" s="1368" t="s">
        <v>778</v>
      </c>
      <c r="C49" s="1111">
        <f ca="1">ROUND(F49*F51*F50*(1-F52),0)</f>
        <v>0</v>
      </c>
      <c r="D49" s="1052" t="s">
        <v>694</v>
      </c>
      <c r="E49" s="1369" t="s">
        <v>779</v>
      </c>
      <c r="F49" s="1057"/>
      <c r="G49" s="1422"/>
      <c r="H49" s="723"/>
      <c r="I49" s="1418" t="s">
        <v>822</v>
      </c>
      <c r="J49" s="1423"/>
      <c r="K49" s="1420" t="s">
        <v>823</v>
      </c>
      <c r="L49" s="1424"/>
      <c r="O49" s="1425" t="s">
        <v>404</v>
      </c>
      <c r="P49" s="1416" t="s">
        <v>824</v>
      </c>
      <c r="Q49" s="1417">
        <f ca="1">C29</f>
        <v>0</v>
      </c>
      <c r="R49" s="1417" t="s">
        <v>817</v>
      </c>
    </row>
    <row r="50" spans="1:18" s="1381" customFormat="1" ht="13.5" thickBot="1">
      <c r="A50" s="973"/>
      <c r="B50" s="976"/>
      <c r="C50" s="977"/>
      <c r="D50" s="950"/>
      <c r="E50" s="1053" t="s">
        <v>696</v>
      </c>
      <c r="F50" s="1054">
        <f ca="1">F7</f>
        <v>0</v>
      </c>
      <c r="H50" s="723"/>
      <c r="I50" s="1418" t="s">
        <v>825</v>
      </c>
      <c r="J50" s="1426">
        <f>SUMPRODUCT((I63:I65=J47)*(J62:L62=J48)*(J63:L65))</f>
        <v>0</v>
      </c>
      <c r="K50" s="1420" t="s">
        <v>826</v>
      </c>
      <c r="L50" s="1424"/>
      <c r="M50" s="1427"/>
      <c r="O50" s="1425" t="s">
        <v>405</v>
      </c>
      <c r="P50" s="1416" t="s">
        <v>827</v>
      </c>
      <c r="Q50" s="1428" t="e">
        <f ca="1">J58</f>
        <v>#DIV/0!</v>
      </c>
      <c r="R50" s="1417"/>
    </row>
    <row r="51" spans="1:18" s="1381" customFormat="1" ht="13.5" thickBot="1">
      <c r="A51" s="974"/>
      <c r="B51" s="976"/>
      <c r="C51" s="977"/>
      <c r="D51" s="950"/>
      <c r="E51" s="978" t="s">
        <v>697</v>
      </c>
      <c r="F51" s="303">
        <f ca="1">F8</f>
        <v>0</v>
      </c>
      <c r="I51" s="1429" t="s">
        <v>828</v>
      </c>
      <c r="J51" s="1430">
        <f>IF(J49="",J50,J49+J50-YEAR('数据-取费表'!B2))</f>
        <v>0</v>
      </c>
      <c r="K51" s="1431" t="s">
        <v>829</v>
      </c>
      <c r="L51" s="1432">
        <f ca="1">ROUND(-PV(INDIRECT("'数据-取费表'!h"&amp;$G$1),J51,(C39-C13*C76),0),0)</f>
        <v>0</v>
      </c>
      <c r="M51" s="1433"/>
      <c r="O51" s="1425" t="s">
        <v>406</v>
      </c>
      <c r="P51" s="1416" t="s">
        <v>830</v>
      </c>
      <c r="Q51" s="1428">
        <f>J52</f>
        <v>0</v>
      </c>
      <c r="R51" s="1417"/>
    </row>
    <row r="52" spans="1:18" s="1381" customFormat="1" ht="13.5" thickBot="1">
      <c r="A52" s="974"/>
      <c r="B52" s="976"/>
      <c r="C52" s="977"/>
      <c r="D52" s="950"/>
      <c r="E52" s="978" t="s">
        <v>698</v>
      </c>
      <c r="F52" s="1051"/>
      <c r="I52" s="1434" t="s">
        <v>831</v>
      </c>
      <c r="J52" s="1435"/>
      <c r="K52" s="1434" t="s">
        <v>832</v>
      </c>
      <c r="L52" s="1435"/>
      <c r="O52" s="1425" t="s">
        <v>407</v>
      </c>
      <c r="P52" s="1416" t="s">
        <v>833</v>
      </c>
      <c r="Q52" s="1417">
        <f ca="1">J53</f>
        <v>0</v>
      </c>
      <c r="R52" s="1417" t="s">
        <v>834</v>
      </c>
    </row>
    <row r="53" spans="1:18" s="1381" customFormat="1" ht="30.75" customHeight="1" thickBot="1">
      <c r="A53" s="1108" t="s">
        <v>439</v>
      </c>
      <c r="B53" s="323" t="s">
        <v>699</v>
      </c>
      <c r="C53" s="316">
        <f ca="1">ROUND(IF(F53="押一",C49/12*F11,IF(F53="押二",C49/12*2*F11,IF(F53="押三",C49/12*3*F11,C54*F11))),0)</f>
        <v>0</v>
      </c>
      <c r="D53" s="1363" t="s">
        <v>2116</v>
      </c>
      <c r="E53" s="313" t="s">
        <v>700</v>
      </c>
      <c r="F53" s="1113"/>
      <c r="I53" s="1436" t="s">
        <v>835</v>
      </c>
      <c r="J53" s="2165">
        <f ca="1">IF(M47="住宅",IF(D1="——",MAX(J51,L48),MAX(J51,L48-'数据-取费表'!B24)),IF(D1="——",MIN(J51,L48),MIN(J51,L48-'数据-取费表'!B24)))</f>
        <v>0</v>
      </c>
      <c r="K53" s="3754" t="s">
        <v>836</v>
      </c>
      <c r="L53" s="3755"/>
      <c r="O53" s="1415" t="s">
        <v>408</v>
      </c>
      <c r="P53" s="1416" t="s">
        <v>837</v>
      </c>
      <c r="Q53" s="1417" t="e">
        <f ca="1">Q47+Q48</f>
        <v>#DIV/0!</v>
      </c>
      <c r="R53" s="1417" t="s">
        <v>409</v>
      </c>
    </row>
    <row r="54" spans="1:18" s="1381" customFormat="1" ht="13.5" thickBot="1">
      <c r="A54" s="972"/>
      <c r="B54" s="1470" t="s">
        <v>890</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838</v>
      </c>
      <c r="P54" s="1378"/>
      <c r="Q54" s="1378"/>
      <c r="R54" s="1378"/>
    </row>
    <row r="55" spans="1:18" s="1381" customFormat="1" ht="13.5" thickBot="1">
      <c r="A55" s="1080" t="s">
        <v>436</v>
      </c>
      <c r="B55" s="1366" t="s">
        <v>702</v>
      </c>
      <c r="C55" s="1081"/>
      <c r="D55" s="1363"/>
      <c r="E55" s="1371"/>
      <c r="F55" s="1437"/>
      <c r="I55" s="1440" t="s">
        <v>839</v>
      </c>
      <c r="J55" s="1441" t="e">
        <f ca="1">ROUND(IF(J47="钢混",J57/J50,1-(1-2%)*(J50-J57)/J50),3)</f>
        <v>#DIV/0!</v>
      </c>
      <c r="K55" s="1442" t="s">
        <v>840</v>
      </c>
      <c r="L55" s="1443"/>
      <c r="O55" s="1408" t="s">
        <v>810</v>
      </c>
      <c r="P55" s="1409" t="s">
        <v>811</v>
      </c>
      <c r="Q55" s="1410" t="s">
        <v>812</v>
      </c>
      <c r="R55" s="1410" t="s">
        <v>813</v>
      </c>
    </row>
    <row r="56" spans="1:18" s="1381" customFormat="1" ht="36" customHeight="1" thickTop="1" thickBot="1">
      <c r="A56" s="954">
        <v>2</v>
      </c>
      <c r="B56" s="955" t="s">
        <v>703</v>
      </c>
      <c r="C56" s="232">
        <f ca="1">C13</f>
        <v>0</v>
      </c>
      <c r="D56" s="1444"/>
      <c r="E56" s="1445"/>
      <c r="F56" s="1437"/>
      <c r="I56" s="1446" t="s">
        <v>841</v>
      </c>
      <c r="J56" s="1447"/>
      <c r="K56" s="1418" t="s">
        <v>842</v>
      </c>
      <c r="L56" s="1421">
        <f ca="1">IF(L48&lt;J51,"——",L48-J51)</f>
        <v>0</v>
      </c>
      <c r="O56" s="1415" t="s">
        <v>402</v>
      </c>
      <c r="P56" s="1416" t="s">
        <v>816</v>
      </c>
      <c r="Q56" s="1417" t="e">
        <f ca="1">C40+J29</f>
        <v>#DIV/0!</v>
      </c>
      <c r="R56" s="1417" t="s">
        <v>817</v>
      </c>
    </row>
    <row r="57" spans="1:18" s="1381" customFormat="1" ht="24.75" thickBot="1">
      <c r="A57" s="1448"/>
      <c r="B57" s="947" t="s">
        <v>766</v>
      </c>
      <c r="C57" s="238">
        <f ca="1">C29</f>
        <v>0</v>
      </c>
      <c r="D57" s="1449"/>
      <c r="E57" s="1450"/>
      <c r="F57" s="1451"/>
      <c r="I57" s="1452" t="s">
        <v>843</v>
      </c>
      <c r="J57" s="1453">
        <f ca="1">IF(OR(M47="住宅",J51&lt;L48,J56="是"),"——",J51-L48)</f>
        <v>0</v>
      </c>
      <c r="K57" s="1418" t="s">
        <v>891</v>
      </c>
      <c r="L57" s="1421">
        <f ca="1">IF(L48&lt;J51,"——",IF(L55="比较法",L49,IF(L55="基准地价",L50,L51)))</f>
        <v>0</v>
      </c>
      <c r="O57" s="1415" t="s">
        <v>403</v>
      </c>
      <c r="P57" s="1416" t="s">
        <v>892</v>
      </c>
      <c r="Q57" s="1417" t="e">
        <f ca="1">L60</f>
        <v>#DIV/0!</v>
      </c>
      <c r="R57" s="1417" t="s">
        <v>893</v>
      </c>
    </row>
    <row r="58" spans="1:18" s="1381" customFormat="1" ht="24.75" thickBot="1">
      <c r="A58" s="315" t="s">
        <v>392</v>
      </c>
      <c r="B58" s="955" t="s">
        <v>713</v>
      </c>
      <c r="C58" s="316">
        <f ca="1">ROUND(C59+C64+C65+C66,0)</f>
        <v>0</v>
      </c>
      <c r="D58" s="957" t="s">
        <v>714</v>
      </c>
      <c r="E58" s="958"/>
      <c r="F58" s="959"/>
      <c r="I58" s="1452" t="s">
        <v>847</v>
      </c>
      <c r="J58" s="1454" t="e">
        <f ca="1">IF(J55&lt;0.4,0.4,J55)</f>
        <v>#DIV/0!</v>
      </c>
      <c r="K58" s="1431" t="s">
        <v>894</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IF(项目基本情况!B11="自然人","——",ROUND(C48*F60/(1+'数据-取费表'!C42),0))</f>
        <v>0</v>
      </c>
      <c r="D60" s="961" t="s">
        <v>723</v>
      </c>
      <c r="E60" s="947" t="s">
        <v>711</v>
      </c>
      <c r="F60" s="331">
        <f t="shared" ref="F60:F66" si="0">F32</f>
        <v>5.6000000000000001E-2</v>
      </c>
      <c r="I60" s="1455" t="s">
        <v>852</v>
      </c>
      <c r="J60" s="1456" t="e">
        <f ca="1">IF(OR(M47="住宅",J51&lt;L48,J56="是"),"0",ROUND(J59/(1+J52)^J53,0))</f>
        <v>#DIV/0!</v>
      </c>
      <c r="K60" s="1457" t="s">
        <v>853</v>
      </c>
      <c r="L60" s="1456" t="e">
        <f ca="1">IF(OR(M47="住宅",L48&lt;J51),0,ROUND(L57*(L58/L59-1),0))</f>
        <v>#DIV/0!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IF(项目基本情况!B11="自然人","——",IF(D61="按租金收入计税",ROUND(C49*F61/(1+'数据-取费表'!C42),0),IF(D61="按房产原值计税",ROUND(C57*F61*0.7,0),INDIRECT("'数据-取费表'!Aj"&amp;$G$1))))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784</v>
      </c>
      <c r="C62" s="22">
        <f ca="1">IF(项目基本情况!B11="自然人","——",ROUND(F62*F63,0))</f>
        <v>0</v>
      </c>
      <c r="D62" s="962" t="s">
        <v>785</v>
      </c>
      <c r="E62" s="947" t="s">
        <v>786</v>
      </c>
      <c r="F62" s="325">
        <f t="shared" si="0"/>
        <v>18</v>
      </c>
      <c r="I62" s="1459" t="s">
        <v>857</v>
      </c>
      <c r="J62" s="1460" t="s">
        <v>858</v>
      </c>
      <c r="K62" s="1460" t="s">
        <v>859</v>
      </c>
      <c r="L62" s="1460" t="s">
        <v>860</v>
      </c>
      <c r="M62" s="1461" t="s">
        <v>861</v>
      </c>
      <c r="O62" s="1415" t="s">
        <v>408</v>
      </c>
      <c r="P62" s="1416" t="s">
        <v>862</v>
      </c>
      <c r="Q62" s="1417" t="e">
        <f ca="1">Q56+Q57</f>
        <v>#DIV/0!</v>
      </c>
      <c r="R62" s="1417" t="s">
        <v>409</v>
      </c>
    </row>
    <row r="63" spans="1:18" s="1381" customFormat="1" ht="13.5" thickBot="1">
      <c r="A63" s="326"/>
      <c r="B63" s="953"/>
      <c r="C63" s="26"/>
      <c r="D63" s="963"/>
      <c r="E63" s="947" t="s">
        <v>787</v>
      </c>
      <c r="F63" s="303">
        <f t="shared" ca="1" si="0"/>
        <v>0</v>
      </c>
      <c r="I63" s="1459" t="s">
        <v>863</v>
      </c>
      <c r="J63" s="1460">
        <v>70</v>
      </c>
      <c r="K63" s="1460">
        <v>50</v>
      </c>
      <c r="L63" s="1460">
        <v>80</v>
      </c>
      <c r="M63" s="1462">
        <v>0.02</v>
      </c>
      <c r="O63" s="1400" t="s">
        <v>864</v>
      </c>
      <c r="P63" s="1378"/>
      <c r="Q63" s="1378"/>
      <c r="R63" s="1378"/>
    </row>
    <row r="64" spans="1:18" s="1381" customFormat="1" ht="13.5" thickBot="1">
      <c r="A64" s="979" t="s">
        <v>788</v>
      </c>
      <c r="B64" s="947" t="s">
        <v>789</v>
      </c>
      <c r="C64" s="21">
        <f ca="1">ROUND(C57*F64,0)</f>
        <v>0</v>
      </c>
      <c r="D64" s="961" t="s">
        <v>790</v>
      </c>
      <c r="E64" s="947" t="s">
        <v>782</v>
      </c>
      <c r="F64" s="328">
        <f t="shared" ca="1" si="0"/>
        <v>0</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ROUND(C56*F65,0)</f>
        <v>0</v>
      </c>
      <c r="D65" s="961" t="s">
        <v>742</v>
      </c>
      <c r="E65" s="947" t="s">
        <v>743</v>
      </c>
      <c r="F65" s="330">
        <f t="shared" ca="1" si="0"/>
        <v>0</v>
      </c>
      <c r="I65" s="1459" t="s">
        <v>866</v>
      </c>
      <c r="J65" s="1460">
        <v>40</v>
      </c>
      <c r="K65" s="1460">
        <v>30</v>
      </c>
      <c r="L65" s="1460">
        <v>50</v>
      </c>
      <c r="M65" s="1462">
        <v>0.02</v>
      </c>
      <c r="O65" s="1415" t="s">
        <v>402</v>
      </c>
      <c r="P65" s="1416" t="s">
        <v>867</v>
      </c>
      <c r="Q65" s="1417" t="e">
        <f ca="1">C40+J29</f>
        <v>#DIV/0!</v>
      </c>
      <c r="R65" s="1417" t="s">
        <v>817</v>
      </c>
    </row>
    <row r="66" spans="1:18" s="1381" customFormat="1" ht="16.5" thickBot="1">
      <c r="A66" s="979" t="s">
        <v>792</v>
      </c>
      <c r="B66" s="947" t="s">
        <v>727</v>
      </c>
      <c r="C66" s="21">
        <f ca="1">ROUND(C48*F66,0)</f>
        <v>0</v>
      </c>
      <c r="D66" s="961" t="s">
        <v>793</v>
      </c>
      <c r="E66" s="947" t="s">
        <v>711</v>
      </c>
      <c r="F66" s="312">
        <f t="shared" ca="1" si="0"/>
        <v>0</v>
      </c>
      <c r="O66" s="1415" t="s">
        <v>403</v>
      </c>
      <c r="P66" s="1416" t="s">
        <v>845</v>
      </c>
      <c r="Q66" s="1417" t="e">
        <f ca="1">L60</f>
        <v>#DIV/0!</v>
      </c>
      <c r="R66" s="1417" t="s">
        <v>868</v>
      </c>
    </row>
    <row r="67" spans="1:18" s="1381" customFormat="1" ht="16.5" thickBot="1">
      <c r="A67" s="954" t="s">
        <v>393</v>
      </c>
      <c r="B67" s="964" t="s">
        <v>751</v>
      </c>
      <c r="C67" s="316">
        <f ca="1">C48-C58</f>
        <v>0</v>
      </c>
      <c r="D67" s="960" t="s">
        <v>752</v>
      </c>
      <c r="E67" s="965"/>
      <c r="F67" s="966"/>
      <c r="O67" s="1425" t="s">
        <v>404</v>
      </c>
      <c r="P67" s="1416" t="s">
        <v>849</v>
      </c>
      <c r="Q67" s="1463">
        <f ca="1">L51</f>
        <v>0</v>
      </c>
      <c r="R67" s="1417" t="s">
        <v>869</v>
      </c>
    </row>
    <row r="68" spans="1:18" s="1381" customFormat="1" ht="16.5" thickBot="1">
      <c r="A68" s="944" t="s">
        <v>394</v>
      </c>
      <c r="B68" s="945" t="s">
        <v>773</v>
      </c>
      <c r="C68" s="301" t="e">
        <f ca="1">ROUND(C67*(1-((1+F70)/(1+F68))^F69)/(F68-F70),0)</f>
        <v>#DIV/0!</v>
      </c>
      <c r="D68" s="962" t="s">
        <v>757</v>
      </c>
      <c r="E68" s="947" t="s">
        <v>758</v>
      </c>
      <c r="F68" s="312">
        <f ca="1">F40</f>
        <v>0</v>
      </c>
      <c r="O68" s="1425" t="s">
        <v>405</v>
      </c>
      <c r="P68" s="1464" t="s">
        <v>870</v>
      </c>
      <c r="Q68" s="1417">
        <f ca="1">ROUND(Q69-Q70*Q71,0)</f>
        <v>0</v>
      </c>
      <c r="R68" s="1417" t="s">
        <v>413</v>
      </c>
    </row>
    <row r="69" spans="1:18" s="1381" customFormat="1" ht="13.5" thickBot="1">
      <c r="A69" s="948"/>
      <c r="B69" s="949"/>
      <c r="C69" s="306"/>
      <c r="D69" s="967" t="s">
        <v>761</v>
      </c>
      <c r="E69" s="947" t="s">
        <v>762</v>
      </c>
      <c r="F69" s="333">
        <f ca="1">F41</f>
        <v>0</v>
      </c>
      <c r="O69" s="1425" t="s">
        <v>410</v>
      </c>
      <c r="P69" s="1464" t="s">
        <v>871</v>
      </c>
      <c r="Q69" s="1417">
        <f ca="1">C39</f>
        <v>0</v>
      </c>
      <c r="R69" s="1417" t="s">
        <v>817</v>
      </c>
    </row>
    <row r="70" spans="1:18" s="1381" customFormat="1" ht="13.5" thickBot="1">
      <c r="A70" s="951"/>
      <c r="B70" s="952"/>
      <c r="C70" s="310"/>
      <c r="D70" s="963"/>
      <c r="E70" s="947" t="s">
        <v>765</v>
      </c>
      <c r="F70" s="1051"/>
      <c r="O70" s="1425" t="s">
        <v>411</v>
      </c>
      <c r="P70" s="1464" t="s">
        <v>872</v>
      </c>
      <c r="Q70" s="1417">
        <f ca="1">C13</f>
        <v>0</v>
      </c>
      <c r="R70" s="1417" t="s">
        <v>817</v>
      </c>
    </row>
    <row r="71" spans="1:18" s="1381" customFormat="1" ht="13.5" thickBot="1">
      <c r="A71" s="968" t="s">
        <v>395</v>
      </c>
      <c r="B71" s="969" t="s">
        <v>775</v>
      </c>
      <c r="C71" s="336" t="e">
        <f ca="1">ROUND(C68/F71,0)</f>
        <v>#DIV/0!</v>
      </c>
      <c r="D71" s="970" t="s">
        <v>776</v>
      </c>
      <c r="E71" s="971" t="s">
        <v>777</v>
      </c>
      <c r="F71" s="339">
        <f ca="1">F43</f>
        <v>0</v>
      </c>
      <c r="O71" s="1425" t="s">
        <v>412</v>
      </c>
      <c r="P71" s="1464" t="s">
        <v>873</v>
      </c>
      <c r="Q71" s="1428">
        <f ca="1">C76</f>
        <v>0</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0</v>
      </c>
      <c r="D75" s="1381"/>
      <c r="E75" s="1381"/>
      <c r="F75" s="1381"/>
      <c r="K75" s="1399"/>
      <c r="L75" s="1381"/>
      <c r="O75" s="1415" t="s">
        <v>408</v>
      </c>
      <c r="P75" s="1416" t="s">
        <v>837</v>
      </c>
      <c r="Q75" s="1417" t="e">
        <f ca="1">Q65+Q66</f>
        <v>#DIV/0!</v>
      </c>
      <c r="R75" s="1417" t="s">
        <v>409</v>
      </c>
    </row>
    <row r="76" spans="1:18">
      <c r="B76" s="342" t="s">
        <v>795</v>
      </c>
      <c r="C76" s="343">
        <f ca="1">INDIRECT("'数据-取费表'!j"&amp;$G$1)</f>
        <v>0</v>
      </c>
      <c r="I76" s="1381"/>
      <c r="J76" s="1381"/>
      <c r="K76" s="1399"/>
      <c r="L76" s="1381"/>
    </row>
    <row r="77" spans="1:18">
      <c r="B77" s="344" t="s">
        <v>796</v>
      </c>
      <c r="C77" s="345"/>
      <c r="I77" s="1381"/>
      <c r="J77" s="1381"/>
      <c r="K77" s="1399"/>
      <c r="L77" s="1381"/>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897</v>
      </c>
    </row>
    <row r="2" spans="1:1">
      <c r="A2" s="1475"/>
    </row>
    <row r="3" spans="1:1" ht="18">
      <c r="A3" s="1476" t="str">
        <f>项目基本情况!B5&amp;"："</f>
        <v>：</v>
      </c>
    </row>
    <row r="4" spans="1:1" ht="36">
      <c r="A4" s="1477" t="str">
        <f>"受贵公司委托，我公司对"&amp;项目基本情况!S1&amp;"进行了预评估。"</f>
        <v>受贵公司委托，我公司对北京市海淀区魏公村路6号院1号楼房地产抵押价值进行了预评估。</v>
      </c>
    </row>
    <row r="5" spans="1:1" ht="18.75">
      <c r="A5" s="1478" t="s">
        <v>898</v>
      </c>
    </row>
    <row r="6" spans="1:1" ht="18.75">
      <c r="A6" s="1479" t="s">
        <v>899</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估价对象为北京市海淀区魏公村路6号院1号楼房地产，为所有。根据《国有土地使用证》[]，估价对象（分摊）出让国有建设用地使用权面积为10426.78平方米，建筑面积为112144.48平方米。</v>
      </c>
    </row>
    <row r="8" spans="1:1" ht="57.75">
      <c r="A8" s="1480" t="s">
        <v>900</v>
      </c>
    </row>
    <row r="9" spans="1:1" ht="18.75">
      <c r="A9" s="1479" t="s">
        <v>901</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路6号院1号楼房地产,属开发建设的，该项目尚在开发建设中。根据《国有土地使用证》[]，估价对象（分摊）出让国有建设用地使用权面积为10426.78平方米，规划建筑面积为112144.48平方米。</v>
      </c>
    </row>
    <row r="11" spans="1:1" ht="76.5">
      <c r="A11" s="1480" t="s">
        <v>902</v>
      </c>
    </row>
    <row r="12" spans="1:1" ht="18.75">
      <c r="A12" s="1478" t="s">
        <v>903</v>
      </c>
    </row>
    <row r="13" spans="1:1" ht="38.25" customHeight="1">
      <c r="A13" s="1481" t="str">
        <f>IF(项目基本情况!B8="抵押",IF(项目基本情况!B5=项目基本情况!B6,定义!C51,定义!B51),定义!D51)</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904</v>
      </c>
    </row>
    <row r="15" spans="1:1" ht="18">
      <c r="A15" s="1483" t="str">
        <f>TEXT(项目基本情况!D3,"yyyy年m月d日;;")&amp;IF(项目基本情况!D3=项目基本情况!B3,"（评估专业人员实地查勘之日）","")</f>
        <v>2023年1月4日</v>
      </c>
    </row>
    <row r="16" spans="1:1" ht="18.75">
      <c r="A16" s="1482" t="s">
        <v>905</v>
      </c>
    </row>
    <row r="17" spans="1:1" ht="75">
      <c r="A17" s="1477" t="s">
        <v>906</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895</v>
      </c>
    </row>
    <row r="24" spans="1:1" ht="18">
      <c r="A24" s="1484" t="str">
        <f>"本次评估采用的主估价方法为"&amp;结果表!K4&amp;"和"&amp;结果表!L4&amp;"。"</f>
        <v>本次评估采用的主估价方法为成本法和收益法。</v>
      </c>
    </row>
    <row r="25" spans="1:1" ht="18">
      <c r="A25" s="1484"/>
    </row>
    <row r="26" spans="1:1" ht="18.75">
      <c r="A26" s="1485" t="s">
        <v>896</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2" t="s">
        <v>2316</v>
      </c>
      <c r="B2" s="2840" t="e">
        <f>IF(D2="——",C40,C40+E2)</f>
        <v>#DIV/0!</v>
      </c>
      <c r="C2" s="2841" t="s">
        <v>2317</v>
      </c>
      <c r="D2" s="3440" t="s">
        <v>3360</v>
      </c>
      <c r="E2" s="3441"/>
      <c r="F2" s="2843"/>
      <c r="G2" s="2844"/>
      <c r="H2" s="2845"/>
      <c r="I2" s="2846"/>
      <c r="J2" s="3756" t="s">
        <v>2318</v>
      </c>
      <c r="K2" s="3757"/>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758" t="s">
        <v>2328</v>
      </c>
      <c r="K3" s="3759"/>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758" t="s">
        <v>2330</v>
      </c>
      <c r="K4" s="3759"/>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760" t="s">
        <v>2334</v>
      </c>
      <c r="B6" s="3761"/>
      <c r="C6" s="3762"/>
      <c r="D6" s="2867"/>
      <c r="E6" s="2868"/>
      <c r="F6" s="2869"/>
      <c r="G6" s="2870"/>
      <c r="H6" s="2845"/>
      <c r="I6" s="2846"/>
      <c r="J6" s="3763">
        <v>1</v>
      </c>
      <c r="K6" s="3764"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763"/>
      <c r="K7" s="3765"/>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767" t="s">
        <v>2348</v>
      </c>
      <c r="C8" s="3768"/>
      <c r="D8" s="2886" t="s">
        <v>2349</v>
      </c>
      <c r="E8" s="2887" t="s">
        <v>2350</v>
      </c>
      <c r="F8" s="2888" t="s">
        <v>2351</v>
      </c>
      <c r="G8" s="2889"/>
      <c r="H8" s="2845"/>
      <c r="I8" s="2846"/>
      <c r="J8" s="3763"/>
      <c r="K8" s="3765"/>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767" t="s">
        <v>2354</v>
      </c>
      <c r="C9" s="3768"/>
      <c r="D9" s="2886">
        <f>ROUND(D6*E9,0)</f>
        <v>0</v>
      </c>
      <c r="E9" s="2890"/>
      <c r="F9" s="2891" t="s">
        <v>2355</v>
      </c>
      <c r="G9" s="2870"/>
      <c r="H9" s="2845"/>
      <c r="I9" s="2846"/>
      <c r="J9" s="3763"/>
      <c r="K9" s="3765"/>
      <c r="L9" s="2880" t="s">
        <v>2356</v>
      </c>
      <c r="M9" s="2881"/>
      <c r="N9" s="2857"/>
      <c r="O9" s="2882"/>
      <c r="P9" s="2882"/>
      <c r="Q9" s="2883">
        <v>365</v>
      </c>
      <c r="R9" s="2884">
        <f t="shared" si="0"/>
        <v>0</v>
      </c>
      <c r="S9" s="2838"/>
      <c r="T9" s="2838"/>
      <c r="U9" s="2838"/>
      <c r="V9" s="2846"/>
    </row>
    <row r="10" spans="1:22" s="2850" customFormat="1" ht="13.15" customHeight="1">
      <c r="A10" s="2885">
        <v>2</v>
      </c>
      <c r="B10" s="3767" t="s">
        <v>2357</v>
      </c>
      <c r="C10" s="3768"/>
      <c r="D10" s="2886">
        <f>ROUND(D6*E10,0)</f>
        <v>0</v>
      </c>
      <c r="E10" s="2890"/>
      <c r="F10" s="2891" t="s">
        <v>2358</v>
      </c>
      <c r="G10" s="2870"/>
      <c r="H10" s="2845"/>
      <c r="I10" s="2846"/>
      <c r="J10" s="3763"/>
      <c r="K10" s="3765"/>
      <c r="L10" s="2880" t="s">
        <v>2359</v>
      </c>
      <c r="M10" s="2881"/>
      <c r="N10" s="2857"/>
      <c r="O10" s="2882"/>
      <c r="P10" s="2882"/>
      <c r="Q10" s="2883">
        <v>365</v>
      </c>
      <c r="R10" s="2884">
        <f t="shared" si="0"/>
        <v>0</v>
      </c>
      <c r="S10" s="2838"/>
      <c r="T10" s="2838"/>
      <c r="U10" s="2838"/>
      <c r="V10" s="2846"/>
    </row>
    <row r="11" spans="1:22" s="2850" customFormat="1" ht="13.15" customHeight="1">
      <c r="A11" s="2885">
        <v>3</v>
      </c>
      <c r="B11" s="3767" t="s">
        <v>2360</v>
      </c>
      <c r="C11" s="3768"/>
      <c r="D11" s="2886">
        <f>D12+D14+D15+D16</f>
        <v>0</v>
      </c>
      <c r="E11" s="2892" t="e">
        <f>D11/D6</f>
        <v>#DIV/0!</v>
      </c>
      <c r="F11" s="2888"/>
      <c r="G11" s="2889"/>
      <c r="H11" s="2845"/>
      <c r="I11" s="2846"/>
      <c r="J11" s="3763"/>
      <c r="K11" s="3765"/>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769" t="s">
        <v>2363</v>
      </c>
      <c r="C12" s="3770"/>
      <c r="D12" s="2894">
        <f>ROUND(D13*1.2%*(1-30%),0)</f>
        <v>0</v>
      </c>
      <c r="E12" s="2895">
        <v>1.2E-2</v>
      </c>
      <c r="F12" s="2888" t="s">
        <v>2364</v>
      </c>
      <c r="G12" s="2889"/>
      <c r="H12" s="2845"/>
      <c r="I12" s="2846"/>
      <c r="J12" s="3763"/>
      <c r="K12" s="3765"/>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763"/>
      <c r="K13" s="3765"/>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769" t="s">
        <v>2369</v>
      </c>
      <c r="C14" s="3770"/>
      <c r="D14" s="2894">
        <f>ROUND(E14*B5/10000,0)</f>
        <v>0</v>
      </c>
      <c r="E14" s="2883"/>
      <c r="F14" s="2888" t="s">
        <v>2370</v>
      </c>
      <c r="G14" s="2889"/>
      <c r="H14" s="2845"/>
      <c r="I14" s="2846"/>
      <c r="J14" s="3763"/>
      <c r="K14" s="3766"/>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769" t="s">
        <v>2373</v>
      </c>
      <c r="C15" s="3770"/>
      <c r="D15" s="2894">
        <f>ROUND(D6*E15,0)</f>
        <v>0</v>
      </c>
      <c r="E15" s="2895">
        <v>5.5E-2</v>
      </c>
      <c r="F15" s="2888" t="s">
        <v>2374</v>
      </c>
      <c r="G15" s="2870"/>
      <c r="H15" s="2845"/>
      <c r="I15" s="2846"/>
      <c r="J15" s="3763">
        <v>2</v>
      </c>
      <c r="K15" s="3764"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769" t="s">
        <v>2382</v>
      </c>
      <c r="C16" s="3770"/>
      <c r="D16" s="2905">
        <f>D6*E16</f>
        <v>0</v>
      </c>
      <c r="E16" s="2906"/>
      <c r="F16" s="2891" t="s">
        <v>2383</v>
      </c>
      <c r="G16" s="2870"/>
      <c r="H16" s="2845"/>
      <c r="I16" s="2846"/>
      <c r="J16" s="3763"/>
      <c r="K16" s="3765"/>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771" t="s">
        <v>2385</v>
      </c>
      <c r="C17" s="3772"/>
      <c r="D17" s="2908">
        <f>ROUND(D6*E17,0)</f>
        <v>0</v>
      </c>
      <c r="E17" s="2909"/>
      <c r="F17" s="2910" t="s">
        <v>2386</v>
      </c>
      <c r="G17" s="2870"/>
      <c r="H17" s="2845"/>
      <c r="I17" s="2846"/>
      <c r="J17" s="3763"/>
      <c r="K17" s="3765"/>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763"/>
      <c r="K18" s="3765"/>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763"/>
      <c r="K19" s="3766"/>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3">
        <v>3</v>
      </c>
      <c r="K20" s="3764"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763"/>
      <c r="K21" s="3765"/>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763"/>
      <c r="K22" s="3765"/>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763"/>
      <c r="K23" s="3765"/>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763"/>
      <c r="K24" s="3766"/>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773">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7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756" t="s">
        <v>2318</v>
      </c>
      <c r="K32" s="3757"/>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758" t="s">
        <v>2328</v>
      </c>
      <c r="K33" s="3759"/>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758" t="s">
        <v>2330</v>
      </c>
      <c r="K34" s="37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763">
        <v>1</v>
      </c>
      <c r="K36" s="3764"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763"/>
      <c r="K37" s="3765"/>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3"/>
      <c r="K38" s="3765"/>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763"/>
      <c r="K39" s="3765"/>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763"/>
      <c r="K40" s="3766"/>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3">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7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684</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685</v>
      </c>
      <c r="B3" s="353">
        <f>IF(C2="——",C49,ROUND(B2*10000/D3,0))</f>
        <v>0</v>
      </c>
      <c r="C3" s="354" t="s">
        <v>1663</v>
      </c>
      <c r="D3" s="353">
        <f>IF(D1="",'数据-汇总表'!E3,SUMIF('数据-汇总表'!$C19:$C33,D1,'数据-汇总表'!$E19:$E33))</f>
        <v>112144.48</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5" t="s">
        <v>1664</v>
      </c>
      <c r="B4" s="356"/>
      <c r="C4" s="3793" t="s">
        <v>1665</v>
      </c>
      <c r="D4" s="3794"/>
      <c r="E4" s="3795" t="s">
        <v>1666</v>
      </c>
      <c r="F4" s="3796"/>
      <c r="G4" s="3793" t="s">
        <v>1667</v>
      </c>
      <c r="H4" s="3794"/>
      <c r="I4" s="3793" t="s">
        <v>1668</v>
      </c>
      <c r="J4" s="3794"/>
      <c r="K4" s="1886" t="s">
        <v>1669</v>
      </c>
      <c r="L4" s="2712"/>
      <c r="M4" s="2713"/>
      <c r="N4" s="2713"/>
      <c r="O4" s="2713"/>
      <c r="P4" s="3797" t="s">
        <v>1670</v>
      </c>
      <c r="Q4" s="3798"/>
      <c r="R4" s="3780" t="s">
        <v>1666</v>
      </c>
      <c r="S4" s="3781"/>
      <c r="T4" s="3780" t="s">
        <v>1667</v>
      </c>
      <c r="U4" s="3781"/>
      <c r="V4" s="3805" t="s">
        <v>1668</v>
      </c>
      <c r="W4" s="3805"/>
      <c r="X4" s="1352"/>
      <c r="Y4" s="3780" t="s">
        <v>1670</v>
      </c>
      <c r="Z4" s="3781"/>
      <c r="AA4" s="3775" t="s">
        <v>1666</v>
      </c>
      <c r="AB4" s="3775" t="s">
        <v>1667</v>
      </c>
      <c r="AC4" s="3775" t="s">
        <v>1668</v>
      </c>
    </row>
    <row r="5" spans="1:29" ht="15">
      <c r="A5" s="358"/>
      <c r="B5" s="359"/>
      <c r="C5" s="3786" t="s">
        <v>1671</v>
      </c>
      <c r="D5" s="3787"/>
      <c r="E5" s="3784" t="s">
        <v>1672</v>
      </c>
      <c r="F5" s="3785"/>
      <c r="G5" s="3786" t="s">
        <v>1673</v>
      </c>
      <c r="H5" s="3787"/>
      <c r="I5" s="3786" t="s">
        <v>1674</v>
      </c>
      <c r="J5" s="3787"/>
      <c r="K5" s="1887"/>
      <c r="L5" s="2712"/>
      <c r="M5" s="2713"/>
      <c r="N5" s="2713"/>
      <c r="O5" s="2713"/>
      <c r="P5" s="3799"/>
      <c r="Q5" s="3800"/>
      <c r="R5" s="3782"/>
      <c r="S5" s="3783"/>
      <c r="T5" s="3782"/>
      <c r="U5" s="3783"/>
      <c r="V5" s="3805"/>
      <c r="W5" s="3805"/>
      <c r="X5" s="1352"/>
      <c r="Y5" s="3782"/>
      <c r="Z5" s="3783"/>
      <c r="AA5" s="3776"/>
      <c r="AB5" s="3776"/>
      <c r="AC5" s="3776"/>
    </row>
    <row r="6" spans="1:29" ht="15.75" thickBot="1">
      <c r="A6" s="360"/>
      <c r="B6" s="361"/>
      <c r="C6" s="3788" t="s">
        <v>1675</v>
      </c>
      <c r="D6" s="3789"/>
      <c r="E6" s="3790" t="s">
        <v>1675</v>
      </c>
      <c r="F6" s="3791"/>
      <c r="G6" s="3788" t="s">
        <v>1675</v>
      </c>
      <c r="H6" s="3789"/>
      <c r="I6" s="3788" t="s">
        <v>1675</v>
      </c>
      <c r="J6" s="3789"/>
      <c r="K6" s="1887" t="s">
        <v>1676</v>
      </c>
      <c r="L6" s="2712"/>
      <c r="M6" s="2713"/>
      <c r="N6" s="2713"/>
      <c r="O6" s="2713"/>
      <c r="P6" s="3801"/>
      <c r="Q6" s="3802"/>
      <c r="R6" s="3782"/>
      <c r="S6" s="3783"/>
      <c r="T6" s="3803"/>
      <c r="U6" s="3804"/>
      <c r="V6" s="3805"/>
      <c r="W6" s="3805"/>
      <c r="X6" s="1352"/>
      <c r="Y6" s="3803"/>
      <c r="Z6" s="3804"/>
      <c r="AA6" s="3777"/>
      <c r="AB6" s="3777"/>
      <c r="AC6" s="3777"/>
    </row>
    <row r="7" spans="1:29" s="108" customFormat="1" ht="15.75" thickBot="1">
      <c r="A7" s="362" t="s">
        <v>1677</v>
      </c>
      <c r="B7" s="363"/>
      <c r="C7" s="364">
        <f>'数据-取费表'!B2</f>
        <v>44930</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78" t="s">
        <v>1678</v>
      </c>
      <c r="Q7" s="3806"/>
      <c r="R7" s="701" t="s">
        <v>20</v>
      </c>
      <c r="S7" s="702">
        <f t="shared" ref="S7:S15" si="0">F7</f>
        <v>0</v>
      </c>
      <c r="T7" s="701" t="s">
        <v>20</v>
      </c>
      <c r="U7" s="702">
        <f t="shared" ref="U7:U15" si="1">H7</f>
        <v>0</v>
      </c>
      <c r="V7" s="701" t="s">
        <v>20</v>
      </c>
      <c r="W7" s="702">
        <f t="shared" ref="W7:W15" si="2">J7</f>
        <v>0</v>
      </c>
      <c r="X7" s="703"/>
      <c r="Y7" s="3778" t="s">
        <v>1678</v>
      </c>
      <c r="Z7" s="3779"/>
      <c r="AA7" s="704" t="e">
        <f>D7/F7</f>
        <v>#DIV/0!</v>
      </c>
      <c r="AB7" s="704" t="e">
        <f>D7/H7</f>
        <v>#DIV/0!</v>
      </c>
      <c r="AC7" s="704" t="e">
        <f>D7/J7</f>
        <v>#DIV/0!</v>
      </c>
    </row>
    <row r="8" spans="1:29" s="108" customFormat="1" ht="15.7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78" t="s">
        <v>1681</v>
      </c>
      <c r="Q8" s="3779"/>
      <c r="R8" s="701" t="s">
        <v>20</v>
      </c>
      <c r="S8" s="702">
        <f t="shared" si="0"/>
        <v>100</v>
      </c>
      <c r="T8" s="701" t="s">
        <v>20</v>
      </c>
      <c r="U8" s="702">
        <f t="shared" si="1"/>
        <v>100</v>
      </c>
      <c r="V8" s="701" t="s">
        <v>20</v>
      </c>
      <c r="W8" s="702">
        <f t="shared" si="2"/>
        <v>100</v>
      </c>
      <c r="X8" s="703"/>
      <c r="Y8" s="3778" t="s">
        <v>1681</v>
      </c>
      <c r="Z8" s="377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92"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92"/>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92"/>
      <c r="Q11" s="1340" t="str">
        <f t="shared" si="6"/>
        <v>容积率</v>
      </c>
      <c r="R11" s="701" t="s">
        <v>18</v>
      </c>
      <c r="S11" s="702" t="e">
        <f t="shared" si="0"/>
        <v>#N/A</v>
      </c>
      <c r="T11" s="701" t="s">
        <v>18</v>
      </c>
      <c r="U11" s="702" t="e">
        <f t="shared" si="1"/>
        <v>#N/A</v>
      </c>
      <c r="V11" s="701" t="s">
        <v>18</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92"/>
      <c r="Q12" s="1340">
        <f t="shared" si="6"/>
        <v>111</v>
      </c>
      <c r="R12" s="701" t="s">
        <v>18</v>
      </c>
      <c r="S12" s="702">
        <f t="shared" si="0"/>
        <v>100</v>
      </c>
      <c r="T12" s="701" t="s">
        <v>18</v>
      </c>
      <c r="U12" s="702">
        <f t="shared" si="1"/>
        <v>100</v>
      </c>
      <c r="V12" s="701" t="s">
        <v>18</v>
      </c>
      <c r="W12" s="702">
        <f t="shared" si="2"/>
        <v>100</v>
      </c>
      <c r="X12" s="703"/>
      <c r="Y12" s="3722"/>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92"/>
      <c r="Q13" s="1340">
        <f t="shared" si="6"/>
        <v>111</v>
      </c>
      <c r="R13" s="701" t="s">
        <v>18</v>
      </c>
      <c r="S13" s="702">
        <f t="shared" si="0"/>
        <v>100</v>
      </c>
      <c r="T13" s="701" t="s">
        <v>18</v>
      </c>
      <c r="U13" s="702">
        <f t="shared" si="1"/>
        <v>100</v>
      </c>
      <c r="V13" s="701" t="s">
        <v>18</v>
      </c>
      <c r="W13" s="702">
        <f t="shared" si="2"/>
        <v>100</v>
      </c>
      <c r="X13" s="703"/>
      <c r="Y13" s="3722"/>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92"/>
      <c r="Q14" s="1340">
        <f t="shared" si="6"/>
        <v>111</v>
      </c>
      <c r="R14" s="701" t="s">
        <v>18</v>
      </c>
      <c r="S14" s="702">
        <f t="shared" si="0"/>
        <v>100</v>
      </c>
      <c r="T14" s="701" t="s">
        <v>18</v>
      </c>
      <c r="U14" s="702">
        <f t="shared" si="1"/>
        <v>100</v>
      </c>
      <c r="V14" s="701" t="s">
        <v>18</v>
      </c>
      <c r="W14" s="702">
        <f t="shared" si="2"/>
        <v>100</v>
      </c>
      <c r="X14" s="703"/>
      <c r="Y14" s="3722"/>
      <c r="Z14" s="52">
        <f t="shared" si="7"/>
        <v>111</v>
      </c>
      <c r="AA14" s="704">
        <f t="shared" si="3"/>
        <v>1</v>
      </c>
      <c r="AB14" s="704">
        <f t="shared" si="4"/>
        <v>1</v>
      </c>
      <c r="AC14" s="704">
        <f t="shared" si="5"/>
        <v>1</v>
      </c>
    </row>
    <row r="15" spans="1:29" ht="85.5">
      <c r="A15" s="391" t="s">
        <v>1688</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19" t="s">
        <v>1689</v>
      </c>
      <c r="Q15" s="1349" t="str">
        <f t="shared" si="6"/>
        <v>居住社区成熟度</v>
      </c>
      <c r="R15" s="705" t="s">
        <v>18</v>
      </c>
      <c r="S15" s="706">
        <f t="shared" si="0"/>
        <v>100</v>
      </c>
      <c r="T15" s="705" t="s">
        <v>18</v>
      </c>
      <c r="U15" s="706">
        <f t="shared" si="1"/>
        <v>100</v>
      </c>
      <c r="V15" s="705" t="s">
        <v>18</v>
      </c>
      <c r="W15" s="706">
        <f t="shared" si="2"/>
        <v>100</v>
      </c>
      <c r="X15" s="1352"/>
      <c r="Y15" s="3812"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820"/>
      <c r="Q16" s="1349"/>
      <c r="R16" s="705"/>
      <c r="S16" s="706"/>
      <c r="T16" s="705"/>
      <c r="U16" s="706"/>
      <c r="V16" s="705"/>
      <c r="W16" s="706"/>
      <c r="X16" s="1352"/>
      <c r="Y16" s="3813"/>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20"/>
      <c r="Q17" s="1349" t="str">
        <f>B17</f>
        <v>交通便捷度</v>
      </c>
      <c r="R17" s="705" t="s">
        <v>18</v>
      </c>
      <c r="S17" s="706">
        <f>F17</f>
        <v>100</v>
      </c>
      <c r="T17" s="705" t="s">
        <v>18</v>
      </c>
      <c r="U17" s="706">
        <f>H17</f>
        <v>100</v>
      </c>
      <c r="V17" s="705" t="s">
        <v>18</v>
      </c>
      <c r="W17" s="706">
        <f>J17</f>
        <v>100</v>
      </c>
      <c r="X17" s="1352"/>
      <c r="Y17" s="381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820"/>
      <c r="Q18" s="1349"/>
      <c r="R18" s="705"/>
      <c r="S18" s="706"/>
      <c r="T18" s="705"/>
      <c r="U18" s="706"/>
      <c r="V18" s="705"/>
      <c r="W18" s="706"/>
      <c r="X18" s="1352"/>
      <c r="Y18" s="3813"/>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20"/>
      <c r="Q19" s="1349" t="str">
        <f>B19</f>
        <v>公共配套设施</v>
      </c>
      <c r="R19" s="705" t="s">
        <v>18</v>
      </c>
      <c r="S19" s="706">
        <f>F19</f>
        <v>100</v>
      </c>
      <c r="T19" s="705" t="s">
        <v>18</v>
      </c>
      <c r="U19" s="706">
        <f>H19</f>
        <v>100</v>
      </c>
      <c r="V19" s="705" t="s">
        <v>18</v>
      </c>
      <c r="W19" s="706">
        <f>J19</f>
        <v>100</v>
      </c>
      <c r="X19" s="1352"/>
      <c r="Y19" s="381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820"/>
      <c r="Q20" s="1349"/>
      <c r="R20" s="705"/>
      <c r="S20" s="706"/>
      <c r="T20" s="705"/>
      <c r="U20" s="706"/>
      <c r="V20" s="705"/>
      <c r="W20" s="706"/>
      <c r="X20" s="1352"/>
      <c r="Y20" s="3813"/>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20"/>
      <c r="Q21" s="1349" t="str">
        <f>B21</f>
        <v>基础设施水平</v>
      </c>
      <c r="R21" s="705" t="s">
        <v>14</v>
      </c>
      <c r="S21" s="706">
        <f>F21</f>
        <v>100</v>
      </c>
      <c r="T21" s="705" t="s">
        <v>14</v>
      </c>
      <c r="U21" s="706">
        <f>H21</f>
        <v>100</v>
      </c>
      <c r="V21" s="705" t="s">
        <v>14</v>
      </c>
      <c r="W21" s="706">
        <f>J21</f>
        <v>100</v>
      </c>
      <c r="X21" s="1352"/>
      <c r="Y21" s="381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820"/>
      <c r="Q22" s="1349"/>
      <c r="R22" s="705"/>
      <c r="S22" s="706"/>
      <c r="T22" s="705"/>
      <c r="U22" s="706"/>
      <c r="V22" s="705"/>
      <c r="W22" s="706"/>
      <c r="X22" s="1352"/>
      <c r="Y22" s="3813"/>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20"/>
      <c r="Q23" s="1349" t="str">
        <f>B23</f>
        <v>自然及人文环境</v>
      </c>
      <c r="R23" s="705" t="s">
        <v>18</v>
      </c>
      <c r="S23" s="706">
        <f>F23</f>
        <v>100</v>
      </c>
      <c r="T23" s="705" t="s">
        <v>18</v>
      </c>
      <c r="U23" s="706">
        <f>H23</f>
        <v>100</v>
      </c>
      <c r="V23" s="705" t="s">
        <v>18</v>
      </c>
      <c r="W23" s="706">
        <f>J23</f>
        <v>100</v>
      </c>
      <c r="X23" s="1352"/>
      <c r="Y23" s="381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820"/>
      <c r="Q24" s="1349"/>
      <c r="R24" s="705"/>
      <c r="S24" s="706"/>
      <c r="T24" s="705"/>
      <c r="U24" s="706"/>
      <c r="V24" s="705"/>
      <c r="W24" s="706"/>
      <c r="X24" s="1352"/>
      <c r="Y24" s="3813"/>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820"/>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813"/>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820"/>
      <c r="Q26" s="1349" t="str">
        <f t="shared" si="11"/>
        <v>朝向</v>
      </c>
      <c r="R26" s="705" t="s">
        <v>18</v>
      </c>
      <c r="S26" s="706">
        <f t="shared" si="12"/>
        <v>100</v>
      </c>
      <c r="T26" s="705" t="s">
        <v>18</v>
      </c>
      <c r="U26" s="706">
        <f t="shared" si="13"/>
        <v>100</v>
      </c>
      <c r="V26" s="705" t="s">
        <v>18</v>
      </c>
      <c r="W26" s="706">
        <f t="shared" si="14"/>
        <v>100</v>
      </c>
      <c r="X26" s="1352"/>
      <c r="Y26" s="381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820"/>
      <c r="Q27" s="1340">
        <f t="shared" si="11"/>
        <v>111</v>
      </c>
      <c r="R27" s="701" t="s">
        <v>18</v>
      </c>
      <c r="S27" s="702">
        <f t="shared" si="12"/>
        <v>100</v>
      </c>
      <c r="T27" s="701" t="s">
        <v>18</v>
      </c>
      <c r="U27" s="702">
        <f t="shared" si="13"/>
        <v>100</v>
      </c>
      <c r="V27" s="701" t="s">
        <v>18</v>
      </c>
      <c r="W27" s="702">
        <f t="shared" si="14"/>
        <v>100</v>
      </c>
      <c r="X27" s="703"/>
      <c r="Y27" s="381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820"/>
      <c r="Q28" s="1349">
        <f t="shared" si="11"/>
        <v>111</v>
      </c>
      <c r="R28" s="705" t="s">
        <v>18</v>
      </c>
      <c r="S28" s="706">
        <f t="shared" si="12"/>
        <v>100</v>
      </c>
      <c r="T28" s="705" t="s">
        <v>18</v>
      </c>
      <c r="U28" s="706">
        <f t="shared" si="13"/>
        <v>100</v>
      </c>
      <c r="V28" s="705" t="s">
        <v>18</v>
      </c>
      <c r="W28" s="706">
        <f t="shared" si="14"/>
        <v>100</v>
      </c>
      <c r="X28" s="1352"/>
      <c r="Y28" s="381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820"/>
      <c r="Q29" s="1349">
        <f t="shared" si="11"/>
        <v>111</v>
      </c>
      <c r="R29" s="705" t="s">
        <v>18</v>
      </c>
      <c r="S29" s="706">
        <f t="shared" si="12"/>
        <v>100</v>
      </c>
      <c r="T29" s="705" t="s">
        <v>18</v>
      </c>
      <c r="U29" s="706">
        <f t="shared" si="13"/>
        <v>100</v>
      </c>
      <c r="V29" s="705" t="s">
        <v>18</v>
      </c>
      <c r="W29" s="706">
        <f t="shared" si="14"/>
        <v>100</v>
      </c>
      <c r="X29" s="1352"/>
      <c r="Y29" s="381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820"/>
      <c r="Q30" s="1349">
        <f t="shared" si="11"/>
        <v>111</v>
      </c>
      <c r="R30" s="705" t="s">
        <v>18</v>
      </c>
      <c r="S30" s="706">
        <f t="shared" si="12"/>
        <v>100</v>
      </c>
      <c r="T30" s="705" t="s">
        <v>18</v>
      </c>
      <c r="U30" s="706">
        <f t="shared" si="13"/>
        <v>100</v>
      </c>
      <c r="V30" s="705" t="s">
        <v>18</v>
      </c>
      <c r="W30" s="706">
        <f t="shared" si="14"/>
        <v>100</v>
      </c>
      <c r="X30" s="1352"/>
      <c r="Y30" s="381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820"/>
      <c r="Q31" s="1349">
        <f t="shared" si="11"/>
        <v>111</v>
      </c>
      <c r="R31" s="705" t="s">
        <v>18</v>
      </c>
      <c r="S31" s="706">
        <f t="shared" si="12"/>
        <v>100</v>
      </c>
      <c r="T31" s="705" t="s">
        <v>18</v>
      </c>
      <c r="U31" s="706">
        <f t="shared" si="13"/>
        <v>100</v>
      </c>
      <c r="V31" s="705" t="s">
        <v>18</v>
      </c>
      <c r="W31" s="706">
        <f t="shared" si="14"/>
        <v>100</v>
      </c>
      <c r="X31" s="1352"/>
      <c r="Y31" s="3813"/>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814" t="s">
        <v>1694</v>
      </c>
      <c r="Q32" s="1349" t="str">
        <f t="shared" si="11"/>
        <v>建筑类型</v>
      </c>
      <c r="R32" s="705" t="s">
        <v>18</v>
      </c>
      <c r="S32" s="706">
        <f t="shared" si="12"/>
        <v>100</v>
      </c>
      <c r="T32" s="705" t="s">
        <v>18</v>
      </c>
      <c r="U32" s="706">
        <f t="shared" si="13"/>
        <v>100</v>
      </c>
      <c r="V32" s="705" t="s">
        <v>18</v>
      </c>
      <c r="W32" s="706">
        <f t="shared" si="14"/>
        <v>100</v>
      </c>
      <c r="X32" s="1352"/>
      <c r="Y32" s="3817"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815"/>
      <c r="Q33" s="707" t="str">
        <f t="shared" si="11"/>
        <v>项目建筑规模</v>
      </c>
      <c r="R33" s="708" t="s">
        <v>18</v>
      </c>
      <c r="S33" s="709" t="e">
        <f t="shared" si="12"/>
        <v>#N/A</v>
      </c>
      <c r="T33" s="708" t="s">
        <v>18</v>
      </c>
      <c r="U33" s="709" t="e">
        <f t="shared" si="13"/>
        <v>#N/A</v>
      </c>
      <c r="V33" s="708" t="s">
        <v>18</v>
      </c>
      <c r="W33" s="709" t="e">
        <f t="shared" si="14"/>
        <v>#N/A</v>
      </c>
      <c r="X33" s="710"/>
      <c r="Y33" s="3817"/>
      <c r="Z33" s="711"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815"/>
      <c r="Q34" s="1349" t="str">
        <f t="shared" si="11"/>
        <v>建筑结构</v>
      </c>
      <c r="R34" s="705" t="s">
        <v>18</v>
      </c>
      <c r="S34" s="706">
        <f t="shared" si="12"/>
        <v>100</v>
      </c>
      <c r="T34" s="705" t="s">
        <v>18</v>
      </c>
      <c r="U34" s="706">
        <f t="shared" si="13"/>
        <v>100</v>
      </c>
      <c r="V34" s="705" t="s">
        <v>18</v>
      </c>
      <c r="W34" s="706">
        <f t="shared" si="14"/>
        <v>100</v>
      </c>
      <c r="X34" s="1352"/>
      <c r="Y34" s="3817"/>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815"/>
      <c r="Q35" s="1349" t="str">
        <f t="shared" si="11"/>
        <v>建筑品质</v>
      </c>
      <c r="R35" s="705" t="s">
        <v>18</v>
      </c>
      <c r="S35" s="706">
        <f t="shared" si="12"/>
        <v>100</v>
      </c>
      <c r="T35" s="705" t="s">
        <v>18</v>
      </c>
      <c r="U35" s="706">
        <f t="shared" si="13"/>
        <v>100</v>
      </c>
      <c r="V35" s="705" t="s">
        <v>18</v>
      </c>
      <c r="W35" s="706">
        <f t="shared" si="14"/>
        <v>100</v>
      </c>
      <c r="X35" s="1352"/>
      <c r="Y35" s="3817"/>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815"/>
      <c r="Q36" s="1349" t="str">
        <f t="shared" si="11"/>
        <v>公共部分装修</v>
      </c>
      <c r="R36" s="705" t="s">
        <v>18</v>
      </c>
      <c r="S36" s="706">
        <f t="shared" si="12"/>
        <v>100</v>
      </c>
      <c r="T36" s="705" t="s">
        <v>18</v>
      </c>
      <c r="U36" s="706">
        <f t="shared" si="13"/>
        <v>100</v>
      </c>
      <c r="V36" s="705" t="s">
        <v>18</v>
      </c>
      <c r="W36" s="706">
        <f t="shared" si="14"/>
        <v>100</v>
      </c>
      <c r="X36" s="1352"/>
      <c r="Y36" s="3817"/>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15"/>
      <c r="Q37" s="1340" t="str">
        <f t="shared" si="11"/>
        <v>成新度</v>
      </c>
      <c r="R37" s="701" t="s">
        <v>18</v>
      </c>
      <c r="S37" s="702" t="e">
        <f t="shared" si="12"/>
        <v>#N/A</v>
      </c>
      <c r="T37" s="701" t="s">
        <v>18</v>
      </c>
      <c r="U37" s="702" t="e">
        <f t="shared" si="13"/>
        <v>#N/A</v>
      </c>
      <c r="V37" s="701" t="s">
        <v>18</v>
      </c>
      <c r="W37" s="702" t="e">
        <f t="shared" si="14"/>
        <v>#N/A</v>
      </c>
      <c r="X37" s="703"/>
      <c r="Y37" s="3817"/>
      <c r="Z37" s="52" t="str">
        <f t="shared" si="18"/>
        <v>成新度</v>
      </c>
      <c r="AA37" s="704" t="e">
        <f t="shared" si="15"/>
        <v>#N/A</v>
      </c>
      <c r="AB37" s="704" t="e">
        <f t="shared" si="16"/>
        <v>#N/A</v>
      </c>
      <c r="AC37" s="704"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815" t="s">
        <v>1694</v>
      </c>
      <c r="Q38" s="1349" t="str">
        <f t="shared" si="11"/>
        <v>物业管理</v>
      </c>
      <c r="R38" s="705" t="s">
        <v>18</v>
      </c>
      <c r="S38" s="706">
        <f t="shared" si="12"/>
        <v>100</v>
      </c>
      <c r="T38" s="705" t="s">
        <v>18</v>
      </c>
      <c r="U38" s="706">
        <f t="shared" si="13"/>
        <v>100</v>
      </c>
      <c r="V38" s="705" t="s">
        <v>18</v>
      </c>
      <c r="W38" s="706">
        <f t="shared" si="14"/>
        <v>100</v>
      </c>
      <c r="X38" s="1352"/>
      <c r="Y38" s="3817"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815"/>
      <c r="Q39" s="1349" t="str">
        <f t="shared" si="11"/>
        <v>市政基础设施</v>
      </c>
      <c r="R39" s="705" t="s">
        <v>18</v>
      </c>
      <c r="S39" s="706">
        <f t="shared" si="12"/>
        <v>100</v>
      </c>
      <c r="T39" s="705" t="s">
        <v>18</v>
      </c>
      <c r="U39" s="706">
        <f t="shared" si="13"/>
        <v>100</v>
      </c>
      <c r="V39" s="705" t="s">
        <v>18</v>
      </c>
      <c r="W39" s="706">
        <f t="shared" si="14"/>
        <v>100</v>
      </c>
      <c r="X39" s="1352"/>
      <c r="Y39" s="3817"/>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815"/>
      <c r="Q40" s="1349" t="str">
        <f t="shared" si="11"/>
        <v>房型</v>
      </c>
      <c r="R40" s="705" t="s">
        <v>18</v>
      </c>
      <c r="S40" s="706">
        <f t="shared" si="12"/>
        <v>100</v>
      </c>
      <c r="T40" s="705" t="s">
        <v>18</v>
      </c>
      <c r="U40" s="706">
        <f t="shared" si="13"/>
        <v>100</v>
      </c>
      <c r="V40" s="705" t="s">
        <v>18</v>
      </c>
      <c r="W40" s="706">
        <f t="shared" si="14"/>
        <v>100</v>
      </c>
      <c r="X40" s="1352"/>
      <c r="Y40" s="3817"/>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815"/>
      <c r="Q41" s="707" t="str">
        <f t="shared" si="11"/>
        <v>单套/主力户型建筑面积</v>
      </c>
      <c r="R41" s="708" t="s">
        <v>18</v>
      </c>
      <c r="S41" s="709">
        <f t="shared" si="12"/>
        <v>100</v>
      </c>
      <c r="T41" s="708" t="s">
        <v>18</v>
      </c>
      <c r="U41" s="709">
        <f t="shared" si="13"/>
        <v>100</v>
      </c>
      <c r="V41" s="708" t="s">
        <v>18</v>
      </c>
      <c r="W41" s="709">
        <f t="shared" si="14"/>
        <v>100</v>
      </c>
      <c r="X41" s="710"/>
      <c r="Y41" s="3817"/>
      <c r="Z41" s="711"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815"/>
      <c r="Q42" s="1349" t="str">
        <f t="shared" si="11"/>
        <v>内部装修</v>
      </c>
      <c r="R42" s="705" t="s">
        <v>18</v>
      </c>
      <c r="S42" s="706">
        <f t="shared" si="12"/>
        <v>100</v>
      </c>
      <c r="T42" s="705" t="s">
        <v>18</v>
      </c>
      <c r="U42" s="706">
        <f t="shared" si="13"/>
        <v>100</v>
      </c>
      <c r="V42" s="705" t="s">
        <v>18</v>
      </c>
      <c r="W42" s="706">
        <f t="shared" si="14"/>
        <v>100</v>
      </c>
      <c r="X42" s="1352"/>
      <c r="Y42" s="3817"/>
      <c r="Z42" s="1353" t="str">
        <f t="shared" si="18"/>
        <v>内部装修</v>
      </c>
      <c r="AA42" s="1350">
        <f t="shared" si="15"/>
        <v>1</v>
      </c>
      <c r="AB42" s="1350">
        <f t="shared" si="16"/>
        <v>1</v>
      </c>
      <c r="AC42" s="1350">
        <f t="shared" si="17"/>
        <v>1</v>
      </c>
    </row>
    <row r="43" spans="1:29" ht="15">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815"/>
      <c r="Q43" s="1349" t="str">
        <f t="shared" si="11"/>
        <v>内部装修维护情况</v>
      </c>
      <c r="R43" s="705" t="s">
        <v>18</v>
      </c>
      <c r="S43" s="706">
        <f t="shared" si="12"/>
        <v>100</v>
      </c>
      <c r="T43" s="705" t="s">
        <v>18</v>
      </c>
      <c r="U43" s="706">
        <f t="shared" si="13"/>
        <v>100</v>
      </c>
      <c r="V43" s="705" t="s">
        <v>18</v>
      </c>
      <c r="W43" s="706">
        <f t="shared" si="14"/>
        <v>100</v>
      </c>
      <c r="X43" s="1352"/>
      <c r="Y43" s="381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815"/>
      <c r="Q44" s="1340">
        <f t="shared" si="11"/>
        <v>111</v>
      </c>
      <c r="R44" s="701" t="s">
        <v>18</v>
      </c>
      <c r="S44" s="702">
        <f t="shared" si="12"/>
        <v>100</v>
      </c>
      <c r="T44" s="701" t="s">
        <v>18</v>
      </c>
      <c r="U44" s="702">
        <f t="shared" si="13"/>
        <v>100</v>
      </c>
      <c r="V44" s="701" t="s">
        <v>18</v>
      </c>
      <c r="W44" s="702">
        <f t="shared" si="14"/>
        <v>100</v>
      </c>
      <c r="X44" s="703"/>
      <c r="Y44" s="3817"/>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815"/>
      <c r="Q45" s="1349">
        <f t="shared" si="11"/>
        <v>111</v>
      </c>
      <c r="R45" s="705" t="s">
        <v>18</v>
      </c>
      <c r="S45" s="706">
        <f t="shared" si="12"/>
        <v>100</v>
      </c>
      <c r="T45" s="705" t="s">
        <v>18</v>
      </c>
      <c r="U45" s="706">
        <f t="shared" si="13"/>
        <v>100</v>
      </c>
      <c r="V45" s="705" t="s">
        <v>18</v>
      </c>
      <c r="W45" s="706">
        <f t="shared" si="14"/>
        <v>100</v>
      </c>
      <c r="X45" s="1352"/>
      <c r="Y45" s="381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816"/>
      <c r="Q46" s="1349">
        <f t="shared" si="11"/>
        <v>111</v>
      </c>
      <c r="R46" s="705" t="s">
        <v>17</v>
      </c>
      <c r="S46" s="706">
        <f t="shared" si="12"/>
        <v>100</v>
      </c>
      <c r="T46" s="705" t="s">
        <v>17</v>
      </c>
      <c r="U46" s="706">
        <f t="shared" si="13"/>
        <v>100</v>
      </c>
      <c r="V46" s="705" t="s">
        <v>17</v>
      </c>
      <c r="W46" s="706">
        <f t="shared" si="14"/>
        <v>100</v>
      </c>
      <c r="X46" s="1352"/>
      <c r="Y46" s="3818"/>
      <c r="Z46" s="1353">
        <f t="shared" si="18"/>
        <v>111</v>
      </c>
      <c r="AA46" s="1350">
        <f t="shared" si="15"/>
        <v>1</v>
      </c>
      <c r="AB46" s="1350">
        <f t="shared" si="16"/>
        <v>1</v>
      </c>
      <c r="AC46" s="1350">
        <f t="shared" si="17"/>
        <v>1</v>
      </c>
    </row>
    <row r="47" spans="1:29" ht="15">
      <c r="A47" s="430" t="s">
        <v>1706</v>
      </c>
      <c r="B47" s="431"/>
      <c r="C47" s="1151" t="s">
        <v>16</v>
      </c>
      <c r="D47" s="1152"/>
      <c r="E47" s="1153"/>
      <c r="F47" s="1154"/>
      <c r="G47" s="1155"/>
      <c r="H47" s="1156"/>
      <c r="I47" s="1153"/>
      <c r="J47" s="1156"/>
      <c r="K47" s="1911"/>
      <c r="L47" s="2721"/>
      <c r="M47" s="2722"/>
      <c r="N47" s="2713"/>
      <c r="O47" s="2722"/>
      <c r="P47" s="3810" t="str">
        <f>A47</f>
        <v>成交单价（元/平方米）</v>
      </c>
      <c r="Q47" s="3810"/>
      <c r="R47" s="3811">
        <f>E47</f>
        <v>0</v>
      </c>
      <c r="S47" s="3811"/>
      <c r="T47" s="3811">
        <f>G47</f>
        <v>0</v>
      </c>
      <c r="U47" s="3811"/>
      <c r="V47" s="3811">
        <f>I47</f>
        <v>0</v>
      </c>
      <c r="W47" s="3811"/>
      <c r="X47" s="690"/>
      <c r="Y47" s="712"/>
      <c r="Z47" s="690"/>
      <c r="AA47" s="690"/>
      <c r="AB47" s="690"/>
      <c r="AC47" s="690"/>
    </row>
    <row r="48" spans="1:29" ht="15.75" thickBot="1">
      <c r="A48" s="437" t="s">
        <v>1707</v>
      </c>
      <c r="B48" s="438"/>
      <c r="C48" s="1157" t="e">
        <f>R49</f>
        <v>#DIV/0!</v>
      </c>
      <c r="D48" s="2314" t="s">
        <v>2135</v>
      </c>
      <c r="E48" s="1158" t="e">
        <f>R48</f>
        <v>#DIV/0!</v>
      </c>
      <c r="F48" s="2315"/>
      <c r="G48" s="1157" t="e">
        <f>T48</f>
        <v>#DIV/0!</v>
      </c>
      <c r="H48" s="2315"/>
      <c r="I48" s="1158" t="e">
        <f>V48</f>
        <v>#DIV/0!</v>
      </c>
      <c r="J48" s="2315"/>
      <c r="K48" s="2316">
        <f>F48+H48+J48</f>
        <v>0</v>
      </c>
      <c r="L48" s="2721"/>
      <c r="M48" s="2722"/>
      <c r="N48" s="2722"/>
      <c r="O48" s="2722"/>
      <c r="P48" s="3810" t="str">
        <f>A48</f>
        <v>比较价值（元/平方米）</v>
      </c>
      <c r="Q48" s="3810"/>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690"/>
      <c r="Y48" s="690"/>
      <c r="Z48" s="690"/>
      <c r="AA48" s="690"/>
      <c r="AB48" s="690"/>
      <c r="AC48" s="690"/>
    </row>
    <row r="49" spans="1:29" ht="15.75" thickBot="1">
      <c r="A49" s="441" t="s">
        <v>1708</v>
      </c>
      <c r="B49" s="442"/>
      <c r="C49" s="1159" t="e">
        <f>R49</f>
        <v>#DIV/0!</v>
      </c>
      <c r="D49" s="1160"/>
      <c r="E49" s="1160"/>
      <c r="F49" s="1160"/>
      <c r="G49" s="1160"/>
      <c r="H49" s="1160"/>
      <c r="I49" s="1160"/>
      <c r="J49" s="1160"/>
      <c r="K49" s="1912"/>
      <c r="L49" s="2721"/>
      <c r="M49" s="2722"/>
      <c r="N49" s="2722"/>
      <c r="O49" s="2722"/>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38"/>
      <c r="L57" s="939"/>
      <c r="M57" s="937"/>
      <c r="N57" s="937"/>
      <c r="O57" s="937"/>
      <c r="P57" s="1915"/>
      <c r="Q57" s="453"/>
    </row>
    <row r="58" spans="1:29" s="457" customFormat="1" ht="15">
      <c r="A58" s="454" t="s">
        <v>1713</v>
      </c>
      <c r="B58" s="455"/>
      <c r="C58" s="1183" t="str">
        <f>YEAR(C7)&amp;"-"&amp;MONTH(C7)</f>
        <v>2023-1</v>
      </c>
      <c r="D58" s="1182">
        <f>EDATE(C58,-1)</f>
        <v>44896</v>
      </c>
      <c r="E58" s="1182">
        <f>EDATE(D58,-1)</f>
        <v>44866</v>
      </c>
      <c r="F58" s="1182">
        <f t="shared" ref="F58:O58" si="19">EDATE(E58,-1)</f>
        <v>44835</v>
      </c>
      <c r="G58" s="1182">
        <f t="shared" si="19"/>
        <v>44805</v>
      </c>
      <c r="H58" s="1182">
        <f t="shared" si="19"/>
        <v>44774</v>
      </c>
      <c r="I58" s="1182">
        <f t="shared" si="19"/>
        <v>44743</v>
      </c>
      <c r="J58" s="1182">
        <f t="shared" si="19"/>
        <v>44713</v>
      </c>
      <c r="K58" s="1182">
        <f t="shared" si="19"/>
        <v>44682</v>
      </c>
      <c r="L58" s="1182">
        <f t="shared" si="19"/>
        <v>44652</v>
      </c>
      <c r="M58" s="1182">
        <f t="shared" si="19"/>
        <v>44621</v>
      </c>
      <c r="N58" s="1182">
        <f t="shared" si="19"/>
        <v>44593</v>
      </c>
      <c r="O58" s="1182">
        <f t="shared" si="19"/>
        <v>44562</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1717</v>
      </c>
      <c r="B63" s="477" t="s">
        <v>1683</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1686</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1732</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1733</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1692</v>
      </c>
      <c r="B100" s="477" t="s">
        <v>1734</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1736</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1737</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1738</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1739</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1740</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1741</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1703</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1742</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4">
        <v>6</v>
      </c>
      <c r="C139" s="865">
        <v>96</v>
      </c>
      <c r="D139" s="1937" t="s">
        <v>1753</v>
      </c>
      <c r="E139" s="866">
        <v>100</v>
      </c>
      <c r="F139" s="867">
        <v>102.5</v>
      </c>
      <c r="G139" s="1937" t="s">
        <v>1753</v>
      </c>
      <c r="H139" s="868">
        <v>105</v>
      </c>
      <c r="I139" s="1938" t="s">
        <v>1754</v>
      </c>
      <c r="J139" s="865">
        <v>20</v>
      </c>
      <c r="K139" s="869">
        <f>C145/(J139-2)</f>
        <v>4.0555555555555553E-3</v>
      </c>
    </row>
    <row r="140" spans="1:17" ht="15">
      <c r="B140" s="870">
        <v>5</v>
      </c>
      <c r="C140" s="871">
        <v>100</v>
      </c>
      <c r="D140" s="871"/>
      <c r="E140" s="872"/>
      <c r="F140" s="873">
        <v>102</v>
      </c>
      <c r="G140" s="871"/>
      <c r="H140" s="874"/>
      <c r="I140" s="1939" t="s">
        <v>1755</v>
      </c>
      <c r="J140" s="271">
        <f>ROUNDUP((J139-1)/2,0)</f>
        <v>10</v>
      </c>
      <c r="K140" s="875">
        <v>100</v>
      </c>
    </row>
    <row r="141" spans="1:17" ht="15">
      <c r="B141" s="870">
        <v>4</v>
      </c>
      <c r="C141" s="871">
        <v>102</v>
      </c>
      <c r="D141" s="871"/>
      <c r="E141" s="872"/>
      <c r="F141" s="873">
        <v>101.5</v>
      </c>
      <c r="G141" s="871"/>
      <c r="H141" s="874"/>
      <c r="I141" s="1939" t="s">
        <v>1756</v>
      </c>
      <c r="J141" s="271">
        <v>1</v>
      </c>
      <c r="K141" s="876">
        <f>ROUND(100+(J141-J140)*K139*100,1)</f>
        <v>96.4</v>
      </c>
    </row>
    <row r="142" spans="1:17" ht="15">
      <c r="B142" s="870">
        <v>3</v>
      </c>
      <c r="C142" s="871">
        <v>103</v>
      </c>
      <c r="D142" s="871"/>
      <c r="E142" s="872"/>
      <c r="F142" s="873">
        <v>101</v>
      </c>
      <c r="G142" s="871"/>
      <c r="H142" s="874"/>
      <c r="I142" s="1939" t="s">
        <v>1757</v>
      </c>
      <c r="J142" s="271">
        <f>J139</f>
        <v>20</v>
      </c>
      <c r="K142" s="877">
        <v>95</v>
      </c>
    </row>
    <row r="143" spans="1:17" ht="15">
      <c r="B143" s="870">
        <v>2</v>
      </c>
      <c r="C143" s="871">
        <v>100</v>
      </c>
      <c r="D143" s="871"/>
      <c r="E143" s="872"/>
      <c r="F143" s="873">
        <v>100.5</v>
      </c>
      <c r="G143" s="871"/>
      <c r="H143" s="874"/>
      <c r="I143" s="1939" t="s">
        <v>1758</v>
      </c>
      <c r="J143" s="871">
        <v>15</v>
      </c>
      <c r="K143" s="876">
        <f>ROUND(100+(J143-J140)*K139*100,1)</f>
        <v>102</v>
      </c>
    </row>
    <row r="144" spans="1:17" ht="15">
      <c r="B144" s="870">
        <v>1</v>
      </c>
      <c r="C144" s="871">
        <v>98</v>
      </c>
      <c r="D144" s="1940" t="s">
        <v>1759</v>
      </c>
      <c r="E144" s="872">
        <v>102</v>
      </c>
      <c r="F144" s="878">
        <v>100</v>
      </c>
      <c r="G144" s="1940" t="s">
        <v>1759</v>
      </c>
      <c r="H144" s="874">
        <v>105</v>
      </c>
      <c r="I144" s="1939" t="s">
        <v>1758</v>
      </c>
      <c r="J144" s="871">
        <v>18</v>
      </c>
      <c r="K144" s="876">
        <f>ROUND(100+(J144-J140)*K139*100,1)</f>
        <v>103.2</v>
      </c>
    </row>
    <row r="145" spans="2:11" ht="15.75" thickBot="1">
      <c r="B145" s="1941" t="s">
        <v>1760</v>
      </c>
      <c r="C145" s="879">
        <f>ROUND(MAX(C139:C144)/MIN(C139:C144)-1,3)</f>
        <v>7.2999999999999995E-2</v>
      </c>
      <c r="D145" s="880"/>
      <c r="E145" s="880"/>
      <c r="F145" s="1942" t="s">
        <v>1761</v>
      </c>
      <c r="G145" s="1943"/>
      <c r="H145" s="1944"/>
      <c r="I145" s="1945" t="s">
        <v>1758</v>
      </c>
      <c r="J145" s="881">
        <v>8</v>
      </c>
      <c r="K145" s="882">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1462</v>
      </c>
      <c r="B3" s="558">
        <f>IF(C2="——",C49,ROUND(B2*10000/D3,0))</f>
        <v>0</v>
      </c>
      <c r="C3" s="354" t="s">
        <v>1766</v>
      </c>
      <c r="D3" s="353">
        <f>IF(D1="",'数据-汇总表'!E3,SUMIF('数据-汇总表'!$C19:$C33,D1,'数据-汇总表'!$E19:$E33))</f>
        <v>112144.48</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5" t="s">
        <v>1767</v>
      </c>
      <c r="B4" s="356"/>
      <c r="C4" s="3793" t="s">
        <v>1768</v>
      </c>
      <c r="D4" s="3794"/>
      <c r="E4" s="3795" t="s">
        <v>1769</v>
      </c>
      <c r="F4" s="3796"/>
      <c r="G4" s="3793" t="s">
        <v>1770</v>
      </c>
      <c r="H4" s="3794"/>
      <c r="I4" s="3793" t="s">
        <v>1771</v>
      </c>
      <c r="J4" s="3794"/>
      <c r="K4" s="559" t="s">
        <v>1772</v>
      </c>
      <c r="L4" s="2712"/>
      <c r="M4" s="2713"/>
      <c r="N4" s="2713"/>
      <c r="O4" s="2713"/>
      <c r="P4" s="3797" t="s">
        <v>1773</v>
      </c>
      <c r="Q4" s="3798"/>
      <c r="R4" s="3780" t="s">
        <v>1769</v>
      </c>
      <c r="S4" s="3781"/>
      <c r="T4" s="3780" t="s">
        <v>1770</v>
      </c>
      <c r="U4" s="3781"/>
      <c r="V4" s="3805" t="s">
        <v>1771</v>
      </c>
      <c r="W4" s="3805"/>
      <c r="X4" s="1352"/>
      <c r="Y4" s="3780" t="s">
        <v>1773</v>
      </c>
      <c r="Z4" s="3781"/>
      <c r="AA4" s="3775" t="s">
        <v>1769</v>
      </c>
      <c r="AB4" s="3805" t="s">
        <v>1770</v>
      </c>
      <c r="AC4" s="3775" t="s">
        <v>1771</v>
      </c>
    </row>
    <row r="5" spans="1:29" ht="15">
      <c r="A5" s="358"/>
      <c r="B5" s="359"/>
      <c r="C5" s="3786" t="s">
        <v>1671</v>
      </c>
      <c r="D5" s="3787"/>
      <c r="E5" s="3784" t="s">
        <v>1672</v>
      </c>
      <c r="F5" s="3785"/>
      <c r="G5" s="3786" t="s">
        <v>1673</v>
      </c>
      <c r="H5" s="3787"/>
      <c r="I5" s="3786" t="s">
        <v>1674</v>
      </c>
      <c r="J5" s="3787"/>
      <c r="K5" s="559"/>
      <c r="L5" s="2712"/>
      <c r="M5" s="2713"/>
      <c r="N5" s="2713"/>
      <c r="O5" s="2713"/>
      <c r="P5" s="3799"/>
      <c r="Q5" s="3800"/>
      <c r="R5" s="3782"/>
      <c r="S5" s="3783"/>
      <c r="T5" s="3782"/>
      <c r="U5" s="3783"/>
      <c r="V5" s="3805"/>
      <c r="W5" s="3805"/>
      <c r="X5" s="1352"/>
      <c r="Y5" s="3782"/>
      <c r="Z5" s="3783"/>
      <c r="AA5" s="3776"/>
      <c r="AB5" s="3805"/>
      <c r="AC5" s="3776"/>
    </row>
    <row r="6" spans="1:29" ht="15.75" thickBot="1">
      <c r="A6" s="360"/>
      <c r="B6" s="361"/>
      <c r="C6" s="3788" t="s">
        <v>1675</v>
      </c>
      <c r="D6" s="3789"/>
      <c r="E6" s="3790" t="s">
        <v>1675</v>
      </c>
      <c r="F6" s="3791"/>
      <c r="G6" s="3788" t="s">
        <v>1675</v>
      </c>
      <c r="H6" s="3789"/>
      <c r="I6" s="3788" t="s">
        <v>1675</v>
      </c>
      <c r="J6" s="3789"/>
      <c r="K6" s="559" t="s">
        <v>1676</v>
      </c>
      <c r="L6" s="2712"/>
      <c r="M6" s="2713"/>
      <c r="N6" s="2713"/>
      <c r="O6" s="2713"/>
      <c r="P6" s="3801"/>
      <c r="Q6" s="3802"/>
      <c r="R6" s="3782"/>
      <c r="S6" s="3783"/>
      <c r="T6" s="3803"/>
      <c r="U6" s="3804"/>
      <c r="V6" s="3805"/>
      <c r="W6" s="3805"/>
      <c r="X6" s="1352"/>
      <c r="Y6" s="3803"/>
      <c r="Z6" s="3804"/>
      <c r="AA6" s="3777"/>
      <c r="AB6" s="3805"/>
      <c r="AC6" s="3777"/>
    </row>
    <row r="7" spans="1:29" s="108" customFormat="1" ht="15.75" thickBot="1">
      <c r="A7" s="362" t="s">
        <v>1677</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78" t="s">
        <v>1678</v>
      </c>
      <c r="Q7" s="3806"/>
      <c r="R7" s="701" t="s">
        <v>14</v>
      </c>
      <c r="S7" s="702">
        <f t="shared" ref="S7:S15" si="0">F7</f>
        <v>0</v>
      </c>
      <c r="T7" s="701" t="s">
        <v>14</v>
      </c>
      <c r="U7" s="702">
        <f t="shared" ref="U7:U15" si="1">H7</f>
        <v>0</v>
      </c>
      <c r="V7" s="701" t="s">
        <v>14</v>
      </c>
      <c r="W7" s="702">
        <f t="shared" ref="W7:W15" si="2">J7</f>
        <v>0</v>
      </c>
      <c r="X7" s="703"/>
      <c r="Y7" s="3778" t="s">
        <v>1678</v>
      </c>
      <c r="Z7" s="3779"/>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78" t="s">
        <v>1681</v>
      </c>
      <c r="Q8" s="3779"/>
      <c r="R8" s="701" t="s">
        <v>14</v>
      </c>
      <c r="S8" s="702">
        <f t="shared" si="0"/>
        <v>100</v>
      </c>
      <c r="T8" s="701" t="s">
        <v>14</v>
      </c>
      <c r="U8" s="702">
        <f t="shared" si="1"/>
        <v>100</v>
      </c>
      <c r="V8" s="701" t="s">
        <v>14</v>
      </c>
      <c r="W8" s="702">
        <f t="shared" si="2"/>
        <v>100</v>
      </c>
      <c r="X8" s="703"/>
      <c r="Y8" s="3778" t="s">
        <v>1681</v>
      </c>
      <c r="Z8" s="3779"/>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92"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92"/>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92"/>
      <c r="Q11" s="1340"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92"/>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92"/>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92"/>
      <c r="Q14" s="1340">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71.25">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19" t="s">
        <v>1689</v>
      </c>
      <c r="Q15" s="1349" t="str">
        <f t="shared" si="6"/>
        <v>商业繁华度</v>
      </c>
      <c r="R15" s="705" t="s">
        <v>14</v>
      </c>
      <c r="S15" s="706">
        <f t="shared" si="0"/>
        <v>100</v>
      </c>
      <c r="T15" s="705" t="s">
        <v>14</v>
      </c>
      <c r="U15" s="706">
        <f t="shared" si="1"/>
        <v>100</v>
      </c>
      <c r="V15" s="705" t="s">
        <v>14</v>
      </c>
      <c r="W15" s="706">
        <f t="shared" si="2"/>
        <v>100</v>
      </c>
      <c r="X15" s="1352"/>
      <c r="Y15" s="3812"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820"/>
      <c r="Q16" s="1349"/>
      <c r="R16" s="705"/>
      <c r="S16" s="706"/>
      <c r="T16" s="705"/>
      <c r="U16" s="706"/>
      <c r="V16" s="705"/>
      <c r="W16" s="706"/>
      <c r="X16" s="1352"/>
      <c r="Y16" s="3813"/>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0"/>
      <c r="Q17" s="1349" t="str">
        <f>B17</f>
        <v>交通便捷度</v>
      </c>
      <c r="R17" s="705" t="s">
        <v>14</v>
      </c>
      <c r="S17" s="706">
        <f>F17</f>
        <v>100</v>
      </c>
      <c r="T17" s="705" t="s">
        <v>14</v>
      </c>
      <c r="U17" s="706">
        <f>H17</f>
        <v>100</v>
      </c>
      <c r="V17" s="705" t="s">
        <v>14</v>
      </c>
      <c r="W17" s="706">
        <f>J17</f>
        <v>100</v>
      </c>
      <c r="X17" s="1352"/>
      <c r="Y17" s="381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820"/>
      <c r="Q18" s="1349"/>
      <c r="R18" s="705"/>
      <c r="S18" s="706"/>
      <c r="T18" s="705"/>
      <c r="U18" s="706"/>
      <c r="V18" s="705"/>
      <c r="W18" s="706"/>
      <c r="X18" s="1352"/>
      <c r="Y18" s="3813"/>
      <c r="Z18" s="1353"/>
      <c r="AA18" s="1350">
        <v>1</v>
      </c>
      <c r="AB18" s="1350">
        <v>1</v>
      </c>
      <c r="AC18" s="1350">
        <v>1</v>
      </c>
    </row>
    <row r="19" spans="1:29" ht="42.75">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0"/>
      <c r="Q19" s="1349" t="str">
        <f>B19</f>
        <v>公共配套设施</v>
      </c>
      <c r="R19" s="705" t="s">
        <v>14</v>
      </c>
      <c r="S19" s="706">
        <f>F19</f>
        <v>100</v>
      </c>
      <c r="T19" s="705" t="s">
        <v>14</v>
      </c>
      <c r="U19" s="706">
        <f>H19</f>
        <v>100</v>
      </c>
      <c r="V19" s="705" t="s">
        <v>14</v>
      </c>
      <c r="W19" s="706">
        <f>J19</f>
        <v>100</v>
      </c>
      <c r="X19" s="1352"/>
      <c r="Y19" s="381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820"/>
      <c r="Q20" s="1349"/>
      <c r="R20" s="705"/>
      <c r="S20" s="706"/>
      <c r="T20" s="705"/>
      <c r="U20" s="706"/>
      <c r="V20" s="705"/>
      <c r="W20" s="706"/>
      <c r="X20" s="1352"/>
      <c r="Y20" s="3813"/>
      <c r="Z20" s="1353"/>
      <c r="AA20" s="1350">
        <v>1</v>
      </c>
      <c r="AB20" s="1350">
        <v>1</v>
      </c>
      <c r="AC20" s="1350">
        <v>1</v>
      </c>
    </row>
    <row r="21" spans="1:29" ht="28.5">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0"/>
      <c r="Q21" s="1349" t="str">
        <f>B21</f>
        <v>基础设施水平</v>
      </c>
      <c r="R21" s="705" t="s">
        <v>14</v>
      </c>
      <c r="S21" s="706">
        <f>F21</f>
        <v>100</v>
      </c>
      <c r="T21" s="705" t="s">
        <v>14</v>
      </c>
      <c r="U21" s="706">
        <f>H21</f>
        <v>100</v>
      </c>
      <c r="V21" s="705" t="s">
        <v>14</v>
      </c>
      <c r="W21" s="706">
        <f>J21</f>
        <v>100</v>
      </c>
      <c r="X21" s="1352"/>
      <c r="Y21" s="381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820"/>
      <c r="Q22" s="1349"/>
      <c r="R22" s="705"/>
      <c r="S22" s="706"/>
      <c r="T22" s="705"/>
      <c r="U22" s="706"/>
      <c r="V22" s="705"/>
      <c r="W22" s="706"/>
      <c r="X22" s="1352"/>
      <c r="Y22" s="3813"/>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0"/>
      <c r="Q23" s="1349" t="str">
        <f>B23</f>
        <v>自然及人文环境</v>
      </c>
      <c r="R23" s="705" t="s">
        <v>14</v>
      </c>
      <c r="S23" s="706">
        <f>F23</f>
        <v>100</v>
      </c>
      <c r="T23" s="705" t="s">
        <v>14</v>
      </c>
      <c r="U23" s="706">
        <f>H23</f>
        <v>100</v>
      </c>
      <c r="V23" s="705" t="s">
        <v>14</v>
      </c>
      <c r="W23" s="706">
        <f>J23</f>
        <v>100</v>
      </c>
      <c r="X23" s="1352"/>
      <c r="Y23" s="3813"/>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820"/>
      <c r="Q24" s="1349"/>
      <c r="R24" s="705"/>
      <c r="S24" s="706"/>
      <c r="T24" s="705"/>
      <c r="U24" s="706"/>
      <c r="V24" s="705"/>
      <c r="W24" s="706"/>
      <c r="X24" s="1352"/>
      <c r="Y24" s="3813"/>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0"/>
      <c r="Q25" s="1349" t="str">
        <f t="shared" ref="Q25:Q46" si="11">B25</f>
        <v>临街状况</v>
      </c>
      <c r="R25" s="705" t="s">
        <v>14</v>
      </c>
      <c r="S25" s="706">
        <f>F25</f>
        <v>100</v>
      </c>
      <c r="T25" s="705" t="s">
        <v>14</v>
      </c>
      <c r="U25" s="706">
        <f>H25</f>
        <v>100</v>
      </c>
      <c r="V25" s="705" t="s">
        <v>14</v>
      </c>
      <c r="W25" s="706">
        <f>J25</f>
        <v>100</v>
      </c>
      <c r="X25" s="1352"/>
      <c r="Y25" s="3813"/>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0"/>
      <c r="Q26" s="1349" t="str">
        <f t="shared" si="11"/>
        <v>平面位置/可视性</v>
      </c>
      <c r="R26" s="705" t="s">
        <v>14</v>
      </c>
      <c r="S26" s="706">
        <f>F26</f>
        <v>100</v>
      </c>
      <c r="T26" s="705" t="s">
        <v>14</v>
      </c>
      <c r="U26" s="706">
        <f>H26</f>
        <v>100</v>
      </c>
      <c r="V26" s="705" t="s">
        <v>14</v>
      </c>
      <c r="W26" s="706">
        <f>J26</f>
        <v>100</v>
      </c>
      <c r="X26" s="1352"/>
      <c r="Y26" s="3813"/>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820"/>
      <c r="Q27" s="1340" t="str">
        <f t="shared" si="11"/>
        <v>人流量</v>
      </c>
      <c r="R27" s="701" t="s">
        <v>14</v>
      </c>
      <c r="S27" s="702">
        <f>F27</f>
        <v>100</v>
      </c>
      <c r="T27" s="701" t="s">
        <v>14</v>
      </c>
      <c r="U27" s="702">
        <f>H27</f>
        <v>100</v>
      </c>
      <c r="V27" s="701" t="s">
        <v>14</v>
      </c>
      <c r="W27" s="702">
        <f>J27</f>
        <v>100</v>
      </c>
      <c r="X27" s="703"/>
      <c r="Y27" s="3813"/>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0"/>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81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0"/>
      <c r="Q29" s="1349">
        <f t="shared" si="11"/>
        <v>111</v>
      </c>
      <c r="R29" s="705" t="s">
        <v>14</v>
      </c>
      <c r="S29" s="706">
        <f t="shared" si="12"/>
        <v>100</v>
      </c>
      <c r="T29" s="705" t="s">
        <v>14</v>
      </c>
      <c r="U29" s="706">
        <f t="shared" si="13"/>
        <v>100</v>
      </c>
      <c r="V29" s="705" t="s">
        <v>14</v>
      </c>
      <c r="W29" s="706">
        <f t="shared" si="14"/>
        <v>100</v>
      </c>
      <c r="X29" s="1352"/>
      <c r="Y29" s="381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0"/>
      <c r="Q30" s="1349">
        <f t="shared" si="11"/>
        <v>111</v>
      </c>
      <c r="R30" s="705" t="s">
        <v>14</v>
      </c>
      <c r="S30" s="706">
        <f t="shared" si="12"/>
        <v>100</v>
      </c>
      <c r="T30" s="705" t="s">
        <v>14</v>
      </c>
      <c r="U30" s="706">
        <f t="shared" si="13"/>
        <v>100</v>
      </c>
      <c r="V30" s="705" t="s">
        <v>14</v>
      </c>
      <c r="W30" s="706">
        <f t="shared" si="14"/>
        <v>100</v>
      </c>
      <c r="X30" s="1352"/>
      <c r="Y30" s="381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0"/>
      <c r="Q31" s="1349">
        <f t="shared" si="11"/>
        <v>111</v>
      </c>
      <c r="R31" s="705" t="s">
        <v>14</v>
      </c>
      <c r="S31" s="706">
        <f t="shared" si="12"/>
        <v>100</v>
      </c>
      <c r="T31" s="705" t="s">
        <v>14</v>
      </c>
      <c r="U31" s="706">
        <f t="shared" si="13"/>
        <v>100</v>
      </c>
      <c r="V31" s="705" t="s">
        <v>14</v>
      </c>
      <c r="W31" s="706">
        <f t="shared" si="14"/>
        <v>100</v>
      </c>
      <c r="X31" s="1352"/>
      <c r="Y31" s="3813"/>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814" t="s">
        <v>1694</v>
      </c>
      <c r="Q32" s="1349" t="str">
        <f t="shared" si="11"/>
        <v>商业类型</v>
      </c>
      <c r="R32" s="705" t="s">
        <v>14</v>
      </c>
      <c r="S32" s="706">
        <f t="shared" si="12"/>
        <v>100</v>
      </c>
      <c r="T32" s="705" t="s">
        <v>14</v>
      </c>
      <c r="U32" s="706">
        <f t="shared" si="13"/>
        <v>100</v>
      </c>
      <c r="V32" s="705" t="s">
        <v>14</v>
      </c>
      <c r="W32" s="706">
        <f t="shared" si="14"/>
        <v>100</v>
      </c>
      <c r="X32" s="1352"/>
      <c r="Y32" s="3817"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15"/>
      <c r="Q33" s="707" t="str">
        <f t="shared" si="11"/>
        <v>项目建筑规模</v>
      </c>
      <c r="R33" s="708" t="s">
        <v>14</v>
      </c>
      <c r="S33" s="709" t="e">
        <f t="shared" si="12"/>
        <v>#N/A</v>
      </c>
      <c r="T33" s="708" t="s">
        <v>14</v>
      </c>
      <c r="U33" s="709" t="e">
        <f t="shared" si="13"/>
        <v>#N/A</v>
      </c>
      <c r="V33" s="708" t="s">
        <v>14</v>
      </c>
      <c r="W33" s="709" t="e">
        <f t="shared" si="14"/>
        <v>#N/A</v>
      </c>
      <c r="X33" s="710"/>
      <c r="Y33" s="3817"/>
      <c r="Z33" s="711"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815"/>
      <c r="Q34" s="1349" t="str">
        <f t="shared" si="11"/>
        <v>建筑结构</v>
      </c>
      <c r="R34" s="705" t="s">
        <v>14</v>
      </c>
      <c r="S34" s="706">
        <f t="shared" si="12"/>
        <v>100</v>
      </c>
      <c r="T34" s="705" t="s">
        <v>14</v>
      </c>
      <c r="U34" s="706">
        <f t="shared" si="13"/>
        <v>100</v>
      </c>
      <c r="V34" s="705" t="s">
        <v>14</v>
      </c>
      <c r="W34" s="706">
        <f t="shared" si="14"/>
        <v>100</v>
      </c>
      <c r="X34" s="1352"/>
      <c r="Y34" s="3817"/>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815"/>
      <c r="Q35" s="1349" t="str">
        <f t="shared" si="11"/>
        <v>公共部分装修</v>
      </c>
      <c r="R35" s="705" t="s">
        <v>14</v>
      </c>
      <c r="S35" s="706">
        <f t="shared" si="12"/>
        <v>100</v>
      </c>
      <c r="T35" s="705" t="s">
        <v>14</v>
      </c>
      <c r="U35" s="706">
        <f t="shared" si="13"/>
        <v>100</v>
      </c>
      <c r="V35" s="705" t="s">
        <v>14</v>
      </c>
      <c r="W35" s="706">
        <f t="shared" si="14"/>
        <v>100</v>
      </c>
      <c r="X35" s="1352"/>
      <c r="Y35" s="3817"/>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15"/>
      <c r="Q36" s="1349" t="str">
        <f t="shared" si="11"/>
        <v>成新度</v>
      </c>
      <c r="R36" s="705" t="s">
        <v>14</v>
      </c>
      <c r="S36" s="706" t="e">
        <f t="shared" si="12"/>
        <v>#N/A</v>
      </c>
      <c r="T36" s="705" t="s">
        <v>14</v>
      </c>
      <c r="U36" s="706" t="e">
        <f t="shared" si="13"/>
        <v>#N/A</v>
      </c>
      <c r="V36" s="705" t="s">
        <v>14</v>
      </c>
      <c r="W36" s="706" t="e">
        <f t="shared" si="14"/>
        <v>#N/A</v>
      </c>
      <c r="X36" s="1352"/>
      <c r="Y36" s="3817"/>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815"/>
      <c r="Q37" s="1340" t="str">
        <f t="shared" si="11"/>
        <v>市政基础设施</v>
      </c>
      <c r="R37" s="701" t="s">
        <v>14</v>
      </c>
      <c r="S37" s="702">
        <f t="shared" si="12"/>
        <v>100</v>
      </c>
      <c r="T37" s="701" t="s">
        <v>14</v>
      </c>
      <c r="U37" s="702">
        <f t="shared" si="13"/>
        <v>100</v>
      </c>
      <c r="V37" s="701" t="s">
        <v>14</v>
      </c>
      <c r="W37" s="702">
        <f t="shared" si="14"/>
        <v>100</v>
      </c>
      <c r="X37" s="703"/>
      <c r="Y37" s="3817"/>
      <c r="Z37" s="52" t="str">
        <f t="shared" si="15"/>
        <v>市政基础设施</v>
      </c>
      <c r="AA37" s="704">
        <f t="shared" si="3"/>
        <v>1</v>
      </c>
      <c r="AB37" s="704">
        <f t="shared" si="4"/>
        <v>1</v>
      </c>
      <c r="AC37" s="704">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815" t="s">
        <v>1694</v>
      </c>
      <c r="Q38" s="1349" t="str">
        <f t="shared" si="11"/>
        <v>业态</v>
      </c>
      <c r="R38" s="705" t="s">
        <v>14</v>
      </c>
      <c r="S38" s="706">
        <f t="shared" si="12"/>
        <v>100</v>
      </c>
      <c r="T38" s="705" t="s">
        <v>14</v>
      </c>
      <c r="U38" s="706">
        <f t="shared" si="13"/>
        <v>100</v>
      </c>
      <c r="V38" s="705" t="s">
        <v>14</v>
      </c>
      <c r="W38" s="706">
        <f t="shared" si="14"/>
        <v>100</v>
      </c>
      <c r="X38" s="1352"/>
      <c r="Y38" s="3817"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815"/>
      <c r="Q39" s="1349" t="str">
        <f t="shared" si="11"/>
        <v>层高</v>
      </c>
      <c r="R39" s="705" t="s">
        <v>14</v>
      </c>
      <c r="S39" s="706">
        <f t="shared" si="12"/>
        <v>100</v>
      </c>
      <c r="T39" s="705" t="s">
        <v>14</v>
      </c>
      <c r="U39" s="706">
        <f t="shared" si="13"/>
        <v>100</v>
      </c>
      <c r="V39" s="705" t="s">
        <v>14</v>
      </c>
      <c r="W39" s="706">
        <f t="shared" si="14"/>
        <v>100</v>
      </c>
      <c r="X39" s="1352"/>
      <c r="Y39" s="3817"/>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5"/>
      <c r="Q40" s="1349" t="str">
        <f t="shared" si="11"/>
        <v>单套建筑面积</v>
      </c>
      <c r="R40" s="705" t="s">
        <v>14</v>
      </c>
      <c r="S40" s="706">
        <f t="shared" si="12"/>
        <v>100</v>
      </c>
      <c r="T40" s="705" t="s">
        <v>14</v>
      </c>
      <c r="U40" s="706">
        <f t="shared" si="13"/>
        <v>100</v>
      </c>
      <c r="V40" s="705" t="s">
        <v>14</v>
      </c>
      <c r="W40" s="706">
        <f t="shared" si="14"/>
        <v>100</v>
      </c>
      <c r="X40" s="1352"/>
      <c r="Y40" s="3817"/>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5"/>
      <c r="Q41" s="707" t="str">
        <f t="shared" si="11"/>
        <v>进深比</v>
      </c>
      <c r="R41" s="708" t="s">
        <v>14</v>
      </c>
      <c r="S41" s="709">
        <f t="shared" si="12"/>
        <v>100</v>
      </c>
      <c r="T41" s="708" t="s">
        <v>14</v>
      </c>
      <c r="U41" s="709">
        <f t="shared" si="13"/>
        <v>100</v>
      </c>
      <c r="V41" s="708" t="s">
        <v>14</v>
      </c>
      <c r="W41" s="709">
        <f t="shared" si="14"/>
        <v>100</v>
      </c>
      <c r="X41" s="710"/>
      <c r="Y41" s="3817"/>
      <c r="Z41" s="711"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815"/>
      <c r="Q42" s="1349" t="str">
        <f t="shared" si="11"/>
        <v>内部装修</v>
      </c>
      <c r="R42" s="705" t="s">
        <v>14</v>
      </c>
      <c r="S42" s="706">
        <f t="shared" si="12"/>
        <v>100</v>
      </c>
      <c r="T42" s="705" t="s">
        <v>14</v>
      </c>
      <c r="U42" s="706">
        <f t="shared" si="13"/>
        <v>100</v>
      </c>
      <c r="V42" s="705" t="s">
        <v>14</v>
      </c>
      <c r="W42" s="706">
        <f t="shared" si="14"/>
        <v>100</v>
      </c>
      <c r="X42" s="1352"/>
      <c r="Y42" s="3817"/>
      <c r="Z42" s="1353" t="str">
        <f t="shared" si="15"/>
        <v>内部装修</v>
      </c>
      <c r="AA42" s="1350">
        <f t="shared" si="3"/>
        <v>1</v>
      </c>
      <c r="AB42" s="1350">
        <f t="shared" si="4"/>
        <v>1</v>
      </c>
      <c r="AC42" s="1350">
        <f t="shared" si="5"/>
        <v>1</v>
      </c>
    </row>
    <row r="43" spans="1:29" ht="15">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815"/>
      <c r="Q43" s="1349" t="str">
        <f t="shared" si="11"/>
        <v>内部装修维护情况</v>
      </c>
      <c r="R43" s="705" t="s">
        <v>14</v>
      </c>
      <c r="S43" s="706">
        <f t="shared" si="12"/>
        <v>100</v>
      </c>
      <c r="T43" s="705" t="s">
        <v>14</v>
      </c>
      <c r="U43" s="706">
        <f t="shared" si="13"/>
        <v>100</v>
      </c>
      <c r="V43" s="705" t="s">
        <v>14</v>
      </c>
      <c r="W43" s="706">
        <f t="shared" si="14"/>
        <v>100</v>
      </c>
      <c r="X43" s="1352"/>
      <c r="Y43" s="381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5"/>
      <c r="Q44" s="1340">
        <f t="shared" si="11"/>
        <v>111</v>
      </c>
      <c r="R44" s="701" t="s">
        <v>14</v>
      </c>
      <c r="S44" s="702">
        <f t="shared" si="12"/>
        <v>100</v>
      </c>
      <c r="T44" s="701" t="s">
        <v>14</v>
      </c>
      <c r="U44" s="702">
        <f t="shared" si="13"/>
        <v>100</v>
      </c>
      <c r="V44" s="701" t="s">
        <v>14</v>
      </c>
      <c r="W44" s="702">
        <f t="shared" si="14"/>
        <v>100</v>
      </c>
      <c r="X44" s="703"/>
      <c r="Y44" s="3817"/>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5"/>
      <c r="Q45" s="1349">
        <f t="shared" si="11"/>
        <v>111</v>
      </c>
      <c r="R45" s="705" t="s">
        <v>14</v>
      </c>
      <c r="S45" s="706">
        <f t="shared" si="12"/>
        <v>100</v>
      </c>
      <c r="T45" s="705" t="s">
        <v>14</v>
      </c>
      <c r="U45" s="706">
        <f t="shared" si="13"/>
        <v>100</v>
      </c>
      <c r="V45" s="705" t="s">
        <v>14</v>
      </c>
      <c r="W45" s="706">
        <f t="shared" si="14"/>
        <v>100</v>
      </c>
      <c r="X45" s="1352"/>
      <c r="Y45" s="381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6"/>
      <c r="Q46" s="1349">
        <f t="shared" si="11"/>
        <v>111</v>
      </c>
      <c r="R46" s="705" t="s">
        <v>14</v>
      </c>
      <c r="S46" s="706">
        <f t="shared" si="12"/>
        <v>100</v>
      </c>
      <c r="T46" s="705" t="s">
        <v>14</v>
      </c>
      <c r="U46" s="706">
        <f t="shared" si="13"/>
        <v>100</v>
      </c>
      <c r="V46" s="705" t="s">
        <v>14</v>
      </c>
      <c r="W46" s="706">
        <f t="shared" si="14"/>
        <v>100</v>
      </c>
      <c r="X46" s="1352"/>
      <c r="Y46" s="3818"/>
      <c r="Z46" s="1353">
        <f t="shared" si="15"/>
        <v>111</v>
      </c>
      <c r="AA46" s="1350">
        <f t="shared" si="3"/>
        <v>1</v>
      </c>
      <c r="AB46" s="1350">
        <f t="shared" si="4"/>
        <v>1</v>
      </c>
      <c r="AC46" s="1350">
        <f t="shared" si="5"/>
        <v>1</v>
      </c>
    </row>
    <row r="47" spans="1:29" ht="15">
      <c r="A47" s="430" t="s">
        <v>1706</v>
      </c>
      <c r="B47" s="431"/>
      <c r="C47" s="1151" t="s">
        <v>0</v>
      </c>
      <c r="D47" s="1152"/>
      <c r="E47" s="1153"/>
      <c r="F47" s="1154"/>
      <c r="G47" s="1155"/>
      <c r="H47" s="1156"/>
      <c r="I47" s="1153"/>
      <c r="J47" s="1156"/>
      <c r="K47" s="714"/>
      <c r="L47" s="2721"/>
      <c r="M47" s="2722"/>
      <c r="N47" s="2713"/>
      <c r="O47" s="2722"/>
      <c r="P47" s="3810" t="str">
        <f>A47</f>
        <v>成交单价（元/平方米）</v>
      </c>
      <c r="Q47" s="3810"/>
      <c r="R47" s="3805">
        <f>E47</f>
        <v>0</v>
      </c>
      <c r="S47" s="3805"/>
      <c r="T47" s="3805">
        <f>G47</f>
        <v>0</v>
      </c>
      <c r="U47" s="3805"/>
      <c r="V47" s="3805">
        <f>I47</f>
        <v>0</v>
      </c>
      <c r="W47" s="3805"/>
      <c r="X47" s="690"/>
      <c r="Y47" s="712"/>
      <c r="Z47" s="690"/>
      <c r="AA47" s="690"/>
      <c r="AB47" s="690"/>
      <c r="AC47" s="690"/>
    </row>
    <row r="48" spans="1:29" ht="15.75" thickBot="1">
      <c r="A48" s="437" t="s">
        <v>1791</v>
      </c>
      <c r="B48" s="438"/>
      <c r="C48" s="1157" t="e">
        <f>R49</f>
        <v>#DIV/0!</v>
      </c>
      <c r="D48" s="2314" t="s">
        <v>2135</v>
      </c>
      <c r="E48" s="1158" t="e">
        <f>R48</f>
        <v>#DIV/0!</v>
      </c>
      <c r="F48" s="2315"/>
      <c r="G48" s="1157" t="e">
        <f>T48</f>
        <v>#DIV/0!</v>
      </c>
      <c r="H48" s="2315"/>
      <c r="I48" s="1158" t="e">
        <f>V48</f>
        <v>#DIV/0!</v>
      </c>
      <c r="J48" s="2315"/>
      <c r="K48" s="2317">
        <f>F48+H48+J48</f>
        <v>0</v>
      </c>
      <c r="L48" s="2721"/>
      <c r="M48" s="2722"/>
      <c r="N48" s="2713"/>
      <c r="O48" s="2722"/>
      <c r="P48" s="3810" t="str">
        <f>A48</f>
        <v>比较价值（元/平方米）</v>
      </c>
      <c r="Q48" s="3810"/>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690"/>
      <c r="Y48" s="690"/>
      <c r="Z48" s="690"/>
      <c r="AA48" s="690"/>
      <c r="AB48" s="690"/>
      <c r="AC48" s="690"/>
    </row>
    <row r="49" spans="1:29" ht="15.75" thickBot="1">
      <c r="A49" s="441" t="s">
        <v>1792</v>
      </c>
      <c r="B49" s="442"/>
      <c r="C49" s="1160" t="e">
        <f>R49</f>
        <v>#DIV/0!</v>
      </c>
      <c r="D49" s="1160"/>
      <c r="E49" s="1160"/>
      <c r="F49" s="1160"/>
      <c r="G49" s="1160"/>
      <c r="H49" s="1160"/>
      <c r="I49" s="1160"/>
      <c r="J49" s="1160"/>
      <c r="K49" s="715"/>
      <c r="L49" s="2721"/>
      <c r="M49" s="2722"/>
      <c r="N49" s="2713"/>
      <c r="O49" s="2722"/>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5">
      <c r="A58" s="454" t="s">
        <v>1677</v>
      </c>
      <c r="B58" s="455"/>
      <c r="C58" s="1181" t="str">
        <f>YEAR(C7)&amp;"-"&amp;MONTH(C7)</f>
        <v>2023-1</v>
      </c>
      <c r="D58" s="1182">
        <f>EDATE(C58,-1)</f>
        <v>44896</v>
      </c>
      <c r="E58" s="1182">
        <f t="shared" ref="E58:N58" si="16">EDATE(D58,-1)</f>
        <v>44866</v>
      </c>
      <c r="F58" s="1182">
        <f t="shared" si="16"/>
        <v>44835</v>
      </c>
      <c r="G58" s="1182">
        <f t="shared" si="16"/>
        <v>44805</v>
      </c>
      <c r="H58" s="1182">
        <f t="shared" si="16"/>
        <v>44774</v>
      </c>
      <c r="I58" s="1182">
        <f t="shared" si="16"/>
        <v>44743</v>
      </c>
      <c r="J58" s="1182">
        <f t="shared" si="16"/>
        <v>44713</v>
      </c>
      <c r="K58" s="1182">
        <f t="shared" si="16"/>
        <v>44682</v>
      </c>
      <c r="L58" s="1182">
        <f t="shared" si="16"/>
        <v>44652</v>
      </c>
      <c r="M58" s="1182">
        <f t="shared" si="16"/>
        <v>44621</v>
      </c>
      <c r="N58" s="1182">
        <f t="shared" si="16"/>
        <v>44593</v>
      </c>
      <c r="O58" s="1182">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112144.48</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5">
      <c r="A4" s="355" t="s">
        <v>1767</v>
      </c>
      <c r="B4" s="356"/>
      <c r="C4" s="3793" t="s">
        <v>1768</v>
      </c>
      <c r="D4" s="3794"/>
      <c r="E4" s="3795" t="s">
        <v>1769</v>
      </c>
      <c r="F4" s="3796"/>
      <c r="G4" s="3793" t="s">
        <v>1770</v>
      </c>
      <c r="H4" s="3794"/>
      <c r="I4" s="3793" t="s">
        <v>1771</v>
      </c>
      <c r="J4" s="3794"/>
      <c r="K4" s="559" t="s">
        <v>1772</v>
      </c>
      <c r="L4" s="2712"/>
      <c r="M4" s="2713"/>
      <c r="N4" s="2713"/>
      <c r="O4" s="2713"/>
      <c r="P4" s="3827" t="s">
        <v>1773</v>
      </c>
      <c r="Q4" s="3828"/>
      <c r="R4" s="3822" t="s">
        <v>1769</v>
      </c>
      <c r="S4" s="3823"/>
      <c r="T4" s="3822" t="s">
        <v>1770</v>
      </c>
      <c r="U4" s="3823"/>
      <c r="V4" s="3831" t="s">
        <v>1771</v>
      </c>
      <c r="W4" s="3831"/>
      <c r="X4" s="1955"/>
      <c r="Y4" s="3822" t="s">
        <v>1773</v>
      </c>
      <c r="Z4" s="3823"/>
      <c r="AA4" s="3821" t="s">
        <v>1769</v>
      </c>
      <c r="AB4" s="3821" t="s">
        <v>1770</v>
      </c>
      <c r="AC4" s="3824" t="s">
        <v>1771</v>
      </c>
    </row>
    <row r="5" spans="1:29" ht="15">
      <c r="A5" s="358"/>
      <c r="B5" s="359"/>
      <c r="C5" s="3786" t="s">
        <v>1671</v>
      </c>
      <c r="D5" s="3787"/>
      <c r="E5" s="3784" t="s">
        <v>1672</v>
      </c>
      <c r="F5" s="3785"/>
      <c r="G5" s="3786" t="s">
        <v>1673</v>
      </c>
      <c r="H5" s="3787"/>
      <c r="I5" s="3786" t="s">
        <v>1674</v>
      </c>
      <c r="J5" s="3787"/>
      <c r="K5" s="559"/>
      <c r="L5" s="2712"/>
      <c r="M5" s="2713"/>
      <c r="N5" s="2713"/>
      <c r="O5" s="2713"/>
      <c r="P5" s="3829"/>
      <c r="Q5" s="3800"/>
      <c r="R5" s="3782"/>
      <c r="S5" s="3783"/>
      <c r="T5" s="3782"/>
      <c r="U5" s="3783"/>
      <c r="V5" s="3805"/>
      <c r="W5" s="3805"/>
      <c r="X5" s="1352"/>
      <c r="Y5" s="3782"/>
      <c r="Z5" s="3783"/>
      <c r="AA5" s="3776"/>
      <c r="AB5" s="3776"/>
      <c r="AC5" s="3825"/>
    </row>
    <row r="6" spans="1:29" ht="15.75" thickBot="1">
      <c r="A6" s="360"/>
      <c r="B6" s="361"/>
      <c r="C6" s="3788" t="s">
        <v>1675</v>
      </c>
      <c r="D6" s="3789"/>
      <c r="E6" s="3790" t="s">
        <v>1675</v>
      </c>
      <c r="F6" s="3791"/>
      <c r="G6" s="3788" t="s">
        <v>1675</v>
      </c>
      <c r="H6" s="3789"/>
      <c r="I6" s="3788" t="s">
        <v>1675</v>
      </c>
      <c r="J6" s="3789"/>
      <c r="K6" s="559" t="s">
        <v>1676</v>
      </c>
      <c r="L6" s="2712"/>
      <c r="M6" s="2713"/>
      <c r="N6" s="2713"/>
      <c r="O6" s="2713"/>
      <c r="P6" s="3830"/>
      <c r="Q6" s="3802"/>
      <c r="R6" s="3782"/>
      <c r="S6" s="3783"/>
      <c r="T6" s="3803"/>
      <c r="U6" s="3804"/>
      <c r="V6" s="3805"/>
      <c r="W6" s="3805"/>
      <c r="X6" s="1352"/>
      <c r="Y6" s="3803"/>
      <c r="Z6" s="3804"/>
      <c r="AA6" s="3777"/>
      <c r="AB6" s="3777"/>
      <c r="AC6" s="3826"/>
    </row>
    <row r="7" spans="1:29" s="108" customFormat="1" ht="15.75" thickBot="1">
      <c r="A7" s="362" t="s">
        <v>1677</v>
      </c>
      <c r="B7" s="363"/>
      <c r="C7" s="364">
        <f>'数据-取费表'!B2</f>
        <v>44930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2" t="s">
        <v>1678</v>
      </c>
      <c r="Q7" s="3806"/>
      <c r="R7" s="701" t="s">
        <v>14</v>
      </c>
      <c r="S7" s="702">
        <f t="shared" ref="S7:S15" si="0">F7</f>
        <v>0</v>
      </c>
      <c r="T7" s="701" t="s">
        <v>14</v>
      </c>
      <c r="U7" s="702">
        <f t="shared" ref="U7:U15" si="1">H7</f>
        <v>0</v>
      </c>
      <c r="V7" s="701" t="s">
        <v>14</v>
      </c>
      <c r="W7" s="702">
        <f t="shared" ref="W7:W15" si="2">J7</f>
        <v>0</v>
      </c>
      <c r="X7" s="703"/>
      <c r="Y7" s="3778" t="s">
        <v>1678</v>
      </c>
      <c r="Z7" s="3779"/>
      <c r="AA7" s="704" t="e">
        <f>D7/F7</f>
        <v>#DIV/0!</v>
      </c>
      <c r="AB7" s="704" t="e">
        <f>D7/H7</f>
        <v>#DIV/0!</v>
      </c>
      <c r="AC7" s="1956"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2" t="s">
        <v>1681</v>
      </c>
      <c r="Q8" s="3779"/>
      <c r="R8" s="701" t="s">
        <v>14</v>
      </c>
      <c r="S8" s="702">
        <f t="shared" si="0"/>
        <v>100</v>
      </c>
      <c r="T8" s="701" t="s">
        <v>14</v>
      </c>
      <c r="U8" s="702">
        <f t="shared" si="1"/>
        <v>100</v>
      </c>
      <c r="V8" s="701" t="s">
        <v>14</v>
      </c>
      <c r="W8" s="702">
        <f t="shared" si="2"/>
        <v>100</v>
      </c>
      <c r="X8" s="703"/>
      <c r="Y8" s="3778" t="s">
        <v>1681</v>
      </c>
      <c r="Z8" s="3779"/>
      <c r="AA8" s="704">
        <f t="shared" ref="AA8:AA47" si="3">D8/F8</f>
        <v>1</v>
      </c>
      <c r="AB8" s="704">
        <f t="shared" ref="AB8:AB47" si="4">D8/H8</f>
        <v>1</v>
      </c>
      <c r="AC8" s="1956">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92"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92"/>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92"/>
      <c r="Q11" s="1340"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92"/>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92"/>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92"/>
      <c r="Q14" s="1340">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9" t="s">
        <v>1689</v>
      </c>
      <c r="Q15" s="1349" t="str">
        <f t="shared" si="6"/>
        <v>办公集聚程度</v>
      </c>
      <c r="R15" s="705" t="s">
        <v>14</v>
      </c>
      <c r="S15" s="706">
        <f t="shared" si="0"/>
        <v>100</v>
      </c>
      <c r="T15" s="705" t="s">
        <v>14</v>
      </c>
      <c r="U15" s="706">
        <f t="shared" si="1"/>
        <v>100</v>
      </c>
      <c r="V15" s="705" t="s">
        <v>14</v>
      </c>
      <c r="W15" s="706">
        <f t="shared" si="2"/>
        <v>100</v>
      </c>
      <c r="X15" s="1352"/>
      <c r="Y15" s="3812" t="s">
        <v>1689</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820"/>
      <c r="Q16" s="1349"/>
      <c r="R16" s="705"/>
      <c r="S16" s="706"/>
      <c r="T16" s="705"/>
      <c r="U16" s="706"/>
      <c r="V16" s="705"/>
      <c r="W16" s="706"/>
      <c r="X16" s="1352"/>
      <c r="Y16" s="3813"/>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0"/>
      <c r="Q17" s="1349" t="str">
        <f>B17</f>
        <v>交通便捷度</v>
      </c>
      <c r="R17" s="705" t="s">
        <v>14</v>
      </c>
      <c r="S17" s="706">
        <f>F17</f>
        <v>100</v>
      </c>
      <c r="T17" s="705" t="s">
        <v>14</v>
      </c>
      <c r="U17" s="706">
        <f>H17</f>
        <v>100</v>
      </c>
      <c r="V17" s="705" t="s">
        <v>14</v>
      </c>
      <c r="W17" s="706">
        <f>J17</f>
        <v>100</v>
      </c>
      <c r="X17" s="1352"/>
      <c r="Y17" s="3813"/>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820"/>
      <c r="Q18" s="1349"/>
      <c r="R18" s="705"/>
      <c r="S18" s="706"/>
      <c r="T18" s="705"/>
      <c r="U18" s="706"/>
      <c r="V18" s="705"/>
      <c r="W18" s="706"/>
      <c r="X18" s="1352"/>
      <c r="Y18" s="3813"/>
      <c r="Z18" s="1353"/>
      <c r="AA18" s="1350">
        <v>1</v>
      </c>
      <c r="AB18" s="13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0"/>
      <c r="Q19" s="1349" t="str">
        <f>B19</f>
        <v>公共配套设施</v>
      </c>
      <c r="R19" s="705" t="s">
        <v>14</v>
      </c>
      <c r="S19" s="706">
        <f>F19</f>
        <v>100</v>
      </c>
      <c r="T19" s="705" t="s">
        <v>14</v>
      </c>
      <c r="U19" s="706">
        <f>H19</f>
        <v>100</v>
      </c>
      <c r="V19" s="705" t="s">
        <v>14</v>
      </c>
      <c r="W19" s="706">
        <f>J19</f>
        <v>100</v>
      </c>
      <c r="X19" s="1352"/>
      <c r="Y19" s="3813"/>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820"/>
      <c r="Q20" s="1349"/>
      <c r="R20" s="705"/>
      <c r="S20" s="706"/>
      <c r="T20" s="705"/>
      <c r="U20" s="706"/>
      <c r="V20" s="705"/>
      <c r="W20" s="706"/>
      <c r="X20" s="1352"/>
      <c r="Y20" s="3813"/>
      <c r="Z20" s="1353"/>
      <c r="AA20" s="1350">
        <v>1</v>
      </c>
      <c r="AB20" s="13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0"/>
      <c r="Q21" s="1349" t="str">
        <f>B21</f>
        <v>基础设施水平</v>
      </c>
      <c r="R21" s="705" t="s">
        <v>14</v>
      </c>
      <c r="S21" s="706">
        <f>F21</f>
        <v>100</v>
      </c>
      <c r="T21" s="705" t="s">
        <v>14</v>
      </c>
      <c r="U21" s="706">
        <f>H21</f>
        <v>100</v>
      </c>
      <c r="V21" s="705" t="s">
        <v>14</v>
      </c>
      <c r="W21" s="706">
        <f>J21</f>
        <v>100</v>
      </c>
      <c r="X21" s="1352"/>
      <c r="Y21" s="3813"/>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820"/>
      <c r="Q22" s="1349"/>
      <c r="R22" s="705"/>
      <c r="S22" s="706"/>
      <c r="T22" s="705"/>
      <c r="U22" s="706"/>
      <c r="V22" s="705"/>
      <c r="W22" s="706"/>
      <c r="X22" s="1352"/>
      <c r="Y22" s="3813"/>
      <c r="Z22" s="1353"/>
      <c r="AA22" s="1350">
        <v>1</v>
      </c>
      <c r="AB22" s="13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0"/>
      <c r="Q23" s="1349" t="str">
        <f>B23</f>
        <v>环境质量</v>
      </c>
      <c r="R23" s="705" t="s">
        <v>14</v>
      </c>
      <c r="S23" s="706">
        <f>F23</f>
        <v>100</v>
      </c>
      <c r="T23" s="705" t="s">
        <v>14</v>
      </c>
      <c r="U23" s="706">
        <f>H23</f>
        <v>100</v>
      </c>
      <c r="V23" s="705" t="s">
        <v>14</v>
      </c>
      <c r="W23" s="706">
        <f>J23</f>
        <v>100</v>
      </c>
      <c r="X23" s="1352"/>
      <c r="Y23" s="3813"/>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820"/>
      <c r="Q24" s="1349"/>
      <c r="R24" s="705"/>
      <c r="S24" s="706"/>
      <c r="T24" s="705"/>
      <c r="U24" s="706"/>
      <c r="V24" s="705"/>
      <c r="W24" s="706"/>
      <c r="X24" s="1352"/>
      <c r="Y24" s="3813"/>
      <c r="Z24" s="1353"/>
      <c r="AA24" s="1350">
        <v>1</v>
      </c>
      <c r="AB24" s="13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820"/>
      <c r="Q25" s="1349" t="str">
        <f>B25</f>
        <v>毗邻道路的类型与等级</v>
      </c>
      <c r="R25" s="705" t="s">
        <v>14</v>
      </c>
      <c r="S25" s="706">
        <f>F25</f>
        <v>100</v>
      </c>
      <c r="T25" s="705" t="s">
        <v>14</v>
      </c>
      <c r="U25" s="706">
        <f>H25</f>
        <v>100</v>
      </c>
      <c r="V25" s="705" t="s">
        <v>14</v>
      </c>
      <c r="W25" s="706">
        <f>J25</f>
        <v>100</v>
      </c>
      <c r="X25" s="1352"/>
      <c r="Y25" s="3813"/>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820"/>
      <c r="Q26" s="1349"/>
      <c r="R26" s="705"/>
      <c r="S26" s="706"/>
      <c r="T26" s="705"/>
      <c r="U26" s="706"/>
      <c r="V26" s="705"/>
      <c r="W26" s="706"/>
      <c r="X26" s="1352"/>
      <c r="Y26" s="3813"/>
      <c r="Z26" s="1353"/>
      <c r="AA26" s="1350">
        <v>1</v>
      </c>
      <c r="AB26" s="1350">
        <v>1</v>
      </c>
      <c r="AC26" s="1959">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0"/>
      <c r="Q27" s="1349" t="str">
        <f t="shared" ref="Q27:Q47" si="11">B27</f>
        <v>楼层</v>
      </c>
      <c r="R27" s="705" t="s">
        <v>14</v>
      </c>
      <c r="S27" s="706">
        <f>F27</f>
        <v>100</v>
      </c>
      <c r="T27" s="705" t="s">
        <v>14</v>
      </c>
      <c r="U27" s="706">
        <f>H27</f>
        <v>100</v>
      </c>
      <c r="V27" s="705" t="s">
        <v>14</v>
      </c>
      <c r="W27" s="706">
        <f>J27</f>
        <v>100</v>
      </c>
      <c r="X27" s="1352"/>
      <c r="Y27" s="3813"/>
      <c r="Z27" s="1353" t="str">
        <f>Q27</f>
        <v>楼层</v>
      </c>
      <c r="AA27" s="1350">
        <f t="shared" si="3"/>
        <v>1</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820"/>
      <c r="Q28" s="1340" t="str">
        <f t="shared" si="11"/>
        <v>朝向</v>
      </c>
      <c r="R28" s="701" t="s">
        <v>14</v>
      </c>
      <c r="S28" s="702">
        <f>F28</f>
        <v>100</v>
      </c>
      <c r="T28" s="701" t="s">
        <v>14</v>
      </c>
      <c r="U28" s="702">
        <f>H28</f>
        <v>100</v>
      </c>
      <c r="V28" s="701" t="s">
        <v>14</v>
      </c>
      <c r="W28" s="702">
        <f>J28</f>
        <v>100</v>
      </c>
      <c r="X28" s="703"/>
      <c r="Y28" s="3813"/>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820"/>
      <c r="Q29" s="1349">
        <f t="shared" si="11"/>
        <v>111</v>
      </c>
      <c r="R29" s="705" t="s">
        <v>14</v>
      </c>
      <c r="S29" s="706">
        <f t="shared" ref="S29:S47" si="12">F29</f>
        <v>100</v>
      </c>
      <c r="T29" s="705" t="s">
        <v>14</v>
      </c>
      <c r="U29" s="706">
        <f t="shared" ref="U29:U47" si="13">H29</f>
        <v>100</v>
      </c>
      <c r="V29" s="705" t="s">
        <v>14</v>
      </c>
      <c r="W29" s="706">
        <f t="shared" ref="W29:W47" si="14">J29</f>
        <v>100</v>
      </c>
      <c r="X29" s="1352"/>
      <c r="Y29" s="3813"/>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820"/>
      <c r="Q30" s="1349">
        <f t="shared" si="11"/>
        <v>111</v>
      </c>
      <c r="R30" s="705" t="s">
        <v>14</v>
      </c>
      <c r="S30" s="706">
        <f t="shared" si="12"/>
        <v>100</v>
      </c>
      <c r="T30" s="705" t="s">
        <v>14</v>
      </c>
      <c r="U30" s="706">
        <f t="shared" si="13"/>
        <v>100</v>
      </c>
      <c r="V30" s="705" t="s">
        <v>14</v>
      </c>
      <c r="W30" s="706">
        <f t="shared" si="14"/>
        <v>100</v>
      </c>
      <c r="X30" s="1352"/>
      <c r="Y30" s="3813"/>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820"/>
      <c r="Q31" s="1349">
        <f t="shared" si="11"/>
        <v>111</v>
      </c>
      <c r="R31" s="705" t="s">
        <v>14</v>
      </c>
      <c r="S31" s="706">
        <f t="shared" si="12"/>
        <v>100</v>
      </c>
      <c r="T31" s="705" t="s">
        <v>14</v>
      </c>
      <c r="U31" s="706">
        <f t="shared" si="13"/>
        <v>100</v>
      </c>
      <c r="V31" s="705" t="s">
        <v>14</v>
      </c>
      <c r="W31" s="706">
        <f t="shared" si="14"/>
        <v>100</v>
      </c>
      <c r="X31" s="1352"/>
      <c r="Y31" s="3813"/>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820"/>
      <c r="Q32" s="1349">
        <f t="shared" si="11"/>
        <v>111</v>
      </c>
      <c r="R32" s="705" t="s">
        <v>14</v>
      </c>
      <c r="S32" s="706">
        <f t="shared" si="12"/>
        <v>100</v>
      </c>
      <c r="T32" s="705" t="s">
        <v>14</v>
      </c>
      <c r="U32" s="706">
        <f t="shared" si="13"/>
        <v>100</v>
      </c>
      <c r="V32" s="705" t="s">
        <v>14</v>
      </c>
      <c r="W32" s="706">
        <f t="shared" si="14"/>
        <v>100</v>
      </c>
      <c r="X32" s="1352"/>
      <c r="Y32" s="3813"/>
      <c r="Z32" s="1353">
        <f t="shared" si="15"/>
        <v>111</v>
      </c>
      <c r="AA32" s="1350">
        <f t="shared" si="3"/>
        <v>1</v>
      </c>
      <c r="AB32" s="1350">
        <f t="shared" si="4"/>
        <v>1</v>
      </c>
      <c r="AC32" s="1959">
        <f t="shared" si="5"/>
        <v>1</v>
      </c>
    </row>
    <row r="33" spans="1:29" ht="15">
      <c r="A33" s="391" t="s">
        <v>1692</v>
      </c>
      <c r="B33" s="63" t="s">
        <v>1815</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814" t="s">
        <v>1694</v>
      </c>
      <c r="Q33" s="1349" t="str">
        <f t="shared" si="11"/>
        <v>建筑类型</v>
      </c>
      <c r="R33" s="705" t="s">
        <v>14</v>
      </c>
      <c r="S33" s="706">
        <f t="shared" si="12"/>
        <v>100</v>
      </c>
      <c r="T33" s="705" t="s">
        <v>14</v>
      </c>
      <c r="U33" s="706">
        <f t="shared" si="13"/>
        <v>100</v>
      </c>
      <c r="V33" s="705" t="s">
        <v>14</v>
      </c>
      <c r="W33" s="706">
        <f t="shared" si="14"/>
        <v>100</v>
      </c>
      <c r="X33" s="1352"/>
      <c r="Y33" s="3817" t="s">
        <v>1694</v>
      </c>
      <c r="Z33" s="1353" t="str">
        <f t="shared" si="15"/>
        <v>建筑类型</v>
      </c>
      <c r="AA33" s="1350">
        <f t="shared" si="3"/>
        <v>1</v>
      </c>
      <c r="AB33" s="1350">
        <f t="shared" si="4"/>
        <v>1</v>
      </c>
      <c r="AC33" s="1959">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5"/>
      <c r="Q34" s="707" t="str">
        <f t="shared" si="11"/>
        <v>项目建筑规模</v>
      </c>
      <c r="R34" s="708" t="s">
        <v>14</v>
      </c>
      <c r="S34" s="709" t="e">
        <f t="shared" si="12"/>
        <v>#N/A</v>
      </c>
      <c r="T34" s="708" t="s">
        <v>14</v>
      </c>
      <c r="U34" s="709" t="e">
        <f t="shared" si="13"/>
        <v>#N/A</v>
      </c>
      <c r="V34" s="708" t="s">
        <v>14</v>
      </c>
      <c r="W34" s="709" t="e">
        <f t="shared" si="14"/>
        <v>#N/A</v>
      </c>
      <c r="X34" s="710"/>
      <c r="Y34" s="3817"/>
      <c r="Z34" s="711" t="str">
        <f t="shared" si="15"/>
        <v>项目建筑规模</v>
      </c>
      <c r="AA34" s="1350" t="e">
        <f t="shared" si="3"/>
        <v>#N/A</v>
      </c>
      <c r="AB34" s="1350" t="e">
        <f t="shared" si="4"/>
        <v>#N/A</v>
      </c>
      <c r="AC34" s="1959"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5"/>
      <c r="Q35" s="1349" t="str">
        <f t="shared" si="11"/>
        <v>建筑结构</v>
      </c>
      <c r="R35" s="705" t="s">
        <v>14</v>
      </c>
      <c r="S35" s="706">
        <f t="shared" si="12"/>
        <v>100</v>
      </c>
      <c r="T35" s="705" t="s">
        <v>14</v>
      </c>
      <c r="U35" s="706">
        <f t="shared" si="13"/>
        <v>100</v>
      </c>
      <c r="V35" s="705" t="s">
        <v>14</v>
      </c>
      <c r="W35" s="706">
        <f t="shared" si="14"/>
        <v>100</v>
      </c>
      <c r="X35" s="1352"/>
      <c r="Y35" s="3817"/>
      <c r="Z35" s="1353" t="str">
        <f t="shared" si="15"/>
        <v>建筑结构</v>
      </c>
      <c r="AA35" s="1350">
        <f t="shared" si="3"/>
        <v>1</v>
      </c>
      <c r="AB35" s="1350">
        <f t="shared" si="4"/>
        <v>1</v>
      </c>
      <c r="AC35" s="1959">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5"/>
      <c r="Q36" s="1349" t="str">
        <f t="shared" si="11"/>
        <v>公共部分装修</v>
      </c>
      <c r="R36" s="705" t="s">
        <v>14</v>
      </c>
      <c r="S36" s="706">
        <f t="shared" si="12"/>
        <v>100</v>
      </c>
      <c r="T36" s="705" t="s">
        <v>14</v>
      </c>
      <c r="U36" s="706">
        <f t="shared" si="13"/>
        <v>100</v>
      </c>
      <c r="V36" s="705" t="s">
        <v>14</v>
      </c>
      <c r="W36" s="706">
        <f t="shared" si="14"/>
        <v>100</v>
      </c>
      <c r="X36" s="1352"/>
      <c r="Y36" s="3817"/>
      <c r="Z36" s="1353" t="str">
        <f t="shared" si="15"/>
        <v>公共部分装修</v>
      </c>
      <c r="AA36" s="1350">
        <f t="shared" si="3"/>
        <v>1</v>
      </c>
      <c r="AB36" s="1350">
        <f t="shared" si="4"/>
        <v>1</v>
      </c>
      <c r="AC36" s="1959">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5"/>
      <c r="Q37" s="1349" t="str">
        <f t="shared" si="11"/>
        <v>成新度</v>
      </c>
      <c r="R37" s="705" t="s">
        <v>14</v>
      </c>
      <c r="S37" s="706" t="e">
        <f t="shared" si="12"/>
        <v>#N/A</v>
      </c>
      <c r="T37" s="705" t="s">
        <v>14</v>
      </c>
      <c r="U37" s="706" t="e">
        <f t="shared" si="13"/>
        <v>#N/A</v>
      </c>
      <c r="V37" s="705" t="s">
        <v>14</v>
      </c>
      <c r="W37" s="706" t="e">
        <f t="shared" si="14"/>
        <v>#N/A</v>
      </c>
      <c r="X37" s="1352"/>
      <c r="Y37" s="3817"/>
      <c r="Z37" s="1353" t="str">
        <f t="shared" si="15"/>
        <v>成新度</v>
      </c>
      <c r="AA37" s="1350" t="e">
        <f t="shared" si="3"/>
        <v>#N/A</v>
      </c>
      <c r="AB37" s="1350" t="e">
        <f t="shared" si="4"/>
        <v>#N/A</v>
      </c>
      <c r="AC37" s="1959"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5"/>
      <c r="Q38" s="1340" t="str">
        <f t="shared" si="11"/>
        <v>写字楼等级</v>
      </c>
      <c r="R38" s="701" t="s">
        <v>14</v>
      </c>
      <c r="S38" s="702">
        <f t="shared" si="12"/>
        <v>100</v>
      </c>
      <c r="T38" s="701" t="s">
        <v>14</v>
      </c>
      <c r="U38" s="702">
        <f t="shared" si="13"/>
        <v>100</v>
      </c>
      <c r="V38" s="701" t="s">
        <v>14</v>
      </c>
      <c r="W38" s="702">
        <f t="shared" si="14"/>
        <v>100</v>
      </c>
      <c r="X38" s="703"/>
      <c r="Y38" s="3817"/>
      <c r="Z38" s="52" t="str">
        <f t="shared" si="15"/>
        <v>写字楼等级</v>
      </c>
      <c r="AA38" s="704">
        <f t="shared" si="3"/>
        <v>1</v>
      </c>
      <c r="AB38" s="704">
        <f t="shared" si="4"/>
        <v>1</v>
      </c>
      <c r="AC38" s="1956">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5" t="s">
        <v>1694</v>
      </c>
      <c r="Q39" s="1349" t="str">
        <f t="shared" si="11"/>
        <v>物业管理</v>
      </c>
      <c r="R39" s="705" t="s">
        <v>14</v>
      </c>
      <c r="S39" s="706">
        <f t="shared" si="12"/>
        <v>100</v>
      </c>
      <c r="T39" s="705" t="s">
        <v>14</v>
      </c>
      <c r="U39" s="706">
        <f t="shared" si="13"/>
        <v>100</v>
      </c>
      <c r="V39" s="705" t="s">
        <v>14</v>
      </c>
      <c r="W39" s="706">
        <f t="shared" si="14"/>
        <v>100</v>
      </c>
      <c r="X39" s="1352"/>
      <c r="Y39" s="3817" t="s">
        <v>1694</v>
      </c>
      <c r="Z39" s="1353" t="str">
        <f t="shared" si="15"/>
        <v>物业管理</v>
      </c>
      <c r="AA39" s="1350">
        <f t="shared" si="3"/>
        <v>1</v>
      </c>
      <c r="AB39" s="1350">
        <f t="shared" si="4"/>
        <v>1</v>
      </c>
      <c r="AC39" s="1959">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5"/>
      <c r="Q40" s="1349" t="str">
        <f t="shared" si="11"/>
        <v>市政基础设施</v>
      </c>
      <c r="R40" s="705" t="s">
        <v>14</v>
      </c>
      <c r="S40" s="706">
        <f t="shared" si="12"/>
        <v>100</v>
      </c>
      <c r="T40" s="705" t="s">
        <v>14</v>
      </c>
      <c r="U40" s="706">
        <f t="shared" si="13"/>
        <v>100</v>
      </c>
      <c r="V40" s="705" t="s">
        <v>14</v>
      </c>
      <c r="W40" s="706">
        <f t="shared" si="14"/>
        <v>100</v>
      </c>
      <c r="X40" s="1352"/>
      <c r="Y40" s="3817"/>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5"/>
      <c r="Q41" s="1349" t="str">
        <f t="shared" si="11"/>
        <v>层高</v>
      </c>
      <c r="R41" s="705" t="s">
        <v>14</v>
      </c>
      <c r="S41" s="706">
        <f t="shared" si="12"/>
        <v>100</v>
      </c>
      <c r="T41" s="705" t="s">
        <v>14</v>
      </c>
      <c r="U41" s="706">
        <f t="shared" si="13"/>
        <v>100</v>
      </c>
      <c r="V41" s="705" t="s">
        <v>14</v>
      </c>
      <c r="W41" s="706">
        <f t="shared" si="14"/>
        <v>100</v>
      </c>
      <c r="X41" s="1352"/>
      <c r="Y41" s="3817"/>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5"/>
      <c r="Q42" s="707" t="str">
        <f t="shared" si="11"/>
        <v>单套建筑面积</v>
      </c>
      <c r="R42" s="708" t="s">
        <v>14</v>
      </c>
      <c r="S42" s="709">
        <f t="shared" si="12"/>
        <v>100</v>
      </c>
      <c r="T42" s="708" t="s">
        <v>14</v>
      </c>
      <c r="U42" s="709">
        <f t="shared" si="13"/>
        <v>100</v>
      </c>
      <c r="V42" s="708" t="s">
        <v>14</v>
      </c>
      <c r="W42" s="709">
        <f t="shared" si="14"/>
        <v>100</v>
      </c>
      <c r="X42" s="710"/>
      <c r="Y42" s="3817"/>
      <c r="Z42" s="711" t="str">
        <f t="shared" si="15"/>
        <v>单套建筑面积</v>
      </c>
      <c r="AA42" s="1350">
        <f t="shared" si="3"/>
        <v>1</v>
      </c>
      <c r="AB42" s="1350">
        <f t="shared" si="4"/>
        <v>1</v>
      </c>
      <c r="AC42" s="1959">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5"/>
      <c r="Q43" s="1349" t="str">
        <f t="shared" si="11"/>
        <v>内部装修</v>
      </c>
      <c r="R43" s="705" t="s">
        <v>14</v>
      </c>
      <c r="S43" s="706">
        <f t="shared" si="12"/>
        <v>100</v>
      </c>
      <c r="T43" s="705" t="s">
        <v>14</v>
      </c>
      <c r="U43" s="706">
        <f t="shared" si="13"/>
        <v>100</v>
      </c>
      <c r="V43" s="705" t="s">
        <v>14</v>
      </c>
      <c r="W43" s="706">
        <f t="shared" si="14"/>
        <v>100</v>
      </c>
      <c r="X43" s="1352"/>
      <c r="Y43" s="3817"/>
      <c r="Z43" s="1353" t="str">
        <f t="shared" si="15"/>
        <v>内部装修</v>
      </c>
      <c r="AA43" s="1350">
        <f t="shared" si="3"/>
        <v>1</v>
      </c>
      <c r="AB43" s="1350">
        <f t="shared" si="4"/>
        <v>1</v>
      </c>
      <c r="AC43" s="1959">
        <f t="shared" si="5"/>
        <v>1</v>
      </c>
    </row>
    <row r="44" spans="1:29" ht="15">
      <c r="A44" s="423"/>
      <c r="B44" s="375" t="s">
        <v>1705</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815"/>
      <c r="Q44" s="1349" t="str">
        <f t="shared" si="11"/>
        <v>内部装修维护情况</v>
      </c>
      <c r="R44" s="705" t="s">
        <v>14</v>
      </c>
      <c r="S44" s="706">
        <f t="shared" si="12"/>
        <v>100</v>
      </c>
      <c r="T44" s="705" t="s">
        <v>14</v>
      </c>
      <c r="U44" s="706">
        <f t="shared" si="13"/>
        <v>100</v>
      </c>
      <c r="V44" s="705" t="s">
        <v>14</v>
      </c>
      <c r="W44" s="706">
        <f t="shared" si="14"/>
        <v>100</v>
      </c>
      <c r="X44" s="1352"/>
      <c r="Y44" s="3817"/>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5"/>
      <c r="Q45" s="1340">
        <f t="shared" si="11"/>
        <v>111</v>
      </c>
      <c r="R45" s="701" t="s">
        <v>14</v>
      </c>
      <c r="S45" s="702">
        <f t="shared" si="12"/>
        <v>100</v>
      </c>
      <c r="T45" s="701" t="s">
        <v>14</v>
      </c>
      <c r="U45" s="702">
        <f t="shared" si="13"/>
        <v>100</v>
      </c>
      <c r="V45" s="701" t="s">
        <v>14</v>
      </c>
      <c r="W45" s="702">
        <f t="shared" si="14"/>
        <v>100</v>
      </c>
      <c r="X45" s="703"/>
      <c r="Y45" s="3817"/>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5"/>
      <c r="Q46" s="1349">
        <f t="shared" si="11"/>
        <v>111</v>
      </c>
      <c r="R46" s="705" t="s">
        <v>14</v>
      </c>
      <c r="S46" s="706">
        <f t="shared" si="12"/>
        <v>100</v>
      </c>
      <c r="T46" s="705" t="s">
        <v>14</v>
      </c>
      <c r="U46" s="706">
        <f t="shared" si="13"/>
        <v>100</v>
      </c>
      <c r="V46" s="705" t="s">
        <v>14</v>
      </c>
      <c r="W46" s="706">
        <f t="shared" si="14"/>
        <v>100</v>
      </c>
      <c r="X46" s="1352"/>
      <c r="Y46" s="3817"/>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6"/>
      <c r="Q47" s="1349">
        <f t="shared" si="11"/>
        <v>111</v>
      </c>
      <c r="R47" s="705" t="s">
        <v>14</v>
      </c>
      <c r="S47" s="706">
        <f t="shared" si="12"/>
        <v>100</v>
      </c>
      <c r="T47" s="705" t="s">
        <v>14</v>
      </c>
      <c r="U47" s="706">
        <f t="shared" si="13"/>
        <v>100</v>
      </c>
      <c r="V47" s="705" t="s">
        <v>14</v>
      </c>
      <c r="W47" s="706">
        <f t="shared" si="14"/>
        <v>100</v>
      </c>
      <c r="X47" s="1352"/>
      <c r="Y47" s="3818"/>
      <c r="Z47" s="1353">
        <f t="shared" si="15"/>
        <v>111</v>
      </c>
      <c r="AA47" s="1350">
        <f t="shared" si="3"/>
        <v>1</v>
      </c>
      <c r="AB47" s="1350">
        <f t="shared" si="4"/>
        <v>1</v>
      </c>
      <c r="AC47" s="1959">
        <f t="shared" si="5"/>
        <v>1</v>
      </c>
    </row>
    <row r="48" spans="1:29" ht="15">
      <c r="A48" s="430" t="s">
        <v>1706</v>
      </c>
      <c r="B48" s="431"/>
      <c r="C48" s="1151" t="s">
        <v>0</v>
      </c>
      <c r="D48" s="1152"/>
      <c r="E48" s="1153"/>
      <c r="F48" s="1154"/>
      <c r="G48" s="1155"/>
      <c r="H48" s="1156"/>
      <c r="I48" s="1153"/>
      <c r="J48" s="436"/>
      <c r="K48" s="714"/>
      <c r="L48" s="2721"/>
      <c r="M48" s="2713"/>
      <c r="N48" s="2713"/>
      <c r="O48" s="2713"/>
      <c r="P48" s="3792" t="str">
        <f>A48</f>
        <v>成交单价（元/平方米）</v>
      </c>
      <c r="Q48" s="3810"/>
      <c r="R48" s="3811">
        <f>E48</f>
        <v>0</v>
      </c>
      <c r="S48" s="3811"/>
      <c r="T48" s="3811">
        <f>G48</f>
        <v>0</v>
      </c>
      <c r="U48" s="3811"/>
      <c r="V48" s="3811">
        <f>I48</f>
        <v>0</v>
      </c>
      <c r="W48" s="3811"/>
      <c r="X48" s="397"/>
      <c r="Y48" s="712"/>
      <c r="Z48" s="397"/>
      <c r="AA48" s="397"/>
      <c r="AB48" s="397"/>
      <c r="AC48" s="578"/>
    </row>
    <row r="49" spans="1:29" ht="15.75" thickBot="1">
      <c r="A49" s="437" t="s">
        <v>1791</v>
      </c>
      <c r="B49" s="438"/>
      <c r="C49" s="1157" t="e">
        <f>R50</f>
        <v>#DIV/0!</v>
      </c>
      <c r="D49" s="2314" t="s">
        <v>2135</v>
      </c>
      <c r="E49" s="1158" t="e">
        <f>R49</f>
        <v>#DIV/0!</v>
      </c>
      <c r="F49" s="2315"/>
      <c r="G49" s="1157" t="e">
        <f>T49</f>
        <v>#DIV/0!</v>
      </c>
      <c r="H49" s="2315"/>
      <c r="I49" s="1158" t="e">
        <f>V49</f>
        <v>#DIV/0!</v>
      </c>
      <c r="J49" s="2315"/>
      <c r="K49" s="2317">
        <f>F49+H49+J49</f>
        <v>0</v>
      </c>
      <c r="L49" s="2721"/>
      <c r="M49" s="2713"/>
      <c r="N49" s="2713"/>
      <c r="O49" s="2713"/>
      <c r="P49" s="3792" t="str">
        <f>A49</f>
        <v>比较价值（元/平方米）</v>
      </c>
      <c r="Q49" s="3810"/>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397"/>
      <c r="Y49" s="397"/>
      <c r="Z49" s="397"/>
      <c r="AA49" s="397"/>
      <c r="AB49" s="397"/>
      <c r="AC49" s="578"/>
    </row>
    <row r="50" spans="1:29" ht="15.75" thickBot="1">
      <c r="A50" s="441" t="s">
        <v>1792</v>
      </c>
      <c r="B50" s="442"/>
      <c r="C50" s="1160" t="e">
        <f>R50</f>
        <v>#DIV/0!</v>
      </c>
      <c r="D50" s="1160"/>
      <c r="E50" s="1160"/>
      <c r="F50" s="1160"/>
      <c r="G50" s="1160"/>
      <c r="H50" s="1160"/>
      <c r="I50" s="1160"/>
      <c r="J50" s="443"/>
      <c r="K50" s="715"/>
      <c r="L50" s="2721"/>
      <c r="M50" s="2713"/>
      <c r="N50" s="2713"/>
      <c r="O50" s="2713"/>
      <c r="P50" s="3833" t="str">
        <f>A50</f>
        <v>估价对象XX用房的比较价值（楼面单价，元/平方米）</v>
      </c>
      <c r="Q50" s="3834"/>
      <c r="R50" s="3835" t="e">
        <f>IF(F1="售价",ROUND(IF(D49="简单平均",AVERAGE(R49:V49),R49*F49+T49*H49+V49*J49),0),ROUND(IF(D49="简单平均",AVERAGE(R49:V49),R49*F49+T49*H49+V49*J49),1))</f>
        <v>#DIV/0!</v>
      </c>
      <c r="S50" s="3835"/>
      <c r="T50" s="3835"/>
      <c r="U50" s="3835"/>
      <c r="V50" s="3835"/>
      <c r="W50" s="3835"/>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2023-1</v>
      </c>
      <c r="D59" s="1182">
        <f>EDATE(C59,-1)</f>
        <v>44896</v>
      </c>
      <c r="E59" s="1182">
        <f>EDATE(D59,-1)</f>
        <v>44866</v>
      </c>
      <c r="F59" s="1182">
        <f t="shared" ref="F59:O59" si="16">EDATE(E59,-1)</f>
        <v>44835</v>
      </c>
      <c r="G59" s="1182">
        <f t="shared" si="16"/>
        <v>44805</v>
      </c>
      <c r="H59" s="1182">
        <f t="shared" si="16"/>
        <v>44774</v>
      </c>
      <c r="I59" s="1182">
        <f t="shared" si="16"/>
        <v>44743</v>
      </c>
      <c r="J59" s="1182">
        <f t="shared" si="16"/>
        <v>44713</v>
      </c>
      <c r="K59" s="1182">
        <f t="shared" si="16"/>
        <v>44682</v>
      </c>
      <c r="L59" s="1182">
        <f t="shared" si="16"/>
        <v>44652</v>
      </c>
      <c r="M59" s="1182">
        <f t="shared" si="16"/>
        <v>44621</v>
      </c>
      <c r="N59" s="1182">
        <f t="shared" si="16"/>
        <v>44593</v>
      </c>
      <c r="O59" s="1182">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112144.48</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1767</v>
      </c>
      <c r="B4" s="356"/>
      <c r="C4" s="3793" t="s">
        <v>1768</v>
      </c>
      <c r="D4" s="3794"/>
      <c r="E4" s="3795" t="s">
        <v>1769</v>
      </c>
      <c r="F4" s="3796"/>
      <c r="G4" s="3793" t="s">
        <v>1770</v>
      </c>
      <c r="H4" s="3794"/>
      <c r="I4" s="3793" t="s">
        <v>1771</v>
      </c>
      <c r="J4" s="3794"/>
      <c r="K4" s="559" t="s">
        <v>1772</v>
      </c>
      <c r="L4" s="910"/>
      <c r="M4" s="911"/>
      <c r="N4" s="911"/>
      <c r="O4" s="911"/>
      <c r="P4" s="3797" t="s">
        <v>1773</v>
      </c>
      <c r="Q4" s="3798"/>
      <c r="R4" s="3780" t="s">
        <v>1769</v>
      </c>
      <c r="S4" s="3781"/>
      <c r="T4" s="3780" t="s">
        <v>1770</v>
      </c>
      <c r="U4" s="3781"/>
      <c r="V4" s="3805" t="s">
        <v>1771</v>
      </c>
      <c r="W4" s="3805"/>
      <c r="X4" s="1352"/>
      <c r="Y4" s="3780" t="s">
        <v>1773</v>
      </c>
      <c r="Z4" s="3781"/>
      <c r="AA4" s="3775" t="s">
        <v>1769</v>
      </c>
      <c r="AB4" s="3776" t="s">
        <v>1770</v>
      </c>
      <c r="AC4" s="3775" t="s">
        <v>1771</v>
      </c>
    </row>
    <row r="5" spans="1:29" ht="15">
      <c r="A5" s="358"/>
      <c r="B5" s="359"/>
      <c r="C5" s="3786" t="s">
        <v>1671</v>
      </c>
      <c r="D5" s="3787"/>
      <c r="E5" s="3784" t="s">
        <v>1672</v>
      </c>
      <c r="F5" s="3785"/>
      <c r="G5" s="3786" t="s">
        <v>1673</v>
      </c>
      <c r="H5" s="3787"/>
      <c r="I5" s="3786" t="s">
        <v>1674</v>
      </c>
      <c r="J5" s="3787"/>
      <c r="K5" s="559"/>
      <c r="L5" s="910"/>
      <c r="M5" s="911"/>
      <c r="N5" s="911"/>
      <c r="O5" s="911"/>
      <c r="P5" s="3799"/>
      <c r="Q5" s="3800"/>
      <c r="R5" s="3782"/>
      <c r="S5" s="3783"/>
      <c r="T5" s="3782"/>
      <c r="U5" s="3783"/>
      <c r="V5" s="3805"/>
      <c r="W5" s="3805"/>
      <c r="X5" s="1352"/>
      <c r="Y5" s="3782"/>
      <c r="Z5" s="3783"/>
      <c r="AA5" s="3776"/>
      <c r="AB5" s="3776"/>
      <c r="AC5" s="3776"/>
    </row>
    <row r="6" spans="1:29" ht="15.75" thickBot="1">
      <c r="A6" s="360"/>
      <c r="B6" s="361"/>
      <c r="C6" s="3788" t="s">
        <v>1675</v>
      </c>
      <c r="D6" s="3789"/>
      <c r="E6" s="3790" t="s">
        <v>1675</v>
      </c>
      <c r="F6" s="3791"/>
      <c r="G6" s="3788" t="s">
        <v>1675</v>
      </c>
      <c r="H6" s="3789"/>
      <c r="I6" s="3788" t="s">
        <v>1675</v>
      </c>
      <c r="J6" s="3789"/>
      <c r="K6" s="559" t="s">
        <v>1676</v>
      </c>
      <c r="L6" s="910"/>
      <c r="M6" s="911"/>
      <c r="N6" s="911"/>
      <c r="O6" s="911"/>
      <c r="P6" s="3801"/>
      <c r="Q6" s="3802"/>
      <c r="R6" s="3782"/>
      <c r="S6" s="3783"/>
      <c r="T6" s="3803"/>
      <c r="U6" s="3804"/>
      <c r="V6" s="3805"/>
      <c r="W6" s="3805"/>
      <c r="X6" s="1352"/>
      <c r="Y6" s="3803"/>
      <c r="Z6" s="3804"/>
      <c r="AA6" s="3777"/>
      <c r="AB6" s="3777"/>
      <c r="AC6" s="3777"/>
    </row>
    <row r="7" spans="1:29" s="108" customFormat="1" ht="15.75" thickBot="1">
      <c r="A7" s="362" t="s">
        <v>1677</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2"/>
      <c r="M7" s="913"/>
      <c r="N7" s="913"/>
      <c r="O7" s="913"/>
      <c r="P7" s="3778" t="s">
        <v>1678</v>
      </c>
      <c r="Q7" s="3806"/>
      <c r="R7" s="701" t="s">
        <v>14</v>
      </c>
      <c r="S7" s="702">
        <f t="shared" ref="S7:S15" si="0">F7</f>
        <v>0</v>
      </c>
      <c r="T7" s="701" t="s">
        <v>14</v>
      </c>
      <c r="U7" s="702">
        <f t="shared" ref="U7:U15" si="1">H7</f>
        <v>0</v>
      </c>
      <c r="V7" s="701" t="s">
        <v>14</v>
      </c>
      <c r="W7" s="702">
        <f t="shared" ref="W7:W15" si="2">J7</f>
        <v>0</v>
      </c>
      <c r="X7" s="703"/>
      <c r="Y7" s="3778" t="s">
        <v>1678</v>
      </c>
      <c r="Z7" s="3779"/>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78" t="s">
        <v>1681</v>
      </c>
      <c r="Q8" s="3779"/>
      <c r="R8" s="701" t="s">
        <v>14</v>
      </c>
      <c r="S8" s="702">
        <f t="shared" si="0"/>
        <v>100</v>
      </c>
      <c r="T8" s="701" t="s">
        <v>14</v>
      </c>
      <c r="U8" s="702">
        <f t="shared" si="1"/>
        <v>100</v>
      </c>
      <c r="V8" s="701" t="s">
        <v>14</v>
      </c>
      <c r="W8" s="702">
        <f t="shared" si="2"/>
        <v>100</v>
      </c>
      <c r="X8" s="703"/>
      <c r="Y8" s="3778" t="s">
        <v>1681</v>
      </c>
      <c r="Z8" s="3779"/>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10"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810"/>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10"/>
      <c r="Q11" s="1340"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810"/>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810"/>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810"/>
      <c r="Q14" s="1340">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12" t="s">
        <v>1689</v>
      </c>
      <c r="Q15" s="1349" t="str">
        <f t="shared" si="6"/>
        <v>产业集聚程度</v>
      </c>
      <c r="R15" s="705" t="s">
        <v>14</v>
      </c>
      <c r="S15" s="706">
        <f t="shared" si="0"/>
        <v>100</v>
      </c>
      <c r="T15" s="705" t="s">
        <v>14</v>
      </c>
      <c r="U15" s="706">
        <f t="shared" si="1"/>
        <v>100</v>
      </c>
      <c r="V15" s="705" t="s">
        <v>14</v>
      </c>
      <c r="W15" s="706">
        <f t="shared" si="2"/>
        <v>100</v>
      </c>
      <c r="X15" s="1352"/>
      <c r="Y15" s="3812"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813"/>
      <c r="Q16" s="1349"/>
      <c r="R16" s="705"/>
      <c r="S16" s="706"/>
      <c r="T16" s="705"/>
      <c r="U16" s="706"/>
      <c r="V16" s="705"/>
      <c r="W16" s="706"/>
      <c r="X16" s="1352"/>
      <c r="Y16" s="3813"/>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13"/>
      <c r="Q17" s="1349" t="str">
        <f>B17</f>
        <v>交通便捷度</v>
      </c>
      <c r="R17" s="705" t="s">
        <v>14</v>
      </c>
      <c r="S17" s="706">
        <f>F17</f>
        <v>100</v>
      </c>
      <c r="T17" s="705" t="s">
        <v>14</v>
      </c>
      <c r="U17" s="706">
        <f>H17</f>
        <v>100</v>
      </c>
      <c r="V17" s="705" t="s">
        <v>14</v>
      </c>
      <c r="W17" s="706">
        <f>J17</f>
        <v>100</v>
      </c>
      <c r="X17" s="1352"/>
      <c r="Y17" s="381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813"/>
      <c r="Q18" s="1349"/>
      <c r="R18" s="705"/>
      <c r="S18" s="706"/>
      <c r="T18" s="705"/>
      <c r="U18" s="706"/>
      <c r="V18" s="705"/>
      <c r="W18" s="706"/>
      <c r="X18" s="1352"/>
      <c r="Y18" s="3813"/>
      <c r="Z18" s="1353"/>
      <c r="AA18" s="1350">
        <v>1</v>
      </c>
      <c r="AB18" s="1350">
        <v>1</v>
      </c>
      <c r="AC18" s="1350">
        <v>1</v>
      </c>
    </row>
    <row r="19" spans="1:29" ht="42.75">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13"/>
      <c r="Q19" s="1349" t="str">
        <f>B19</f>
        <v>公共配套设施</v>
      </c>
      <c r="R19" s="705" t="s">
        <v>14</v>
      </c>
      <c r="S19" s="706">
        <f>F19</f>
        <v>100</v>
      </c>
      <c r="T19" s="705" t="s">
        <v>14</v>
      </c>
      <c r="U19" s="706">
        <f>H19</f>
        <v>100</v>
      </c>
      <c r="V19" s="705" t="s">
        <v>14</v>
      </c>
      <c r="W19" s="706">
        <f>J19</f>
        <v>100</v>
      </c>
      <c r="X19" s="1352"/>
      <c r="Y19" s="381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813"/>
      <c r="Q20" s="1349"/>
      <c r="R20" s="705"/>
      <c r="S20" s="706"/>
      <c r="T20" s="705"/>
      <c r="U20" s="706"/>
      <c r="V20" s="705"/>
      <c r="W20" s="706"/>
      <c r="X20" s="1352"/>
      <c r="Y20" s="3813"/>
      <c r="Z20" s="1353"/>
      <c r="AA20" s="1350">
        <v>1</v>
      </c>
      <c r="AB20" s="1350">
        <v>1</v>
      </c>
      <c r="AC20" s="1350">
        <v>1</v>
      </c>
    </row>
    <row r="21" spans="1:29" ht="28.5">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13"/>
      <c r="Q21" s="1349" t="str">
        <f>B21</f>
        <v>基础设施水平</v>
      </c>
      <c r="R21" s="705" t="s">
        <v>14</v>
      </c>
      <c r="S21" s="706">
        <f>F21</f>
        <v>100</v>
      </c>
      <c r="T21" s="705" t="s">
        <v>14</v>
      </c>
      <c r="U21" s="706">
        <f>H21</f>
        <v>100</v>
      </c>
      <c r="V21" s="705" t="s">
        <v>14</v>
      </c>
      <c r="W21" s="706">
        <f>J21</f>
        <v>100</v>
      </c>
      <c r="X21" s="1352"/>
      <c r="Y21" s="381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813"/>
      <c r="Q22" s="1349"/>
      <c r="R22" s="705"/>
      <c r="S22" s="706"/>
      <c r="T22" s="705"/>
      <c r="U22" s="706"/>
      <c r="V22" s="705"/>
      <c r="W22" s="706"/>
      <c r="X22" s="1352"/>
      <c r="Y22" s="3813"/>
      <c r="Z22" s="1353"/>
      <c r="AA22" s="1350">
        <v>1</v>
      </c>
      <c r="AB22" s="1350">
        <v>1</v>
      </c>
      <c r="AC22" s="1350">
        <v>1</v>
      </c>
    </row>
    <row r="23" spans="1:29" ht="71.25">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13"/>
      <c r="Q23" s="1349" t="str">
        <f>B23</f>
        <v>环境质量</v>
      </c>
      <c r="R23" s="705" t="s">
        <v>14</v>
      </c>
      <c r="S23" s="706">
        <f>F23</f>
        <v>100</v>
      </c>
      <c r="T23" s="705" t="s">
        <v>14</v>
      </c>
      <c r="U23" s="706">
        <f>H23</f>
        <v>100</v>
      </c>
      <c r="V23" s="705" t="s">
        <v>14</v>
      </c>
      <c r="W23" s="706">
        <f>J23</f>
        <v>100</v>
      </c>
      <c r="X23" s="1352"/>
      <c r="Y23" s="381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813"/>
      <c r="Q24" s="1349"/>
      <c r="R24" s="705"/>
      <c r="S24" s="706"/>
      <c r="T24" s="705"/>
      <c r="U24" s="706"/>
      <c r="V24" s="705"/>
      <c r="W24" s="706"/>
      <c r="X24" s="1352"/>
      <c r="Y24" s="381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13"/>
      <c r="Q25" s="1349">
        <f>B25</f>
        <v>111</v>
      </c>
      <c r="R25" s="705" t="s">
        <v>14</v>
      </c>
      <c r="S25" s="706">
        <f>F25</f>
        <v>100</v>
      </c>
      <c r="T25" s="705" t="s">
        <v>14</v>
      </c>
      <c r="U25" s="706">
        <f>H25</f>
        <v>100</v>
      </c>
      <c r="V25" s="705" t="s">
        <v>14</v>
      </c>
      <c r="W25" s="706">
        <f>J25</f>
        <v>100</v>
      </c>
      <c r="X25" s="1352"/>
      <c r="Y25" s="381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13"/>
      <c r="Q26" s="1349">
        <f t="shared" ref="Q26:Q40" si="11">B26</f>
        <v>111</v>
      </c>
      <c r="R26" s="705" t="s">
        <v>14</v>
      </c>
      <c r="S26" s="706">
        <f>F26</f>
        <v>100</v>
      </c>
      <c r="T26" s="705" t="s">
        <v>14</v>
      </c>
      <c r="U26" s="706">
        <f>H26</f>
        <v>100</v>
      </c>
      <c r="V26" s="705" t="s">
        <v>14</v>
      </c>
      <c r="W26" s="706">
        <f>J26</f>
        <v>100</v>
      </c>
      <c r="X26" s="1352"/>
      <c r="Y26" s="381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13"/>
      <c r="Q27" s="1340">
        <f t="shared" si="11"/>
        <v>111</v>
      </c>
      <c r="R27" s="701" t="s">
        <v>14</v>
      </c>
      <c r="S27" s="702">
        <f>F27</f>
        <v>100</v>
      </c>
      <c r="T27" s="701" t="s">
        <v>14</v>
      </c>
      <c r="U27" s="702">
        <f>H27</f>
        <v>100</v>
      </c>
      <c r="V27" s="701" t="s">
        <v>14</v>
      </c>
      <c r="W27" s="702">
        <f>J27</f>
        <v>100</v>
      </c>
      <c r="X27" s="703"/>
      <c r="Y27" s="381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13"/>
      <c r="Q28" s="1349">
        <f t="shared" si="11"/>
        <v>111</v>
      </c>
      <c r="R28" s="705" t="s">
        <v>14</v>
      </c>
      <c r="S28" s="706">
        <f t="shared" ref="S28:S40" si="12">F28</f>
        <v>100</v>
      </c>
      <c r="T28" s="705" t="s">
        <v>14</v>
      </c>
      <c r="U28" s="706">
        <f t="shared" ref="U28:U40" si="13">H28</f>
        <v>100</v>
      </c>
      <c r="V28" s="705" t="s">
        <v>14</v>
      </c>
      <c r="W28" s="706">
        <f t="shared" ref="W28:W40" si="14">J28</f>
        <v>100</v>
      </c>
      <c r="X28" s="1352"/>
      <c r="Y28" s="3813"/>
      <c r="Z28" s="1353">
        <f t="shared" ref="Z28:Z40" si="15">Q28</f>
        <v>111</v>
      </c>
      <c r="AA28" s="1350">
        <f t="shared" si="3"/>
        <v>1</v>
      </c>
      <c r="AB28" s="1350">
        <f t="shared" si="4"/>
        <v>1</v>
      </c>
      <c r="AC28" s="1350">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836" t="s">
        <v>1694</v>
      </c>
      <c r="Q29" s="1349" t="str">
        <f t="shared" si="11"/>
        <v>建筑类型</v>
      </c>
      <c r="R29" s="705" t="s">
        <v>14</v>
      </c>
      <c r="S29" s="706">
        <f t="shared" si="12"/>
        <v>100</v>
      </c>
      <c r="T29" s="705" t="s">
        <v>14</v>
      </c>
      <c r="U29" s="706">
        <f t="shared" si="13"/>
        <v>100</v>
      </c>
      <c r="V29" s="705" t="s">
        <v>14</v>
      </c>
      <c r="W29" s="706">
        <f t="shared" si="14"/>
        <v>100</v>
      </c>
      <c r="X29" s="1352"/>
      <c r="Y29" s="3817"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17"/>
      <c r="Q30" s="707" t="str">
        <f t="shared" si="11"/>
        <v>项目建筑规模</v>
      </c>
      <c r="R30" s="708" t="s">
        <v>14</v>
      </c>
      <c r="S30" s="709" t="e">
        <f t="shared" si="12"/>
        <v>#N/A</v>
      </c>
      <c r="T30" s="708" t="s">
        <v>14</v>
      </c>
      <c r="U30" s="709" t="e">
        <f t="shared" si="13"/>
        <v>#N/A</v>
      </c>
      <c r="V30" s="708" t="s">
        <v>14</v>
      </c>
      <c r="W30" s="709" t="e">
        <f t="shared" si="14"/>
        <v>#N/A</v>
      </c>
      <c r="X30" s="710"/>
      <c r="Y30" s="3817"/>
      <c r="Z30" s="711"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17"/>
      <c r="Q31" s="1349" t="str">
        <f t="shared" si="11"/>
        <v>建筑结构</v>
      </c>
      <c r="R31" s="705" t="s">
        <v>14</v>
      </c>
      <c r="S31" s="706">
        <f t="shared" si="12"/>
        <v>100</v>
      </c>
      <c r="T31" s="705" t="s">
        <v>14</v>
      </c>
      <c r="U31" s="706">
        <f t="shared" si="13"/>
        <v>100</v>
      </c>
      <c r="V31" s="705" t="s">
        <v>14</v>
      </c>
      <c r="W31" s="706">
        <f t="shared" si="14"/>
        <v>100</v>
      </c>
      <c r="X31" s="1352"/>
      <c r="Y31" s="3817"/>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17"/>
      <c r="Q32" s="1349" t="str">
        <f t="shared" si="11"/>
        <v>公共部分装修</v>
      </c>
      <c r="R32" s="705" t="s">
        <v>14</v>
      </c>
      <c r="S32" s="706">
        <f t="shared" si="12"/>
        <v>100</v>
      </c>
      <c r="T32" s="705" t="s">
        <v>14</v>
      </c>
      <c r="U32" s="706">
        <f t="shared" si="13"/>
        <v>100</v>
      </c>
      <c r="V32" s="705" t="s">
        <v>14</v>
      </c>
      <c r="W32" s="706">
        <f t="shared" si="14"/>
        <v>100</v>
      </c>
      <c r="X32" s="1352"/>
      <c r="Y32" s="3817"/>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17"/>
      <c r="Q33" s="1349" t="str">
        <f t="shared" si="11"/>
        <v>成新度</v>
      </c>
      <c r="R33" s="705" t="s">
        <v>14</v>
      </c>
      <c r="S33" s="706" t="e">
        <f t="shared" si="12"/>
        <v>#N/A</v>
      </c>
      <c r="T33" s="705" t="s">
        <v>14</v>
      </c>
      <c r="U33" s="706" t="e">
        <f t="shared" si="13"/>
        <v>#N/A</v>
      </c>
      <c r="V33" s="705" t="s">
        <v>14</v>
      </c>
      <c r="W33" s="706" t="e">
        <f t="shared" si="14"/>
        <v>#N/A</v>
      </c>
      <c r="X33" s="1352"/>
      <c r="Y33" s="3817"/>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17"/>
      <c r="Q34" s="1340" t="str">
        <f t="shared" si="11"/>
        <v>物业管理</v>
      </c>
      <c r="R34" s="701" t="s">
        <v>14</v>
      </c>
      <c r="S34" s="702">
        <f t="shared" si="12"/>
        <v>100</v>
      </c>
      <c r="T34" s="701" t="s">
        <v>14</v>
      </c>
      <c r="U34" s="702">
        <f t="shared" si="13"/>
        <v>100</v>
      </c>
      <c r="V34" s="701" t="s">
        <v>14</v>
      </c>
      <c r="W34" s="702">
        <f t="shared" si="14"/>
        <v>100</v>
      </c>
      <c r="X34" s="703"/>
      <c r="Y34" s="3817"/>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17" t="s">
        <v>1694</v>
      </c>
      <c r="Q35" s="1349" t="str">
        <f t="shared" si="11"/>
        <v>市政基础设施</v>
      </c>
      <c r="R35" s="705" t="s">
        <v>14</v>
      </c>
      <c r="S35" s="706">
        <f t="shared" si="12"/>
        <v>100</v>
      </c>
      <c r="T35" s="705" t="s">
        <v>14</v>
      </c>
      <c r="U35" s="706">
        <f t="shared" si="13"/>
        <v>100</v>
      </c>
      <c r="V35" s="705" t="s">
        <v>14</v>
      </c>
      <c r="W35" s="706">
        <f t="shared" si="14"/>
        <v>100</v>
      </c>
      <c r="X35" s="1352"/>
      <c r="Y35" s="3817"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17"/>
      <c r="Q36" s="1349" t="str">
        <f t="shared" si="11"/>
        <v>内部装修</v>
      </c>
      <c r="R36" s="705" t="s">
        <v>14</v>
      </c>
      <c r="S36" s="706">
        <f t="shared" si="12"/>
        <v>100</v>
      </c>
      <c r="T36" s="705" t="s">
        <v>14</v>
      </c>
      <c r="U36" s="706">
        <f t="shared" si="13"/>
        <v>100</v>
      </c>
      <c r="V36" s="705" t="s">
        <v>14</v>
      </c>
      <c r="W36" s="706">
        <f t="shared" si="14"/>
        <v>100</v>
      </c>
      <c r="X36" s="1352"/>
      <c r="Y36" s="3817"/>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17"/>
      <c r="Q37" s="1349" t="str">
        <f t="shared" si="11"/>
        <v>内部装修状况</v>
      </c>
      <c r="R37" s="705" t="s">
        <v>14</v>
      </c>
      <c r="S37" s="706">
        <f t="shared" si="12"/>
        <v>100</v>
      </c>
      <c r="T37" s="705" t="s">
        <v>14</v>
      </c>
      <c r="U37" s="706">
        <f t="shared" si="13"/>
        <v>100</v>
      </c>
      <c r="V37" s="705" t="s">
        <v>14</v>
      </c>
      <c r="W37" s="706">
        <f t="shared" si="14"/>
        <v>100</v>
      </c>
      <c r="X37" s="1352"/>
      <c r="Y37" s="381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17"/>
      <c r="Q38" s="707">
        <f t="shared" si="11"/>
        <v>111</v>
      </c>
      <c r="R38" s="708" t="s">
        <v>14</v>
      </c>
      <c r="S38" s="709">
        <f t="shared" si="12"/>
        <v>100</v>
      </c>
      <c r="T38" s="708" t="s">
        <v>14</v>
      </c>
      <c r="U38" s="709">
        <f t="shared" si="13"/>
        <v>100</v>
      </c>
      <c r="V38" s="708" t="s">
        <v>14</v>
      </c>
      <c r="W38" s="709">
        <f t="shared" si="14"/>
        <v>100</v>
      </c>
      <c r="X38" s="710"/>
      <c r="Y38" s="3817"/>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17"/>
      <c r="Q39" s="1349">
        <f t="shared" si="11"/>
        <v>111</v>
      </c>
      <c r="R39" s="705" t="s">
        <v>14</v>
      </c>
      <c r="S39" s="706">
        <f t="shared" si="12"/>
        <v>100</v>
      </c>
      <c r="T39" s="705" t="s">
        <v>14</v>
      </c>
      <c r="U39" s="706">
        <f t="shared" si="13"/>
        <v>100</v>
      </c>
      <c r="V39" s="705" t="s">
        <v>14</v>
      </c>
      <c r="W39" s="706">
        <f t="shared" si="14"/>
        <v>100</v>
      </c>
      <c r="X39" s="1352"/>
      <c r="Y39" s="381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18"/>
      <c r="Q40" s="1349">
        <f t="shared" si="11"/>
        <v>111</v>
      </c>
      <c r="R40" s="705" t="s">
        <v>14</v>
      </c>
      <c r="S40" s="706">
        <f t="shared" si="12"/>
        <v>100</v>
      </c>
      <c r="T40" s="705" t="s">
        <v>14</v>
      </c>
      <c r="U40" s="706">
        <f t="shared" si="13"/>
        <v>100</v>
      </c>
      <c r="V40" s="705" t="s">
        <v>14</v>
      </c>
      <c r="W40" s="706">
        <f t="shared" si="14"/>
        <v>100</v>
      </c>
      <c r="X40" s="1352"/>
      <c r="Y40" s="3818"/>
      <c r="Z40" s="1353">
        <f t="shared" si="15"/>
        <v>111</v>
      </c>
      <c r="AA40" s="1350">
        <f t="shared" si="3"/>
        <v>1</v>
      </c>
      <c r="AB40" s="1350">
        <f t="shared" si="4"/>
        <v>1</v>
      </c>
      <c r="AC40" s="1350">
        <f t="shared" si="5"/>
        <v>1</v>
      </c>
    </row>
    <row r="41" spans="1:29" ht="15">
      <c r="A41" s="430" t="s">
        <v>1706</v>
      </c>
      <c r="B41" s="431"/>
      <c r="C41" s="1151" t="s">
        <v>0</v>
      </c>
      <c r="D41" s="1152"/>
      <c r="E41" s="1153"/>
      <c r="F41" s="1154"/>
      <c r="G41" s="1155"/>
      <c r="H41" s="1156"/>
      <c r="I41" s="1153"/>
      <c r="J41" s="1156"/>
      <c r="K41" s="714"/>
      <c r="L41" s="923"/>
      <c r="M41" s="924"/>
      <c r="N41" s="911"/>
      <c r="O41" s="924"/>
      <c r="P41" s="3810" t="str">
        <f>A41</f>
        <v>成交单价（元/平方米）</v>
      </c>
      <c r="Q41" s="3810"/>
      <c r="R41" s="3811">
        <f>E41</f>
        <v>0</v>
      </c>
      <c r="S41" s="3811"/>
      <c r="T41" s="3811">
        <f>G41</f>
        <v>0</v>
      </c>
      <c r="U41" s="3811"/>
      <c r="V41" s="3811">
        <f>I41</f>
        <v>0</v>
      </c>
      <c r="W41" s="3811"/>
      <c r="X41" s="690"/>
      <c r="Y41" s="712"/>
      <c r="Z41" s="690"/>
      <c r="AA41" s="690"/>
      <c r="AB41" s="690"/>
      <c r="AC41" s="690"/>
    </row>
    <row r="42" spans="1:29" ht="15.75" thickBot="1">
      <c r="A42" s="437" t="s">
        <v>1791</v>
      </c>
      <c r="B42" s="438"/>
      <c r="C42" s="1157" t="e">
        <f>R43</f>
        <v>#DIV/0!</v>
      </c>
      <c r="D42" s="2314" t="s">
        <v>2135</v>
      </c>
      <c r="E42" s="1158" t="e">
        <f>R42</f>
        <v>#DIV/0!</v>
      </c>
      <c r="F42" s="2315"/>
      <c r="G42" s="1157" t="e">
        <f>T42</f>
        <v>#DIV/0!</v>
      </c>
      <c r="H42" s="2315"/>
      <c r="I42" s="1158" t="e">
        <f>V42</f>
        <v>#DIV/0!</v>
      </c>
      <c r="J42" s="2315"/>
      <c r="K42" s="2317">
        <f>F42+H42+J42</f>
        <v>0</v>
      </c>
      <c r="L42" s="923"/>
      <c r="M42" s="924"/>
      <c r="N42" s="911"/>
      <c r="O42" s="924"/>
      <c r="P42" s="3810" t="str">
        <f>A42</f>
        <v>比较价值（元/平方米）</v>
      </c>
      <c r="Q42" s="3810"/>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690"/>
      <c r="Y42" s="690"/>
      <c r="Z42" s="690"/>
      <c r="AA42" s="690"/>
      <c r="AB42" s="690"/>
      <c r="AC42" s="690"/>
    </row>
    <row r="43" spans="1:29" ht="15.75" thickBot="1">
      <c r="A43" s="441" t="s">
        <v>1792</v>
      </c>
      <c r="B43" s="442"/>
      <c r="C43" s="1160" t="e">
        <f>R43</f>
        <v>#DIV/0!</v>
      </c>
      <c r="D43" s="1160"/>
      <c r="E43" s="1160"/>
      <c r="F43" s="1160"/>
      <c r="G43" s="1160"/>
      <c r="H43" s="1160"/>
      <c r="I43" s="1160"/>
      <c r="J43" s="1160"/>
      <c r="K43" s="715"/>
      <c r="L43" s="923"/>
      <c r="M43" s="924"/>
      <c r="N43" s="924"/>
      <c r="O43" s="924"/>
      <c r="P43" s="3807" t="str">
        <f>A43</f>
        <v>估价对象XX用房的比较价值（楼面单价，元/平方米）</v>
      </c>
      <c r="Q43" s="3808"/>
      <c r="R43" s="3809" t="e">
        <f>IF(F1="售价",ROUND(IF(D42="简单平均",AVERAGE(R42:V42),R42*F42+T42*H42+V42*J42),0),ROUND(IF(D42="简单平均",AVERAGE(R42:V42),R42*F42+T42*H42+V42*J42),1))</f>
        <v>#DIV/0!</v>
      </c>
      <c r="S43" s="3809"/>
      <c r="T43" s="3809"/>
      <c r="U43" s="3809"/>
      <c r="V43" s="3809"/>
      <c r="W43" s="3809"/>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4" t="s">
        <v>1796</v>
      </c>
      <c r="B51" s="690"/>
      <c r="C51" s="695"/>
      <c r="D51" s="695"/>
      <c r="E51" s="695"/>
      <c r="F51" s="696"/>
      <c r="G51" s="696"/>
      <c r="H51" s="695"/>
      <c r="I51" s="695"/>
      <c r="J51" s="695"/>
      <c r="K51" s="938"/>
      <c r="L51" s="939"/>
      <c r="M51" s="937"/>
      <c r="N51" s="937"/>
      <c r="O51" s="937"/>
      <c r="P51" s="452"/>
      <c r="Q51" s="453"/>
    </row>
    <row r="52" spans="1:17" s="457" customFormat="1" ht="15">
      <c r="A52" s="454" t="s">
        <v>1677</v>
      </c>
      <c r="B52" s="455"/>
      <c r="C52" s="1181" t="str">
        <f>YEAR(C7)&amp;"-"&amp;MONTH(C7)</f>
        <v>2023-1</v>
      </c>
      <c r="D52" s="1182">
        <f>EDATE(C52,-1)</f>
        <v>44896</v>
      </c>
      <c r="E52" s="1182">
        <f t="shared" ref="E52:O52" si="16">EDATE(D52,-1)</f>
        <v>44866</v>
      </c>
      <c r="F52" s="1182">
        <f t="shared" si="16"/>
        <v>44835</v>
      </c>
      <c r="G52" s="1182">
        <f t="shared" si="16"/>
        <v>44805</v>
      </c>
      <c r="H52" s="1182">
        <f t="shared" si="16"/>
        <v>44774</v>
      </c>
      <c r="I52" s="1182">
        <f t="shared" si="16"/>
        <v>44743</v>
      </c>
      <c r="J52" s="1182">
        <f t="shared" si="16"/>
        <v>44713</v>
      </c>
      <c r="K52" s="1182">
        <f t="shared" si="16"/>
        <v>44682</v>
      </c>
      <c r="L52" s="1182">
        <f t="shared" si="16"/>
        <v>44652</v>
      </c>
      <c r="M52" s="1182">
        <f t="shared" si="16"/>
        <v>44621</v>
      </c>
      <c r="N52" s="1182">
        <f t="shared" si="16"/>
        <v>44593</v>
      </c>
      <c r="O52" s="1182">
        <f t="shared" si="16"/>
        <v>44562</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1717</v>
      </c>
      <c r="B57" s="477" t="s">
        <v>1683</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1686</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1692</v>
      </c>
      <c r="B88" s="477" t="s">
        <v>1734</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1736</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1738</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1739</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1740</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1742</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5">
      <c r="A4" s="355" t="s">
        <v>1767</v>
      </c>
      <c r="B4" s="356"/>
      <c r="C4" s="3793" t="s">
        <v>1768</v>
      </c>
      <c r="D4" s="3794"/>
      <c r="E4" s="3795" t="s">
        <v>1769</v>
      </c>
      <c r="F4" s="3796"/>
      <c r="G4" s="3793" t="s">
        <v>1770</v>
      </c>
      <c r="H4" s="3794"/>
      <c r="I4" s="3793" t="s">
        <v>1771</v>
      </c>
      <c r="J4" s="3794"/>
      <c r="K4" s="559" t="s">
        <v>1772</v>
      </c>
      <c r="L4" s="2712"/>
      <c r="M4" s="2713"/>
      <c r="N4" s="2713"/>
      <c r="O4" s="2713"/>
      <c r="P4" s="3797" t="s">
        <v>1773</v>
      </c>
      <c r="Q4" s="3798"/>
      <c r="R4" s="3780" t="s">
        <v>1769</v>
      </c>
      <c r="S4" s="3781"/>
      <c r="T4" s="3780" t="s">
        <v>1770</v>
      </c>
      <c r="U4" s="3781"/>
      <c r="V4" s="3805" t="s">
        <v>1771</v>
      </c>
      <c r="W4" s="3805"/>
      <c r="X4" s="1352"/>
      <c r="Y4" s="3780" t="s">
        <v>1773</v>
      </c>
      <c r="Z4" s="3781"/>
      <c r="AA4" s="3775" t="s">
        <v>1769</v>
      </c>
      <c r="AB4" s="3776" t="s">
        <v>1770</v>
      </c>
      <c r="AC4" s="3775" t="s">
        <v>1771</v>
      </c>
    </row>
    <row r="5" spans="1:29" ht="15">
      <c r="A5" s="358"/>
      <c r="B5" s="359"/>
      <c r="C5" s="3786" t="s">
        <v>1671</v>
      </c>
      <c r="D5" s="3787"/>
      <c r="E5" s="3784" t="s">
        <v>1672</v>
      </c>
      <c r="F5" s="3785"/>
      <c r="G5" s="3786" t="s">
        <v>1673</v>
      </c>
      <c r="H5" s="3787"/>
      <c r="I5" s="3786" t="s">
        <v>1674</v>
      </c>
      <c r="J5" s="3787"/>
      <c r="K5" s="559"/>
      <c r="L5" s="2712"/>
      <c r="M5" s="2713"/>
      <c r="N5" s="2713"/>
      <c r="O5" s="2713"/>
      <c r="P5" s="3799"/>
      <c r="Q5" s="3800"/>
      <c r="R5" s="3782"/>
      <c r="S5" s="3783"/>
      <c r="T5" s="3782"/>
      <c r="U5" s="3783"/>
      <c r="V5" s="3805"/>
      <c r="W5" s="3805"/>
      <c r="X5" s="1352"/>
      <c r="Y5" s="3782"/>
      <c r="Z5" s="3783"/>
      <c r="AA5" s="3776"/>
      <c r="AB5" s="3776"/>
      <c r="AC5" s="3776"/>
    </row>
    <row r="6" spans="1:29" ht="15.75" thickBot="1">
      <c r="A6" s="360"/>
      <c r="B6" s="361"/>
      <c r="C6" s="3788" t="s">
        <v>1675</v>
      </c>
      <c r="D6" s="3789"/>
      <c r="E6" s="3790" t="s">
        <v>1675</v>
      </c>
      <c r="F6" s="3791"/>
      <c r="G6" s="3788" t="s">
        <v>1675</v>
      </c>
      <c r="H6" s="3789"/>
      <c r="I6" s="3788" t="s">
        <v>1675</v>
      </c>
      <c r="J6" s="3789"/>
      <c r="K6" s="559" t="s">
        <v>1676</v>
      </c>
      <c r="L6" s="2712"/>
      <c r="M6" s="2713"/>
      <c r="N6" s="2713"/>
      <c r="O6" s="2713"/>
      <c r="P6" s="3801"/>
      <c r="Q6" s="3802"/>
      <c r="R6" s="3782"/>
      <c r="S6" s="3783"/>
      <c r="T6" s="3803"/>
      <c r="U6" s="3804"/>
      <c r="V6" s="3805"/>
      <c r="W6" s="3805"/>
      <c r="X6" s="1352"/>
      <c r="Y6" s="3803"/>
      <c r="Z6" s="3804"/>
      <c r="AA6" s="3777"/>
      <c r="AB6" s="3777"/>
      <c r="AC6" s="3777"/>
    </row>
    <row r="7" spans="1:29" s="108" customFormat="1" ht="15.75" thickBot="1">
      <c r="A7" s="362" t="s">
        <v>1677</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8" t="s">
        <v>1678</v>
      </c>
      <c r="Q7" s="3806"/>
      <c r="R7" s="701" t="s">
        <v>14</v>
      </c>
      <c r="S7" s="702">
        <f t="shared" ref="S7:S14" si="0">F7</f>
        <v>0</v>
      </c>
      <c r="T7" s="701" t="s">
        <v>14</v>
      </c>
      <c r="U7" s="702">
        <f t="shared" ref="U7:U14" si="1">H7</f>
        <v>0</v>
      </c>
      <c r="V7" s="701" t="s">
        <v>14</v>
      </c>
      <c r="W7" s="702">
        <f t="shared" ref="W7:W14" si="2">J7</f>
        <v>0</v>
      </c>
      <c r="X7" s="703"/>
      <c r="Y7" s="3778" t="s">
        <v>1678</v>
      </c>
      <c r="Z7" s="377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8" t="s">
        <v>1681</v>
      </c>
      <c r="Q8" s="3779"/>
      <c r="R8" s="701" t="s">
        <v>14</v>
      </c>
      <c r="S8" s="702">
        <f t="shared" si="0"/>
        <v>100</v>
      </c>
      <c r="T8" s="701" t="s">
        <v>14</v>
      </c>
      <c r="U8" s="702">
        <f t="shared" si="1"/>
        <v>100</v>
      </c>
      <c r="V8" s="701" t="s">
        <v>14</v>
      </c>
      <c r="W8" s="702">
        <f t="shared" si="2"/>
        <v>100</v>
      </c>
      <c r="X8" s="703"/>
      <c r="Y8" s="3778" t="s">
        <v>1681</v>
      </c>
      <c r="Z8" s="377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0" t="s">
        <v>1684</v>
      </c>
      <c r="Q9" s="1340" t="str">
        <f t="shared" ref="Q9:Q14" si="6">B9</f>
        <v>用途</v>
      </c>
      <c r="R9" s="701" t="s">
        <v>14</v>
      </c>
      <c r="S9" s="702">
        <f t="shared" si="0"/>
        <v>100</v>
      </c>
      <c r="T9" s="701" t="s">
        <v>14</v>
      </c>
      <c r="U9" s="702">
        <f t="shared" si="1"/>
        <v>100</v>
      </c>
      <c r="V9" s="701" t="s">
        <v>14</v>
      </c>
      <c r="W9" s="702">
        <f t="shared" si="2"/>
        <v>100</v>
      </c>
      <c r="X9" s="703"/>
      <c r="Y9" s="3722"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0"/>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0"/>
      <c r="Q11" s="1340">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0"/>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0"/>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85.5">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2" t="s">
        <v>1689</v>
      </c>
      <c r="Q14" s="1349" t="str">
        <f t="shared" si="6"/>
        <v>交通便捷度</v>
      </c>
      <c r="R14" s="705" t="s">
        <v>14</v>
      </c>
      <c r="S14" s="706">
        <f t="shared" si="0"/>
        <v>100</v>
      </c>
      <c r="T14" s="705" t="s">
        <v>14</v>
      </c>
      <c r="U14" s="706">
        <f t="shared" si="1"/>
        <v>100</v>
      </c>
      <c r="V14" s="705" t="s">
        <v>14</v>
      </c>
      <c r="W14" s="706">
        <f t="shared" si="2"/>
        <v>100</v>
      </c>
      <c r="X14" s="1352"/>
      <c r="Y14" s="3812"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813"/>
      <c r="Q15" s="1349"/>
      <c r="R15" s="705"/>
      <c r="S15" s="706"/>
      <c r="T15" s="705"/>
      <c r="U15" s="706"/>
      <c r="V15" s="705"/>
      <c r="W15" s="706"/>
      <c r="X15" s="1352"/>
      <c r="Y15" s="3813"/>
      <c r="Z15" s="1353"/>
      <c r="AA15" s="1350">
        <v>1</v>
      </c>
      <c r="AB15" s="1350">
        <v>1</v>
      </c>
      <c r="AC15" s="1350">
        <v>1</v>
      </c>
    </row>
    <row r="16" spans="1:29" ht="42.75">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3"/>
      <c r="Q16" s="1349" t="str">
        <f>B16</f>
        <v>公共配套设施</v>
      </c>
      <c r="R16" s="705" t="s">
        <v>14</v>
      </c>
      <c r="S16" s="706">
        <f>F16</f>
        <v>100</v>
      </c>
      <c r="T16" s="705" t="s">
        <v>14</v>
      </c>
      <c r="U16" s="706">
        <f>H16</f>
        <v>100</v>
      </c>
      <c r="V16" s="705" t="s">
        <v>14</v>
      </c>
      <c r="W16" s="706">
        <f>J16</f>
        <v>100</v>
      </c>
      <c r="X16" s="1352"/>
      <c r="Y16" s="381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813"/>
      <c r="Q17" s="1349"/>
      <c r="R17" s="705"/>
      <c r="S17" s="706"/>
      <c r="T17" s="705"/>
      <c r="U17" s="706"/>
      <c r="V17" s="705"/>
      <c r="W17" s="706"/>
      <c r="X17" s="1352"/>
      <c r="Y17" s="3813"/>
      <c r="Z17" s="1353"/>
      <c r="AA17" s="1350">
        <v>1</v>
      </c>
      <c r="AB17" s="1350">
        <v>1</v>
      </c>
      <c r="AC17" s="1350">
        <v>1</v>
      </c>
    </row>
    <row r="18" spans="1:29" ht="28.5">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3"/>
      <c r="Q18" s="1349" t="str">
        <f>B18</f>
        <v>基础设施水平</v>
      </c>
      <c r="R18" s="705" t="s">
        <v>14</v>
      </c>
      <c r="S18" s="706">
        <f>F18</f>
        <v>100</v>
      </c>
      <c r="T18" s="705" t="s">
        <v>14</v>
      </c>
      <c r="U18" s="706">
        <f>H18</f>
        <v>100</v>
      </c>
      <c r="V18" s="705" t="s">
        <v>14</v>
      </c>
      <c r="W18" s="706">
        <f>J18</f>
        <v>100</v>
      </c>
      <c r="X18" s="1352"/>
      <c r="Y18" s="381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813"/>
      <c r="Q19" s="1349"/>
      <c r="R19" s="705"/>
      <c r="S19" s="706"/>
      <c r="T19" s="705"/>
      <c r="U19" s="706"/>
      <c r="V19" s="705"/>
      <c r="W19" s="706"/>
      <c r="X19" s="1352"/>
      <c r="Y19" s="3813"/>
      <c r="Z19" s="1353"/>
      <c r="AA19" s="1350">
        <v>1</v>
      </c>
      <c r="AB19" s="1350">
        <v>1</v>
      </c>
      <c r="AC19" s="1350">
        <v>1</v>
      </c>
    </row>
    <row r="20" spans="1:29" ht="57">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3"/>
      <c r="Q20" s="1349" t="str">
        <f>B20</f>
        <v>自然及人文环境</v>
      </c>
      <c r="R20" s="705" t="s">
        <v>14</v>
      </c>
      <c r="S20" s="706">
        <f>F20</f>
        <v>100</v>
      </c>
      <c r="T20" s="705" t="s">
        <v>14</v>
      </c>
      <c r="U20" s="706">
        <f>H20</f>
        <v>100</v>
      </c>
      <c r="V20" s="705" t="s">
        <v>14</v>
      </c>
      <c r="W20" s="706">
        <f>J20</f>
        <v>100</v>
      </c>
      <c r="X20" s="1352"/>
      <c r="Y20" s="381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813"/>
      <c r="Q21" s="1349"/>
      <c r="R21" s="705"/>
      <c r="S21" s="706"/>
      <c r="T21" s="705"/>
      <c r="U21" s="706"/>
      <c r="V21" s="705"/>
      <c r="W21" s="706"/>
      <c r="X21" s="1352"/>
      <c r="Y21" s="3813"/>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3"/>
      <c r="Q22" s="1349" t="str">
        <f>B22</f>
        <v>楼层</v>
      </c>
      <c r="R22" s="705" t="s">
        <v>14</v>
      </c>
      <c r="S22" s="706">
        <f>F22</f>
        <v>100</v>
      </c>
      <c r="T22" s="705" t="s">
        <v>14</v>
      </c>
      <c r="U22" s="706">
        <f>H22</f>
        <v>100</v>
      </c>
      <c r="V22" s="705" t="s">
        <v>14</v>
      </c>
      <c r="W22" s="706">
        <f>J22</f>
        <v>100</v>
      </c>
      <c r="X22" s="1352"/>
      <c r="Y22" s="381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3"/>
      <c r="Q23" s="1349">
        <f>B23</f>
        <v>111</v>
      </c>
      <c r="R23" s="705" t="s">
        <v>14</v>
      </c>
      <c r="S23" s="706">
        <f>F23</f>
        <v>100</v>
      </c>
      <c r="T23" s="705" t="s">
        <v>14</v>
      </c>
      <c r="U23" s="706">
        <f>H23</f>
        <v>100</v>
      </c>
      <c r="V23" s="705" t="s">
        <v>14</v>
      </c>
      <c r="W23" s="706">
        <f>J23</f>
        <v>100</v>
      </c>
      <c r="X23" s="1352"/>
      <c r="Y23" s="381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3"/>
      <c r="Q24" s="1349">
        <f t="shared" ref="Q24:Q36" si="11">B24</f>
        <v>111</v>
      </c>
      <c r="R24" s="705" t="s">
        <v>14</v>
      </c>
      <c r="S24" s="706">
        <f>F24</f>
        <v>100</v>
      </c>
      <c r="T24" s="705" t="s">
        <v>14</v>
      </c>
      <c r="U24" s="706">
        <f>H24</f>
        <v>100</v>
      </c>
      <c r="V24" s="705" t="s">
        <v>14</v>
      </c>
      <c r="W24" s="706">
        <f>J24</f>
        <v>100</v>
      </c>
      <c r="X24" s="1352"/>
      <c r="Y24" s="381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3"/>
      <c r="Q25" s="1340">
        <f t="shared" si="11"/>
        <v>111</v>
      </c>
      <c r="R25" s="701" t="s">
        <v>14</v>
      </c>
      <c r="S25" s="702">
        <f>F25</f>
        <v>100</v>
      </c>
      <c r="T25" s="701" t="s">
        <v>14</v>
      </c>
      <c r="U25" s="702">
        <f>H25</f>
        <v>100</v>
      </c>
      <c r="V25" s="701" t="s">
        <v>14</v>
      </c>
      <c r="W25" s="702">
        <f>J25</f>
        <v>100</v>
      </c>
      <c r="X25" s="703"/>
      <c r="Y25" s="3813"/>
      <c r="Z25" s="52">
        <f>Q25</f>
        <v>111</v>
      </c>
      <c r="AA25" s="1350">
        <f>D25/F25</f>
        <v>1</v>
      </c>
      <c r="AB25" s="1350">
        <f>D25/H25</f>
        <v>1</v>
      </c>
      <c r="AC25" s="1350">
        <f>D25/J25</f>
        <v>1</v>
      </c>
    </row>
    <row r="26" spans="1:29" ht="28.5">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6" t="s">
        <v>1694</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817"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7"/>
      <c r="Q27" s="707" t="str">
        <f t="shared" si="11"/>
        <v>项目停车位配比</v>
      </c>
      <c r="R27" s="708" t="s">
        <v>14</v>
      </c>
      <c r="S27" s="709">
        <f t="shared" si="12"/>
        <v>100</v>
      </c>
      <c r="T27" s="708" t="s">
        <v>14</v>
      </c>
      <c r="U27" s="709">
        <f t="shared" si="13"/>
        <v>100</v>
      </c>
      <c r="V27" s="708" t="s">
        <v>14</v>
      </c>
      <c r="W27" s="709">
        <f t="shared" si="14"/>
        <v>100</v>
      </c>
      <c r="X27" s="710"/>
      <c r="Y27" s="3817"/>
      <c r="Z27" s="711"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7"/>
      <c r="Q28" s="1349" t="str">
        <f t="shared" si="11"/>
        <v>公共部分装修</v>
      </c>
      <c r="R28" s="705" t="s">
        <v>14</v>
      </c>
      <c r="S28" s="706">
        <f t="shared" si="12"/>
        <v>100</v>
      </c>
      <c r="T28" s="705" t="s">
        <v>14</v>
      </c>
      <c r="U28" s="706">
        <f t="shared" si="13"/>
        <v>100</v>
      </c>
      <c r="V28" s="705" t="s">
        <v>14</v>
      </c>
      <c r="W28" s="706">
        <f t="shared" si="14"/>
        <v>100</v>
      </c>
      <c r="X28" s="1352"/>
      <c r="Y28" s="3817"/>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7"/>
      <c r="Q29" s="1349" t="str">
        <f t="shared" si="11"/>
        <v>成新率</v>
      </c>
      <c r="R29" s="705" t="s">
        <v>14</v>
      </c>
      <c r="S29" s="706" t="e">
        <f t="shared" si="12"/>
        <v>#N/A</v>
      </c>
      <c r="T29" s="705" t="s">
        <v>14</v>
      </c>
      <c r="U29" s="706" t="e">
        <f t="shared" si="13"/>
        <v>#N/A</v>
      </c>
      <c r="V29" s="705" t="s">
        <v>14</v>
      </c>
      <c r="W29" s="706" t="e">
        <f t="shared" si="14"/>
        <v>#N/A</v>
      </c>
      <c r="X29" s="1352"/>
      <c r="Y29" s="3817"/>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7"/>
      <c r="Q30" s="1349" t="str">
        <f t="shared" si="11"/>
        <v>物业等级</v>
      </c>
      <c r="R30" s="705" t="s">
        <v>14</v>
      </c>
      <c r="S30" s="706">
        <f t="shared" si="12"/>
        <v>100</v>
      </c>
      <c r="T30" s="705" t="s">
        <v>14</v>
      </c>
      <c r="U30" s="706">
        <f t="shared" si="13"/>
        <v>100</v>
      </c>
      <c r="V30" s="705" t="s">
        <v>14</v>
      </c>
      <c r="W30" s="706">
        <f t="shared" si="14"/>
        <v>100</v>
      </c>
      <c r="X30" s="1352"/>
      <c r="Y30" s="3817"/>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7"/>
      <c r="Q31" s="1340" t="str">
        <f t="shared" si="11"/>
        <v>停车位面积</v>
      </c>
      <c r="R31" s="701" t="s">
        <v>14</v>
      </c>
      <c r="S31" s="702" t="e">
        <f t="shared" si="12"/>
        <v>#N/A</v>
      </c>
      <c r="T31" s="701" t="s">
        <v>14</v>
      </c>
      <c r="U31" s="702" t="e">
        <f t="shared" si="13"/>
        <v>#N/A</v>
      </c>
      <c r="V31" s="701" t="s">
        <v>14</v>
      </c>
      <c r="W31" s="702" t="e">
        <f t="shared" si="14"/>
        <v>#N/A</v>
      </c>
      <c r="X31" s="703"/>
      <c r="Y31" s="381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7" t="s">
        <v>1694</v>
      </c>
      <c r="Q32" s="1349" t="str">
        <f t="shared" si="11"/>
        <v>车位类型</v>
      </c>
      <c r="R32" s="705" t="s">
        <v>14</v>
      </c>
      <c r="S32" s="706">
        <f t="shared" si="12"/>
        <v>100</v>
      </c>
      <c r="T32" s="705" t="s">
        <v>14</v>
      </c>
      <c r="U32" s="706">
        <f t="shared" si="13"/>
        <v>100</v>
      </c>
      <c r="V32" s="705" t="s">
        <v>14</v>
      </c>
      <c r="W32" s="706">
        <f t="shared" si="14"/>
        <v>100</v>
      </c>
      <c r="X32" s="1352"/>
      <c r="Y32" s="3817"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7"/>
      <c r="Q33" s="1349" t="str">
        <f t="shared" si="11"/>
        <v>是否直接入户</v>
      </c>
      <c r="R33" s="705" t="s">
        <v>14</v>
      </c>
      <c r="S33" s="706">
        <f t="shared" si="12"/>
        <v>100</v>
      </c>
      <c r="T33" s="705" t="s">
        <v>14</v>
      </c>
      <c r="U33" s="706">
        <f t="shared" si="13"/>
        <v>100</v>
      </c>
      <c r="V33" s="705" t="s">
        <v>14</v>
      </c>
      <c r="W33" s="706">
        <f t="shared" si="14"/>
        <v>100</v>
      </c>
      <c r="X33" s="1352"/>
      <c r="Y33" s="381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7"/>
      <c r="Q34" s="1349">
        <f t="shared" si="11"/>
        <v>111</v>
      </c>
      <c r="R34" s="705" t="s">
        <v>14</v>
      </c>
      <c r="S34" s="706">
        <f t="shared" si="12"/>
        <v>100</v>
      </c>
      <c r="T34" s="705" t="s">
        <v>14</v>
      </c>
      <c r="U34" s="706">
        <f t="shared" si="13"/>
        <v>100</v>
      </c>
      <c r="V34" s="705" t="s">
        <v>14</v>
      </c>
      <c r="W34" s="706">
        <f t="shared" si="14"/>
        <v>100</v>
      </c>
      <c r="X34" s="1352"/>
      <c r="Y34" s="381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7"/>
      <c r="Q35" s="707">
        <f t="shared" si="11"/>
        <v>111</v>
      </c>
      <c r="R35" s="708" t="s">
        <v>14</v>
      </c>
      <c r="S35" s="709">
        <f t="shared" si="12"/>
        <v>100</v>
      </c>
      <c r="T35" s="708" t="s">
        <v>14</v>
      </c>
      <c r="U35" s="709">
        <f t="shared" si="13"/>
        <v>100</v>
      </c>
      <c r="V35" s="708" t="s">
        <v>14</v>
      </c>
      <c r="W35" s="709">
        <f t="shared" si="14"/>
        <v>100</v>
      </c>
      <c r="X35" s="710"/>
      <c r="Y35" s="3817"/>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7"/>
      <c r="Q36" s="1349">
        <f t="shared" si="11"/>
        <v>111</v>
      </c>
      <c r="R36" s="705" t="s">
        <v>14</v>
      </c>
      <c r="S36" s="706">
        <f t="shared" si="12"/>
        <v>100</v>
      </c>
      <c r="T36" s="705" t="s">
        <v>14</v>
      </c>
      <c r="U36" s="706">
        <f t="shared" si="13"/>
        <v>100</v>
      </c>
      <c r="V36" s="705" t="s">
        <v>14</v>
      </c>
      <c r="W36" s="706">
        <f t="shared" si="14"/>
        <v>100</v>
      </c>
      <c r="X36" s="1352"/>
      <c r="Y36" s="3817"/>
      <c r="Z36" s="1353">
        <f t="shared" si="15"/>
        <v>111</v>
      </c>
      <c r="AA36" s="1350">
        <f t="shared" si="3"/>
        <v>1</v>
      </c>
      <c r="AB36" s="1350">
        <f t="shared" si="4"/>
        <v>1</v>
      </c>
      <c r="AC36" s="1350">
        <f t="shared" si="5"/>
        <v>1</v>
      </c>
    </row>
    <row r="37" spans="1:29" ht="15">
      <c r="A37" s="430" t="s">
        <v>1842</v>
      </c>
      <c r="B37" s="1970" t="s">
        <v>3355</v>
      </c>
      <c r="C37" s="1151" t="s">
        <v>0</v>
      </c>
      <c r="D37" s="1152"/>
      <c r="E37" s="1153"/>
      <c r="F37" s="1154"/>
      <c r="G37" s="1155"/>
      <c r="H37" s="1156"/>
      <c r="I37" s="1153"/>
      <c r="J37" s="1156"/>
      <c r="K37" s="568"/>
      <c r="L37" s="2721"/>
      <c r="M37" s="2722"/>
      <c r="N37" s="2713"/>
      <c r="O37" s="2722"/>
      <c r="P37" s="3810" t="str">
        <f>A37</f>
        <v>成交单价</v>
      </c>
      <c r="Q37" s="3810"/>
      <c r="R37" s="3811">
        <f>E37</f>
        <v>0</v>
      </c>
      <c r="S37" s="3811"/>
      <c r="T37" s="3811">
        <f>G37</f>
        <v>0</v>
      </c>
      <c r="U37" s="3811"/>
      <c r="V37" s="3811">
        <f>I37</f>
        <v>0</v>
      </c>
      <c r="W37" s="3811"/>
      <c r="X37" s="690"/>
      <c r="Y37" s="712"/>
      <c r="Z37" s="690"/>
      <c r="AA37" s="690"/>
      <c r="AB37" s="690"/>
      <c r="AC37" s="690"/>
    </row>
    <row r="38" spans="1:29" ht="15.75" thickBot="1">
      <c r="A38" s="437" t="s">
        <v>1843</v>
      </c>
      <c r="B38" s="438" t="str">
        <f>B37</f>
        <v>元/平方米</v>
      </c>
      <c r="C38" s="1157" t="e">
        <f>R39</f>
        <v>#DIV/0!</v>
      </c>
      <c r="D38" s="2314" t="s">
        <v>2135</v>
      </c>
      <c r="E38" s="1158" t="e">
        <f>R38</f>
        <v>#DIV/0!</v>
      </c>
      <c r="F38" s="2315"/>
      <c r="G38" s="1157" t="e">
        <f>T38</f>
        <v>#DIV/0!</v>
      </c>
      <c r="H38" s="2315"/>
      <c r="I38" s="1158" t="e">
        <f>V38</f>
        <v>#DIV/0!</v>
      </c>
      <c r="J38" s="2315"/>
      <c r="K38" s="2317">
        <f>F38+H38+J38</f>
        <v>0</v>
      </c>
      <c r="L38" s="2721"/>
      <c r="M38" s="2722"/>
      <c r="N38" s="2722"/>
      <c r="O38" s="2722"/>
      <c r="P38" s="3810" t="str">
        <f>A38</f>
        <v>比较价值（元/平方米）</v>
      </c>
      <c r="Q38" s="3810"/>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690"/>
      <c r="Y38" s="690"/>
      <c r="Z38" s="690"/>
      <c r="AA38" s="690"/>
      <c r="AB38" s="690"/>
      <c r="AC38" s="690"/>
    </row>
    <row r="39" spans="1:29" ht="15.75" thickBot="1">
      <c r="A39" s="441" t="s">
        <v>1844</v>
      </c>
      <c r="B39" s="442"/>
      <c r="C39" s="1160" t="e">
        <f>R39</f>
        <v>#DIV/0!</v>
      </c>
      <c r="D39" s="1160"/>
      <c r="E39" s="1160"/>
      <c r="F39" s="1160"/>
      <c r="G39" s="1160"/>
      <c r="H39" s="1160"/>
      <c r="I39" s="1160"/>
      <c r="J39" s="1160"/>
      <c r="K39" s="569"/>
      <c r="L39" s="2721"/>
      <c r="M39" s="2722"/>
      <c r="N39" s="2722"/>
      <c r="O39" s="2722"/>
      <c r="P39" s="3807" t="str">
        <f>A39</f>
        <v>估价对象XX用房的比较价值（楼面单价，元/平方米）</v>
      </c>
      <c r="Q39" s="3808"/>
      <c r="R39" s="3837" t="e">
        <f>IF(F1="售价",ROUND(IF(D38="简单平均",AVERAGE(R38:W38),R38*F38+T38*H38+V38*J38),0),ROUND(IF(D38="简单平均",AVERAGE(R38:V38),R38*F38+T38*H38+V38*J38),1))</f>
        <v>#DIV/0!</v>
      </c>
      <c r="S39" s="3837"/>
      <c r="T39" s="3837"/>
      <c r="U39" s="3837"/>
      <c r="V39" s="3837"/>
      <c r="W39" s="383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1848</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1" t="str">
        <f>YEAR(C7)&amp;"-"&amp;MONTH(C7)</f>
        <v>2023-1</v>
      </c>
      <c r="D48" s="1182">
        <f>EDATE(C48,-1)</f>
        <v>44896</v>
      </c>
      <c r="E48" s="1182">
        <f t="shared" ref="E48:O48" si="16">EDATE(D48,-1)</f>
        <v>44866</v>
      </c>
      <c r="F48" s="1182">
        <f t="shared" si="16"/>
        <v>44835</v>
      </c>
      <c r="G48" s="1182">
        <f t="shared" si="16"/>
        <v>44805</v>
      </c>
      <c r="H48" s="1182">
        <f t="shared" si="16"/>
        <v>44774</v>
      </c>
      <c r="I48" s="1182">
        <f t="shared" si="16"/>
        <v>44743</v>
      </c>
      <c r="J48" s="1182">
        <f t="shared" si="16"/>
        <v>44713</v>
      </c>
      <c r="K48" s="1182">
        <f t="shared" si="16"/>
        <v>44682</v>
      </c>
      <c r="L48" s="1182">
        <f t="shared" si="16"/>
        <v>44652</v>
      </c>
      <c r="M48" s="1182">
        <f t="shared" si="16"/>
        <v>44621</v>
      </c>
      <c r="N48" s="1182">
        <f t="shared" si="16"/>
        <v>44593</v>
      </c>
      <c r="O48" s="1182">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93" t="s">
        <v>1768</v>
      </c>
      <c r="D4" s="3794"/>
      <c r="E4" s="3795" t="s">
        <v>1769</v>
      </c>
      <c r="F4" s="3796"/>
      <c r="G4" s="3793" t="s">
        <v>1770</v>
      </c>
      <c r="H4" s="3794"/>
      <c r="I4" s="3793" t="s">
        <v>1771</v>
      </c>
      <c r="J4" s="3794"/>
      <c r="K4" s="559" t="s">
        <v>1772</v>
      </c>
      <c r="L4" s="2712"/>
      <c r="M4" s="2713"/>
      <c r="N4" s="2713"/>
      <c r="O4" s="2713"/>
      <c r="P4" s="3797" t="s">
        <v>1773</v>
      </c>
      <c r="Q4" s="3798"/>
      <c r="R4" s="3780" t="s">
        <v>1769</v>
      </c>
      <c r="S4" s="3781"/>
      <c r="T4" s="3780" t="s">
        <v>1770</v>
      </c>
      <c r="U4" s="3781"/>
      <c r="V4" s="3805" t="s">
        <v>1771</v>
      </c>
      <c r="W4" s="3805"/>
      <c r="X4" s="1352"/>
      <c r="Y4" s="3780" t="s">
        <v>1773</v>
      </c>
      <c r="Z4" s="3781"/>
      <c r="AA4" s="3775" t="s">
        <v>1769</v>
      </c>
      <c r="AB4" s="3776" t="s">
        <v>1770</v>
      </c>
      <c r="AC4" s="3775" t="s">
        <v>1771</v>
      </c>
    </row>
    <row r="5" spans="1:29" ht="15">
      <c r="A5" s="358"/>
      <c r="B5" s="359"/>
      <c r="C5" s="3786" t="s">
        <v>1671</v>
      </c>
      <c r="D5" s="3787"/>
      <c r="E5" s="3784" t="s">
        <v>1672</v>
      </c>
      <c r="F5" s="3785"/>
      <c r="G5" s="3786" t="s">
        <v>1673</v>
      </c>
      <c r="H5" s="3787"/>
      <c r="I5" s="3786" t="s">
        <v>1674</v>
      </c>
      <c r="J5" s="3787"/>
      <c r="K5" s="559"/>
      <c r="L5" s="2712"/>
      <c r="M5" s="2713"/>
      <c r="N5" s="2713"/>
      <c r="O5" s="2713"/>
      <c r="P5" s="3799"/>
      <c r="Q5" s="3800"/>
      <c r="R5" s="3782"/>
      <c r="S5" s="3783"/>
      <c r="T5" s="3782"/>
      <c r="U5" s="3783"/>
      <c r="V5" s="3805"/>
      <c r="W5" s="3805"/>
      <c r="X5" s="1352"/>
      <c r="Y5" s="3782"/>
      <c r="Z5" s="3783"/>
      <c r="AA5" s="3776"/>
      <c r="AB5" s="3776"/>
      <c r="AC5" s="3776"/>
    </row>
    <row r="6" spans="1:29" ht="15.75" thickBot="1">
      <c r="A6" s="360"/>
      <c r="B6" s="361"/>
      <c r="C6" s="3788" t="s">
        <v>1675</v>
      </c>
      <c r="D6" s="3789"/>
      <c r="E6" s="3790" t="s">
        <v>1675</v>
      </c>
      <c r="F6" s="3791"/>
      <c r="G6" s="3788" t="s">
        <v>1675</v>
      </c>
      <c r="H6" s="3789"/>
      <c r="I6" s="3788" t="s">
        <v>1675</v>
      </c>
      <c r="J6" s="3789"/>
      <c r="K6" s="559" t="s">
        <v>1676</v>
      </c>
      <c r="L6" s="2712"/>
      <c r="M6" s="2713"/>
      <c r="N6" s="2713"/>
      <c r="O6" s="2713"/>
      <c r="P6" s="3801"/>
      <c r="Q6" s="3802"/>
      <c r="R6" s="3782"/>
      <c r="S6" s="3783"/>
      <c r="T6" s="3803"/>
      <c r="U6" s="3804"/>
      <c r="V6" s="3805"/>
      <c r="W6" s="3805"/>
      <c r="X6" s="1352"/>
      <c r="Y6" s="3803"/>
      <c r="Z6" s="3804"/>
      <c r="AA6" s="3777"/>
      <c r="AB6" s="3777"/>
      <c r="AC6" s="3777"/>
    </row>
    <row r="7" spans="1:29" s="108" customFormat="1" ht="15.75" thickBot="1">
      <c r="A7" s="362" t="s">
        <v>1677</v>
      </c>
      <c r="B7" s="363"/>
      <c r="C7" s="364">
        <f>'数据-取费表'!B2</f>
        <v>44930</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78" t="s">
        <v>1678</v>
      </c>
      <c r="Q7" s="3806"/>
      <c r="R7" s="701" t="s">
        <v>14</v>
      </c>
      <c r="S7" s="702">
        <f t="shared" ref="S7:S14" si="0">F7</f>
        <v>0</v>
      </c>
      <c r="T7" s="701" t="s">
        <v>14</v>
      </c>
      <c r="U7" s="702">
        <f t="shared" ref="U7:U14" si="1">H7</f>
        <v>0</v>
      </c>
      <c r="V7" s="701" t="s">
        <v>14</v>
      </c>
      <c r="W7" s="702">
        <f t="shared" ref="W7:W14" si="2">J7</f>
        <v>0</v>
      </c>
      <c r="X7" s="703"/>
      <c r="Y7" s="3778" t="s">
        <v>1678</v>
      </c>
      <c r="Z7" s="377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8" t="s">
        <v>1681</v>
      </c>
      <c r="Q8" s="3779"/>
      <c r="R8" s="701" t="s">
        <v>14</v>
      </c>
      <c r="S8" s="702">
        <f t="shared" si="0"/>
        <v>100</v>
      </c>
      <c r="T8" s="701" t="s">
        <v>14</v>
      </c>
      <c r="U8" s="702">
        <f t="shared" si="1"/>
        <v>100</v>
      </c>
      <c r="V8" s="701" t="s">
        <v>14</v>
      </c>
      <c r="W8" s="702">
        <f t="shared" si="2"/>
        <v>100</v>
      </c>
      <c r="X8" s="703"/>
      <c r="Y8" s="3778" t="s">
        <v>1681</v>
      </c>
      <c r="Z8" s="377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0" t="s">
        <v>1684</v>
      </c>
      <c r="Q9" s="1340" t="str">
        <f t="shared" ref="Q9:Q14" si="6">B9</f>
        <v>用途</v>
      </c>
      <c r="R9" s="701" t="s">
        <v>14</v>
      </c>
      <c r="S9" s="702">
        <f t="shared" si="0"/>
        <v>100</v>
      </c>
      <c r="T9" s="701" t="s">
        <v>14</v>
      </c>
      <c r="U9" s="702">
        <f t="shared" si="1"/>
        <v>100</v>
      </c>
      <c r="V9" s="701" t="s">
        <v>14</v>
      </c>
      <c r="W9" s="702">
        <f t="shared" si="2"/>
        <v>100</v>
      </c>
      <c r="X9" s="703"/>
      <c r="Y9" s="3722"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0"/>
      <c r="Q10" s="1340"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0"/>
      <c r="Q11" s="1340">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0"/>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810"/>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85.5">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2" t="s">
        <v>1689</v>
      </c>
      <c r="Q14" s="1349" t="str">
        <f t="shared" si="6"/>
        <v>交通便捷度</v>
      </c>
      <c r="R14" s="705" t="s">
        <v>14</v>
      </c>
      <c r="S14" s="706">
        <f t="shared" si="0"/>
        <v>100</v>
      </c>
      <c r="T14" s="705" t="s">
        <v>14</v>
      </c>
      <c r="U14" s="706">
        <f t="shared" si="1"/>
        <v>100</v>
      </c>
      <c r="V14" s="705" t="s">
        <v>14</v>
      </c>
      <c r="W14" s="706">
        <f t="shared" si="2"/>
        <v>100</v>
      </c>
      <c r="X14" s="1352"/>
      <c r="Y14" s="3812"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813"/>
      <c r="Q15" s="1349"/>
      <c r="R15" s="705"/>
      <c r="S15" s="706"/>
      <c r="T15" s="705"/>
      <c r="U15" s="706"/>
      <c r="V15" s="705"/>
      <c r="W15" s="706"/>
      <c r="X15" s="1352"/>
      <c r="Y15" s="3813"/>
      <c r="Z15" s="1353"/>
      <c r="AA15" s="1350">
        <v>1</v>
      </c>
      <c r="AB15" s="1350">
        <v>1</v>
      </c>
      <c r="AC15" s="1350">
        <v>1</v>
      </c>
    </row>
    <row r="16" spans="1:29" ht="42.75">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3"/>
      <c r="Q16" s="1349" t="str">
        <f>B16</f>
        <v>公共配套设施</v>
      </c>
      <c r="R16" s="705" t="s">
        <v>14</v>
      </c>
      <c r="S16" s="706">
        <f>F16</f>
        <v>100</v>
      </c>
      <c r="T16" s="705" t="s">
        <v>14</v>
      </c>
      <c r="U16" s="706">
        <f>H16</f>
        <v>100</v>
      </c>
      <c r="V16" s="705" t="s">
        <v>14</v>
      </c>
      <c r="W16" s="706">
        <f>J16</f>
        <v>100</v>
      </c>
      <c r="X16" s="1352"/>
      <c r="Y16" s="381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813"/>
      <c r="Q17" s="1349"/>
      <c r="R17" s="705"/>
      <c r="S17" s="706"/>
      <c r="T17" s="705"/>
      <c r="U17" s="706"/>
      <c r="V17" s="705"/>
      <c r="W17" s="706"/>
      <c r="X17" s="1352"/>
      <c r="Y17" s="3813"/>
      <c r="Z17" s="1353"/>
      <c r="AA17" s="1350">
        <v>1</v>
      </c>
      <c r="AB17" s="1350">
        <v>1</v>
      </c>
      <c r="AC17" s="1350">
        <v>1</v>
      </c>
    </row>
    <row r="18" spans="1:29" ht="28.5">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3"/>
      <c r="Q18" s="1349" t="str">
        <f>B18</f>
        <v>基础设施水平</v>
      </c>
      <c r="R18" s="705" t="s">
        <v>14</v>
      </c>
      <c r="S18" s="706">
        <f>F18</f>
        <v>100</v>
      </c>
      <c r="T18" s="705" t="s">
        <v>14</v>
      </c>
      <c r="U18" s="706">
        <f>H18</f>
        <v>100</v>
      </c>
      <c r="V18" s="705" t="s">
        <v>14</v>
      </c>
      <c r="W18" s="706">
        <f>J18</f>
        <v>100</v>
      </c>
      <c r="X18" s="1352"/>
      <c r="Y18" s="381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813"/>
      <c r="Q19" s="1349"/>
      <c r="R19" s="705"/>
      <c r="S19" s="706"/>
      <c r="T19" s="705"/>
      <c r="U19" s="706"/>
      <c r="V19" s="705"/>
      <c r="W19" s="706"/>
      <c r="X19" s="1352"/>
      <c r="Y19" s="3813"/>
      <c r="Z19" s="1353"/>
      <c r="AA19" s="1350">
        <v>1</v>
      </c>
      <c r="AB19" s="1350">
        <v>1</v>
      </c>
      <c r="AC19" s="1350">
        <v>1</v>
      </c>
    </row>
    <row r="20" spans="1:29" ht="57">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3"/>
      <c r="Q20" s="1349" t="str">
        <f>B20</f>
        <v>自然及人文环境</v>
      </c>
      <c r="R20" s="705" t="s">
        <v>14</v>
      </c>
      <c r="S20" s="706">
        <f>F20</f>
        <v>100</v>
      </c>
      <c r="T20" s="705" t="s">
        <v>14</v>
      </c>
      <c r="U20" s="706">
        <f>H20</f>
        <v>100</v>
      </c>
      <c r="V20" s="705" t="s">
        <v>14</v>
      </c>
      <c r="W20" s="706">
        <f>J20</f>
        <v>100</v>
      </c>
      <c r="X20" s="1352"/>
      <c r="Y20" s="381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813"/>
      <c r="Q21" s="1349"/>
      <c r="R21" s="705"/>
      <c r="S21" s="706"/>
      <c r="T21" s="705"/>
      <c r="U21" s="706"/>
      <c r="V21" s="705"/>
      <c r="W21" s="706"/>
      <c r="X21" s="1352"/>
      <c r="Y21" s="3813"/>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3"/>
      <c r="Q22" s="1349" t="str">
        <f>B22</f>
        <v>楼层</v>
      </c>
      <c r="R22" s="705" t="s">
        <v>14</v>
      </c>
      <c r="S22" s="706">
        <f>F22</f>
        <v>100</v>
      </c>
      <c r="T22" s="705" t="s">
        <v>14</v>
      </c>
      <c r="U22" s="706">
        <f>H22</f>
        <v>100</v>
      </c>
      <c r="V22" s="705" t="s">
        <v>14</v>
      </c>
      <c r="W22" s="706">
        <f>J22</f>
        <v>100</v>
      </c>
      <c r="X22" s="1352"/>
      <c r="Y22" s="381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3"/>
      <c r="Q23" s="1349">
        <f>B23</f>
        <v>111</v>
      </c>
      <c r="R23" s="705" t="s">
        <v>14</v>
      </c>
      <c r="S23" s="706">
        <f>F23</f>
        <v>100</v>
      </c>
      <c r="T23" s="705" t="s">
        <v>14</v>
      </c>
      <c r="U23" s="706">
        <f>H23</f>
        <v>100</v>
      </c>
      <c r="V23" s="705" t="s">
        <v>14</v>
      </c>
      <c r="W23" s="706">
        <f>J23</f>
        <v>100</v>
      </c>
      <c r="X23" s="1352"/>
      <c r="Y23" s="381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3"/>
      <c r="Q24" s="1349">
        <f t="shared" ref="Q24:Q34" si="11">B24</f>
        <v>111</v>
      </c>
      <c r="R24" s="705" t="s">
        <v>14</v>
      </c>
      <c r="S24" s="706">
        <f>F24</f>
        <v>100</v>
      </c>
      <c r="T24" s="705" t="s">
        <v>14</v>
      </c>
      <c r="U24" s="706">
        <f>H24</f>
        <v>100</v>
      </c>
      <c r="V24" s="705" t="s">
        <v>14</v>
      </c>
      <c r="W24" s="706">
        <f>J24</f>
        <v>100</v>
      </c>
      <c r="X24" s="1352"/>
      <c r="Y24" s="381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813"/>
      <c r="Q25" s="1340">
        <f t="shared" si="11"/>
        <v>111</v>
      </c>
      <c r="R25" s="701" t="s">
        <v>14</v>
      </c>
      <c r="S25" s="702">
        <f>F25</f>
        <v>100</v>
      </c>
      <c r="T25" s="701" t="s">
        <v>14</v>
      </c>
      <c r="U25" s="702">
        <f>H25</f>
        <v>100</v>
      </c>
      <c r="V25" s="701" t="s">
        <v>14</v>
      </c>
      <c r="W25" s="702">
        <f>J25</f>
        <v>100</v>
      </c>
      <c r="X25" s="703"/>
      <c r="Y25" s="3813"/>
      <c r="Z25" s="52">
        <f>Q25</f>
        <v>111</v>
      </c>
      <c r="AA25" s="1350">
        <f>D25/F25</f>
        <v>1</v>
      </c>
      <c r="AB25" s="1350">
        <f>D25/H25</f>
        <v>1</v>
      </c>
      <c r="AC25" s="1350">
        <f>D25/J25</f>
        <v>1</v>
      </c>
    </row>
    <row r="26" spans="1:29" ht="28.5">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836" t="s">
        <v>1694</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817"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7"/>
      <c r="Q27" s="707" t="str">
        <f t="shared" si="11"/>
        <v>成新率</v>
      </c>
      <c r="R27" s="708" t="s">
        <v>14</v>
      </c>
      <c r="S27" s="709" t="e">
        <f t="shared" si="12"/>
        <v>#N/A</v>
      </c>
      <c r="T27" s="708" t="s">
        <v>14</v>
      </c>
      <c r="U27" s="709" t="e">
        <f t="shared" si="13"/>
        <v>#N/A</v>
      </c>
      <c r="V27" s="708" t="s">
        <v>14</v>
      </c>
      <c r="W27" s="709" t="e">
        <f t="shared" si="14"/>
        <v>#N/A</v>
      </c>
      <c r="X27" s="710"/>
      <c r="Y27" s="3817"/>
      <c r="Z27" s="711"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7"/>
      <c r="Q28" s="1349" t="str">
        <f t="shared" si="11"/>
        <v>物业等级</v>
      </c>
      <c r="R28" s="705" t="s">
        <v>14</v>
      </c>
      <c r="S28" s="706">
        <f t="shared" si="12"/>
        <v>100</v>
      </c>
      <c r="T28" s="705" t="s">
        <v>14</v>
      </c>
      <c r="U28" s="706">
        <f t="shared" si="13"/>
        <v>100</v>
      </c>
      <c r="V28" s="705" t="s">
        <v>14</v>
      </c>
      <c r="W28" s="706">
        <f t="shared" si="14"/>
        <v>100</v>
      </c>
      <c r="X28" s="1352"/>
      <c r="Y28" s="3817"/>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7"/>
      <c r="Q29" s="1349" t="str">
        <f t="shared" si="11"/>
        <v>有无电梯</v>
      </c>
      <c r="R29" s="705" t="s">
        <v>14</v>
      </c>
      <c r="S29" s="706">
        <f t="shared" si="12"/>
        <v>100</v>
      </c>
      <c r="T29" s="705" t="s">
        <v>14</v>
      </c>
      <c r="U29" s="706">
        <f t="shared" si="13"/>
        <v>100</v>
      </c>
      <c r="V29" s="705" t="s">
        <v>14</v>
      </c>
      <c r="W29" s="706">
        <f t="shared" si="14"/>
        <v>100</v>
      </c>
      <c r="X29" s="1352"/>
      <c r="Y29" s="3817"/>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7"/>
      <c r="Q30" s="1349" t="str">
        <f t="shared" si="11"/>
        <v>建筑面积</v>
      </c>
      <c r="R30" s="705" t="s">
        <v>14</v>
      </c>
      <c r="S30" s="706" t="e">
        <f t="shared" si="12"/>
        <v>#N/A</v>
      </c>
      <c r="T30" s="705" t="s">
        <v>14</v>
      </c>
      <c r="U30" s="706" t="e">
        <f t="shared" si="13"/>
        <v>#N/A</v>
      </c>
      <c r="V30" s="705" t="s">
        <v>14</v>
      </c>
      <c r="W30" s="706" t="e">
        <f t="shared" si="14"/>
        <v>#N/A</v>
      </c>
      <c r="X30" s="1352"/>
      <c r="Y30" s="3817"/>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7"/>
      <c r="Q31" s="1340" t="str">
        <f t="shared" si="11"/>
        <v>是否封闭</v>
      </c>
      <c r="R31" s="701" t="s">
        <v>14</v>
      </c>
      <c r="S31" s="702">
        <f t="shared" si="12"/>
        <v>100</v>
      </c>
      <c r="T31" s="701" t="s">
        <v>14</v>
      </c>
      <c r="U31" s="702">
        <f t="shared" si="13"/>
        <v>100</v>
      </c>
      <c r="V31" s="701" t="s">
        <v>14</v>
      </c>
      <c r="W31" s="702">
        <f t="shared" si="14"/>
        <v>100</v>
      </c>
      <c r="X31" s="703"/>
      <c r="Y31" s="3817"/>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7" t="s">
        <v>1694</v>
      </c>
      <c r="Q32" s="1349">
        <f t="shared" si="11"/>
        <v>111</v>
      </c>
      <c r="R32" s="705" t="s">
        <v>14</v>
      </c>
      <c r="S32" s="706">
        <f t="shared" si="12"/>
        <v>100</v>
      </c>
      <c r="T32" s="705" t="s">
        <v>14</v>
      </c>
      <c r="U32" s="706">
        <f t="shared" si="13"/>
        <v>100</v>
      </c>
      <c r="V32" s="705" t="s">
        <v>14</v>
      </c>
      <c r="W32" s="706">
        <f t="shared" si="14"/>
        <v>100</v>
      </c>
      <c r="X32" s="1352"/>
      <c r="Y32" s="3817"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7"/>
      <c r="Q33" s="1349">
        <f t="shared" si="11"/>
        <v>111</v>
      </c>
      <c r="R33" s="705" t="s">
        <v>14</v>
      </c>
      <c r="S33" s="706">
        <f t="shared" si="12"/>
        <v>100</v>
      </c>
      <c r="T33" s="705" t="s">
        <v>14</v>
      </c>
      <c r="U33" s="706">
        <f t="shared" si="13"/>
        <v>100</v>
      </c>
      <c r="V33" s="705" t="s">
        <v>14</v>
      </c>
      <c r="W33" s="706">
        <f t="shared" si="14"/>
        <v>100</v>
      </c>
      <c r="X33" s="1352"/>
      <c r="Y33" s="381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817"/>
      <c r="Q34" s="1349">
        <f t="shared" si="11"/>
        <v>111</v>
      </c>
      <c r="R34" s="705" t="s">
        <v>14</v>
      </c>
      <c r="S34" s="706">
        <f t="shared" si="12"/>
        <v>100</v>
      </c>
      <c r="T34" s="705" t="s">
        <v>14</v>
      </c>
      <c r="U34" s="706">
        <f t="shared" si="13"/>
        <v>100</v>
      </c>
      <c r="V34" s="705" t="s">
        <v>14</v>
      </c>
      <c r="W34" s="706">
        <f t="shared" si="14"/>
        <v>100</v>
      </c>
      <c r="X34" s="1352"/>
      <c r="Y34" s="3817"/>
      <c r="Z34" s="1353">
        <f t="shared" si="15"/>
        <v>111</v>
      </c>
      <c r="AA34" s="1350">
        <f t="shared" si="3"/>
        <v>1</v>
      </c>
      <c r="AB34" s="1350">
        <f t="shared" si="4"/>
        <v>1</v>
      </c>
      <c r="AC34" s="1350">
        <f t="shared" si="5"/>
        <v>1</v>
      </c>
    </row>
    <row r="35" spans="1:30" ht="15">
      <c r="A35" s="430" t="s">
        <v>1706</v>
      </c>
      <c r="B35" s="431"/>
      <c r="C35" s="1151" t="s">
        <v>0</v>
      </c>
      <c r="D35" s="1152"/>
      <c r="E35" s="1153"/>
      <c r="F35" s="1154"/>
      <c r="G35" s="1155"/>
      <c r="H35" s="1156"/>
      <c r="I35" s="1153"/>
      <c r="J35" s="1156"/>
      <c r="K35" s="714"/>
      <c r="L35" s="2721"/>
      <c r="M35" s="2722"/>
      <c r="N35" s="2713"/>
      <c r="O35" s="2722"/>
      <c r="P35" s="3810" t="str">
        <f>A35</f>
        <v>成交单价（元/平方米）</v>
      </c>
      <c r="Q35" s="3810"/>
      <c r="R35" s="3811">
        <f>E35</f>
        <v>0</v>
      </c>
      <c r="S35" s="3811"/>
      <c r="T35" s="3811">
        <f>G35</f>
        <v>0</v>
      </c>
      <c r="U35" s="3811"/>
      <c r="V35" s="3811">
        <f>I35</f>
        <v>0</v>
      </c>
      <c r="W35" s="3811"/>
      <c r="X35" s="690"/>
      <c r="Y35" s="712"/>
      <c r="Z35" s="690"/>
      <c r="AA35" s="690"/>
      <c r="AB35" s="690"/>
      <c r="AC35" s="690"/>
    </row>
    <row r="36" spans="1:30" ht="15.75" thickBot="1">
      <c r="A36" s="437" t="s">
        <v>1791</v>
      </c>
      <c r="B36" s="438"/>
      <c r="C36" s="1157" t="e">
        <f>R37</f>
        <v>#DIV/0!</v>
      </c>
      <c r="D36" s="2314" t="s">
        <v>2135</v>
      </c>
      <c r="E36" s="1158" t="e">
        <f>R36</f>
        <v>#DIV/0!</v>
      </c>
      <c r="F36" s="2315"/>
      <c r="G36" s="1157" t="e">
        <f>T36</f>
        <v>#DIV/0!</v>
      </c>
      <c r="H36" s="2315"/>
      <c r="I36" s="1158" t="e">
        <f>V36</f>
        <v>#DIV/0!</v>
      </c>
      <c r="J36" s="2315"/>
      <c r="K36" s="2317">
        <f>F36+H36+J36</f>
        <v>0</v>
      </c>
      <c r="L36" s="2721"/>
      <c r="M36" s="2722"/>
      <c r="N36" s="2713"/>
      <c r="O36" s="2722"/>
      <c r="P36" s="3810" t="str">
        <f>A36</f>
        <v>比较价值（元/平方米）</v>
      </c>
      <c r="Q36" s="3810"/>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690"/>
      <c r="Y36" s="690"/>
      <c r="Z36" s="690"/>
      <c r="AA36" s="690"/>
      <c r="AB36" s="690"/>
      <c r="AC36" s="690"/>
    </row>
    <row r="37" spans="1:30" ht="15.75" thickBot="1">
      <c r="A37" s="441" t="s">
        <v>1792</v>
      </c>
      <c r="B37" s="442"/>
      <c r="C37" s="1160" t="e">
        <f>R37</f>
        <v>#DIV/0!</v>
      </c>
      <c r="D37" s="1160"/>
      <c r="E37" s="1160"/>
      <c r="F37" s="1160"/>
      <c r="G37" s="1160"/>
      <c r="H37" s="1160"/>
      <c r="I37" s="1160"/>
      <c r="J37" s="1160"/>
      <c r="K37" s="715"/>
      <c r="L37" s="2721"/>
      <c r="M37" s="2722"/>
      <c r="N37" s="2722"/>
      <c r="O37" s="2722"/>
      <c r="P37" s="3807" t="str">
        <f>A37</f>
        <v>估价对象XX用房的比较价值（楼面单价，元/平方米）</v>
      </c>
      <c r="Q37" s="3808"/>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1" t="str">
        <f>YEAR(C7)&amp;"-"&amp;MONTH(C7)</f>
        <v>2023-1</v>
      </c>
      <c r="D46" s="1182">
        <f>EDATE(C46,-1)</f>
        <v>44896</v>
      </c>
      <c r="E46" s="1182">
        <f t="shared" ref="E46:O46" si="16">EDATE(D46,-1)</f>
        <v>44866</v>
      </c>
      <c r="F46" s="1182">
        <f t="shared" si="16"/>
        <v>44835</v>
      </c>
      <c r="G46" s="1182">
        <f t="shared" si="16"/>
        <v>44805</v>
      </c>
      <c r="H46" s="1182">
        <f t="shared" si="16"/>
        <v>44774</v>
      </c>
      <c r="I46" s="1182">
        <f t="shared" si="16"/>
        <v>44743</v>
      </c>
      <c r="J46" s="1182">
        <f t="shared" si="16"/>
        <v>44713</v>
      </c>
      <c r="K46" s="1182">
        <f t="shared" si="16"/>
        <v>44682</v>
      </c>
      <c r="L46" s="1182">
        <f t="shared" si="16"/>
        <v>44652</v>
      </c>
      <c r="M46" s="1182">
        <f t="shared" si="16"/>
        <v>44621</v>
      </c>
      <c r="N46" s="1182">
        <f t="shared" si="16"/>
        <v>44593</v>
      </c>
      <c r="O46" s="1182">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5">
      <c r="A4" s="355" t="s">
        <v>1767</v>
      </c>
      <c r="B4" s="356"/>
      <c r="C4" s="3793" t="s">
        <v>1768</v>
      </c>
      <c r="D4" s="3794"/>
      <c r="E4" s="3795" t="s">
        <v>1769</v>
      </c>
      <c r="F4" s="3796"/>
      <c r="G4" s="3793" t="s">
        <v>1770</v>
      </c>
      <c r="H4" s="3794"/>
      <c r="I4" s="3793" t="s">
        <v>1771</v>
      </c>
      <c r="J4" s="3794"/>
      <c r="K4" s="559" t="s">
        <v>1772</v>
      </c>
      <c r="L4" s="2712"/>
      <c r="M4" s="2713"/>
      <c r="N4" s="2713"/>
      <c r="O4" s="2713"/>
      <c r="P4" s="3797" t="s">
        <v>1773</v>
      </c>
      <c r="Q4" s="3798"/>
      <c r="R4" s="3780" t="s">
        <v>1769</v>
      </c>
      <c r="S4" s="3781"/>
      <c r="T4" s="3780" t="s">
        <v>1770</v>
      </c>
      <c r="U4" s="3781"/>
      <c r="V4" s="3805" t="s">
        <v>1771</v>
      </c>
      <c r="W4" s="3805"/>
      <c r="X4" s="1352"/>
      <c r="Y4" s="3780" t="s">
        <v>1773</v>
      </c>
      <c r="Z4" s="3781"/>
      <c r="AA4" s="3775" t="s">
        <v>1769</v>
      </c>
      <c r="AB4" s="3776" t="s">
        <v>1770</v>
      </c>
      <c r="AC4" s="3775" t="s">
        <v>1771</v>
      </c>
    </row>
    <row r="5" spans="1:30" ht="15">
      <c r="A5" s="358"/>
      <c r="B5" s="359"/>
      <c r="C5" s="3786" t="s">
        <v>1671</v>
      </c>
      <c r="D5" s="3787"/>
      <c r="E5" s="3784" t="s">
        <v>1672</v>
      </c>
      <c r="F5" s="3785"/>
      <c r="G5" s="3786" t="s">
        <v>1673</v>
      </c>
      <c r="H5" s="3787"/>
      <c r="I5" s="3786" t="s">
        <v>1674</v>
      </c>
      <c r="J5" s="3787"/>
      <c r="K5" s="559"/>
      <c r="L5" s="2712"/>
      <c r="M5" s="2713"/>
      <c r="N5" s="2713"/>
      <c r="O5" s="2713"/>
      <c r="P5" s="3799"/>
      <c r="Q5" s="3800"/>
      <c r="R5" s="3782"/>
      <c r="S5" s="3783"/>
      <c r="T5" s="3782"/>
      <c r="U5" s="3783"/>
      <c r="V5" s="3805"/>
      <c r="W5" s="3805"/>
      <c r="X5" s="1352"/>
      <c r="Y5" s="3782"/>
      <c r="Z5" s="3783"/>
      <c r="AA5" s="3776"/>
      <c r="AB5" s="3776"/>
      <c r="AC5" s="3776"/>
    </row>
    <row r="6" spans="1:30" ht="15.75" thickBot="1">
      <c r="A6" s="360"/>
      <c r="B6" s="361"/>
      <c r="C6" s="3788" t="s">
        <v>1675</v>
      </c>
      <c r="D6" s="3789"/>
      <c r="E6" s="3790" t="s">
        <v>1675</v>
      </c>
      <c r="F6" s="3791"/>
      <c r="G6" s="3788" t="s">
        <v>1675</v>
      </c>
      <c r="H6" s="3789"/>
      <c r="I6" s="3788" t="s">
        <v>1675</v>
      </c>
      <c r="J6" s="3789"/>
      <c r="K6" s="559" t="s">
        <v>1676</v>
      </c>
      <c r="L6" s="2712"/>
      <c r="M6" s="2713"/>
      <c r="N6" s="2713"/>
      <c r="O6" s="2713"/>
      <c r="P6" s="3801"/>
      <c r="Q6" s="3802"/>
      <c r="R6" s="3782"/>
      <c r="S6" s="3783"/>
      <c r="T6" s="3803"/>
      <c r="U6" s="3804"/>
      <c r="V6" s="3805"/>
      <c r="W6" s="3805"/>
      <c r="X6" s="1352"/>
      <c r="Y6" s="3803"/>
      <c r="Z6" s="3804"/>
      <c r="AA6" s="3777"/>
      <c r="AB6" s="3777"/>
      <c r="AC6" s="3777"/>
    </row>
    <row r="7" spans="1:30" s="108" customFormat="1" ht="15.75" thickBot="1">
      <c r="A7" s="362" t="s">
        <v>1677</v>
      </c>
      <c r="B7" s="363"/>
      <c r="C7" s="364">
        <f>'数据-取费表'!B2</f>
        <v>44930</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78" t="s">
        <v>1678</v>
      </c>
      <c r="Q7" s="3806"/>
      <c r="R7" s="701" t="s">
        <v>14</v>
      </c>
      <c r="S7" s="702">
        <f t="shared" ref="S7:S15" si="0">F7</f>
        <v>0</v>
      </c>
      <c r="T7" s="701" t="s">
        <v>14</v>
      </c>
      <c r="U7" s="702">
        <f t="shared" ref="U7:U15" si="1">H7</f>
        <v>0</v>
      </c>
      <c r="V7" s="701" t="s">
        <v>14</v>
      </c>
      <c r="W7" s="702">
        <f t="shared" ref="W7:W15" si="2">J7</f>
        <v>0</v>
      </c>
      <c r="X7" s="703"/>
      <c r="Y7" s="3778" t="s">
        <v>1678</v>
      </c>
      <c r="Z7" s="3779"/>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8" t="s">
        <v>1681</v>
      </c>
      <c r="Q8" s="3779"/>
      <c r="R8" s="701" t="s">
        <v>14</v>
      </c>
      <c r="S8" s="702">
        <f t="shared" si="0"/>
        <v>0</v>
      </c>
      <c r="T8" s="701" t="s">
        <v>14</v>
      </c>
      <c r="U8" s="702">
        <f t="shared" si="1"/>
        <v>0</v>
      </c>
      <c r="V8" s="701" t="s">
        <v>14</v>
      </c>
      <c r="W8" s="702">
        <f t="shared" si="2"/>
        <v>0</v>
      </c>
      <c r="X8" s="703"/>
      <c r="Y8" s="3778" t="s">
        <v>1681</v>
      </c>
      <c r="Z8" s="3779"/>
      <c r="AA8" s="704" t="e">
        <f t="shared" ref="AA8:AA45" si="3">D8/F8</f>
        <v>#DIV/0!</v>
      </c>
      <c r="AB8" s="704" t="e">
        <f t="shared" ref="AB8:AB45" si="4">D8/H8</f>
        <v>#DIV/0!</v>
      </c>
      <c r="AC8" s="704"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810"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122</v>
      </c>
      <c r="G10" s="414"/>
      <c r="H10" s="127">
        <f>ROUND(100/'数据-取费表'!G16,0)</f>
        <v>122</v>
      </c>
      <c r="I10" s="414"/>
      <c r="J10" s="127">
        <f>ROUND(100/'数据-取费表'!G16,0)</f>
        <v>122</v>
      </c>
      <c r="K10" s="620"/>
      <c r="L10" s="2716"/>
      <c r="M10" s="2717"/>
      <c r="N10" s="2717"/>
      <c r="O10" s="2770"/>
      <c r="P10" s="3810"/>
      <c r="Q10" s="1340" t="str">
        <f t="shared" si="6"/>
        <v>土地使用年限（年）</v>
      </c>
      <c r="R10" s="701" t="s">
        <v>14</v>
      </c>
      <c r="S10" s="702">
        <f t="shared" si="0"/>
        <v>122</v>
      </c>
      <c r="T10" s="701" t="s">
        <v>14</v>
      </c>
      <c r="U10" s="702">
        <f t="shared" si="1"/>
        <v>122</v>
      </c>
      <c r="V10" s="701" t="s">
        <v>14</v>
      </c>
      <c r="W10" s="702">
        <f t="shared" si="2"/>
        <v>122</v>
      </c>
      <c r="X10" s="703"/>
      <c r="Y10" s="3722"/>
      <c r="Z10" s="52" t="str">
        <f t="shared" si="7"/>
        <v>土地使用年限（年）</v>
      </c>
      <c r="AA10" s="704">
        <f t="shared" si="3"/>
        <v>0.81967213114754101</v>
      </c>
      <c r="AB10" s="704">
        <f t="shared" si="4"/>
        <v>0.81967213114754101</v>
      </c>
      <c r="AC10" s="704">
        <f t="shared" si="5"/>
        <v>0.81967213114754101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0"/>
      <c r="Q11" s="1340"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0"/>
      <c r="Q12" s="1340" t="str">
        <f t="shared" si="6"/>
        <v>配建</v>
      </c>
      <c r="R12" s="701" t="s">
        <v>14</v>
      </c>
      <c r="S12" s="702">
        <f t="shared" si="0"/>
        <v>100</v>
      </c>
      <c r="T12" s="701" t="s">
        <v>14</v>
      </c>
      <c r="U12" s="702">
        <f t="shared" si="1"/>
        <v>100</v>
      </c>
      <c r="V12" s="701" t="s">
        <v>14</v>
      </c>
      <c r="W12" s="702">
        <f t="shared" si="2"/>
        <v>100</v>
      </c>
      <c r="X12" s="703"/>
      <c r="Y12" s="3722"/>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0"/>
      <c r="Q13" s="1340">
        <f t="shared" si="6"/>
        <v>111</v>
      </c>
      <c r="R13" s="701" t="s">
        <v>14</v>
      </c>
      <c r="S13" s="702">
        <f t="shared" si="0"/>
        <v>100</v>
      </c>
      <c r="T13" s="701" t="s">
        <v>14</v>
      </c>
      <c r="U13" s="702">
        <f t="shared" si="1"/>
        <v>100</v>
      </c>
      <c r="V13" s="701" t="s">
        <v>14</v>
      </c>
      <c r="W13" s="702">
        <f t="shared" si="2"/>
        <v>100</v>
      </c>
      <c r="X13" s="703"/>
      <c r="Y13" s="3722"/>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0"/>
      <c r="Q14" s="1340">
        <f t="shared" si="6"/>
        <v>111</v>
      </c>
      <c r="R14" s="701" t="s">
        <v>14</v>
      </c>
      <c r="S14" s="702">
        <f t="shared" si="0"/>
        <v>100</v>
      </c>
      <c r="T14" s="701" t="s">
        <v>14</v>
      </c>
      <c r="U14" s="702">
        <f t="shared" si="1"/>
        <v>100</v>
      </c>
      <c r="V14" s="701" t="s">
        <v>14</v>
      </c>
      <c r="W14" s="702">
        <f t="shared" si="2"/>
        <v>100</v>
      </c>
      <c r="X14" s="703"/>
      <c r="Y14" s="3722"/>
      <c r="Z14" s="52">
        <f t="shared" si="7"/>
        <v>111</v>
      </c>
      <c r="AA14" s="704">
        <f>D14/F14</f>
        <v>1</v>
      </c>
      <c r="AB14" s="704">
        <f>D14/H14</f>
        <v>1</v>
      </c>
      <c r="AC14" s="704">
        <f>D14/J14</f>
        <v>1</v>
      </c>
    </row>
    <row r="15" spans="1:30" ht="99.75">
      <c r="A15" s="391" t="s">
        <v>1688</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12" t="s">
        <v>1689</v>
      </c>
      <c r="Q15" s="1349" t="str">
        <f t="shared" si="6"/>
        <v>居住社区成熟度</v>
      </c>
      <c r="R15" s="705" t="s">
        <v>14</v>
      </c>
      <c r="S15" s="706">
        <f t="shared" si="0"/>
        <v>100</v>
      </c>
      <c r="T15" s="705" t="s">
        <v>14</v>
      </c>
      <c r="U15" s="706">
        <f t="shared" si="1"/>
        <v>100</v>
      </c>
      <c r="V15" s="705" t="s">
        <v>14</v>
      </c>
      <c r="W15" s="706">
        <f t="shared" si="2"/>
        <v>100</v>
      </c>
      <c r="X15" s="1352"/>
      <c r="Y15" s="3812"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813"/>
      <c r="Q16" s="1349"/>
      <c r="R16" s="705"/>
      <c r="S16" s="706"/>
      <c r="T16" s="705"/>
      <c r="U16" s="706"/>
      <c r="V16" s="705"/>
      <c r="W16" s="706"/>
      <c r="X16" s="1352"/>
      <c r="Y16" s="3813"/>
      <c r="Z16" s="1353"/>
      <c r="AA16" s="1350">
        <v>1</v>
      </c>
      <c r="AB16" s="1350">
        <v>1</v>
      </c>
      <c r="AC16" s="1350">
        <v>1</v>
      </c>
    </row>
    <row r="17" spans="1:29" ht="71.25">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13"/>
      <c r="Q17" s="1349" t="str">
        <f>B17</f>
        <v>商业繁华度</v>
      </c>
      <c r="R17" s="705" t="s">
        <v>14</v>
      </c>
      <c r="S17" s="706">
        <f>F17</f>
        <v>100</v>
      </c>
      <c r="T17" s="705" t="s">
        <v>14</v>
      </c>
      <c r="U17" s="706">
        <f>H17</f>
        <v>100</v>
      </c>
      <c r="V17" s="705" t="s">
        <v>14</v>
      </c>
      <c r="W17" s="706">
        <f>J17</f>
        <v>100</v>
      </c>
      <c r="X17" s="1352"/>
      <c r="Y17" s="381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813"/>
      <c r="Q18" s="1349"/>
      <c r="R18" s="705"/>
      <c r="S18" s="706"/>
      <c r="T18" s="705"/>
      <c r="U18" s="706"/>
      <c r="V18" s="705"/>
      <c r="W18" s="706"/>
      <c r="X18" s="1352"/>
      <c r="Y18" s="3813"/>
      <c r="Z18" s="1353"/>
      <c r="AA18" s="1350">
        <v>1</v>
      </c>
      <c r="AB18" s="1350">
        <v>1</v>
      </c>
      <c r="AC18" s="1350">
        <v>1</v>
      </c>
    </row>
    <row r="19" spans="1:29" ht="71.25">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13"/>
      <c r="Q19" s="1349" t="str">
        <f>B19</f>
        <v>办公集聚程度</v>
      </c>
      <c r="R19" s="705" t="s">
        <v>14</v>
      </c>
      <c r="S19" s="706">
        <f>F19</f>
        <v>100</v>
      </c>
      <c r="T19" s="705" t="s">
        <v>14</v>
      </c>
      <c r="U19" s="706">
        <f>H19</f>
        <v>100</v>
      </c>
      <c r="V19" s="705" t="s">
        <v>14</v>
      </c>
      <c r="W19" s="706">
        <f>J19</f>
        <v>100</v>
      </c>
      <c r="X19" s="1352"/>
      <c r="Y19" s="381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813"/>
      <c r="Q20" s="1349"/>
      <c r="R20" s="705"/>
      <c r="S20" s="706"/>
      <c r="T20" s="705"/>
      <c r="U20" s="706"/>
      <c r="V20" s="705"/>
      <c r="W20" s="706"/>
      <c r="X20" s="1352"/>
      <c r="Y20" s="3813"/>
      <c r="Z20" s="1353"/>
      <c r="AA20" s="1350">
        <v>1</v>
      </c>
      <c r="AB20" s="1350">
        <v>1</v>
      </c>
      <c r="AC20" s="1350">
        <v>1</v>
      </c>
    </row>
    <row r="21" spans="1:29" ht="85.5">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13"/>
      <c r="Q21" s="1349" t="str">
        <f>B21</f>
        <v>交通便捷度</v>
      </c>
      <c r="R21" s="705" t="s">
        <v>14</v>
      </c>
      <c r="S21" s="706">
        <f>F21</f>
        <v>100</v>
      </c>
      <c r="T21" s="705" t="s">
        <v>14</v>
      </c>
      <c r="U21" s="706">
        <f>H21</f>
        <v>100</v>
      </c>
      <c r="V21" s="705" t="s">
        <v>14</v>
      </c>
      <c r="W21" s="706">
        <f>J21</f>
        <v>100</v>
      </c>
      <c r="X21" s="1352"/>
      <c r="Y21" s="381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813"/>
      <c r="Q22" s="1349"/>
      <c r="R22" s="705"/>
      <c r="S22" s="706"/>
      <c r="T22" s="705"/>
      <c r="U22" s="706"/>
      <c r="V22" s="705"/>
      <c r="W22" s="706"/>
      <c r="X22" s="1352"/>
      <c r="Y22" s="3813"/>
      <c r="Z22" s="1353"/>
      <c r="AA22" s="1350">
        <v>1</v>
      </c>
      <c r="AB22" s="1350">
        <v>1</v>
      </c>
      <c r="AC22" s="1350">
        <v>1</v>
      </c>
    </row>
    <row r="23" spans="1:29" ht="15">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13"/>
      <c r="Q23" s="1349" t="str">
        <f t="shared" ref="Q23:Q37" si="8">B23</f>
        <v>区域土地利用方向</v>
      </c>
      <c r="R23" s="705" t="s">
        <v>14</v>
      </c>
      <c r="S23" s="706">
        <f>F23</f>
        <v>100</v>
      </c>
      <c r="T23" s="705" t="s">
        <v>14</v>
      </c>
      <c r="U23" s="706">
        <f>H23</f>
        <v>100</v>
      </c>
      <c r="V23" s="705" t="s">
        <v>14</v>
      </c>
      <c r="W23" s="706">
        <f>J23</f>
        <v>100</v>
      </c>
      <c r="X23" s="1352"/>
      <c r="Y23" s="381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813"/>
      <c r="Q24" s="1349"/>
      <c r="R24" s="705"/>
      <c r="S24" s="706"/>
      <c r="T24" s="705"/>
      <c r="U24" s="706"/>
      <c r="V24" s="705"/>
      <c r="W24" s="706"/>
      <c r="X24" s="1352"/>
      <c r="Y24" s="3813"/>
      <c r="Z24" s="1353"/>
      <c r="AA24" s="1350"/>
      <c r="AB24" s="1350"/>
      <c r="AC24" s="1350"/>
    </row>
    <row r="25" spans="1:29" ht="57">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13"/>
      <c r="Q25" s="1349" t="str">
        <f t="shared" si="8"/>
        <v>自然及人文环境状况</v>
      </c>
      <c r="R25" s="705" t="s">
        <v>14</v>
      </c>
      <c r="S25" s="706">
        <f>F25</f>
        <v>100</v>
      </c>
      <c r="T25" s="705" t="s">
        <v>14</v>
      </c>
      <c r="U25" s="706">
        <f>H25</f>
        <v>100</v>
      </c>
      <c r="V25" s="705" t="s">
        <v>14</v>
      </c>
      <c r="W25" s="706">
        <f>J25</f>
        <v>100</v>
      </c>
      <c r="X25" s="1352"/>
      <c r="Y25" s="381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813"/>
      <c r="Q26" s="1349"/>
      <c r="R26" s="705"/>
      <c r="S26" s="706"/>
      <c r="T26" s="705"/>
      <c r="U26" s="706"/>
      <c r="V26" s="705"/>
      <c r="W26" s="706"/>
      <c r="X26" s="1352"/>
      <c r="Y26" s="3813"/>
      <c r="Z26" s="1353"/>
      <c r="AA26" s="1350">
        <v>1</v>
      </c>
      <c r="AB26" s="1350">
        <v>1</v>
      </c>
      <c r="AC26" s="1350">
        <v>1</v>
      </c>
    </row>
    <row r="27" spans="1:29" s="108" customFormat="1" ht="42.75">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13"/>
      <c r="Q27" s="1340" t="str">
        <f t="shared" si="8"/>
        <v>公共配套设施</v>
      </c>
      <c r="R27" s="701" t="s">
        <v>14</v>
      </c>
      <c r="S27" s="702">
        <f>F27</f>
        <v>100</v>
      </c>
      <c r="T27" s="701" t="s">
        <v>14</v>
      </c>
      <c r="U27" s="702">
        <f>H27</f>
        <v>100</v>
      </c>
      <c r="V27" s="701" t="s">
        <v>14</v>
      </c>
      <c r="W27" s="702">
        <f>J27</f>
        <v>100</v>
      </c>
      <c r="X27" s="703"/>
      <c r="Y27" s="381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813"/>
      <c r="Q28" s="1340"/>
      <c r="R28" s="701"/>
      <c r="S28" s="702"/>
      <c r="T28" s="701"/>
      <c r="U28" s="702"/>
      <c r="V28" s="701"/>
      <c r="W28" s="702"/>
      <c r="X28" s="703"/>
      <c r="Y28" s="3813"/>
      <c r="Z28" s="52"/>
      <c r="AA28" s="1350">
        <v>1</v>
      </c>
      <c r="AB28" s="1350">
        <v>1</v>
      </c>
      <c r="AC28" s="1350">
        <v>1</v>
      </c>
    </row>
    <row r="29" spans="1:29" s="108" customFormat="1" ht="28.5">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13"/>
      <c r="Q29" s="1340" t="str">
        <f t="shared" ref="Q29" si="9">B29</f>
        <v>基础设施水平</v>
      </c>
      <c r="R29" s="701" t="s">
        <v>14</v>
      </c>
      <c r="S29" s="702">
        <f>F29</f>
        <v>100</v>
      </c>
      <c r="T29" s="701" t="s">
        <v>14</v>
      </c>
      <c r="U29" s="702">
        <f>H29</f>
        <v>100</v>
      </c>
      <c r="V29" s="701" t="s">
        <v>14</v>
      </c>
      <c r="W29" s="702">
        <f>J29</f>
        <v>100</v>
      </c>
      <c r="X29" s="703"/>
      <c r="Y29" s="381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813"/>
      <c r="Q30" s="1340"/>
      <c r="R30" s="701"/>
      <c r="S30" s="702"/>
      <c r="T30" s="701"/>
      <c r="U30" s="702"/>
      <c r="V30" s="701"/>
      <c r="W30" s="702"/>
      <c r="X30" s="703"/>
      <c r="Y30" s="3813"/>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13"/>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813"/>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3"/>
      <c r="Q32" s="1349" t="str">
        <f t="shared" si="8"/>
        <v>毗邻道路的类型与等级</v>
      </c>
      <c r="R32" s="705" t="s">
        <v>14</v>
      </c>
      <c r="S32" s="706">
        <f t="shared" si="10"/>
        <v>100</v>
      </c>
      <c r="T32" s="705" t="s">
        <v>14</v>
      </c>
      <c r="U32" s="706">
        <f t="shared" si="11"/>
        <v>100</v>
      </c>
      <c r="V32" s="705" t="s">
        <v>14</v>
      </c>
      <c r="W32" s="706">
        <f t="shared" si="12"/>
        <v>100</v>
      </c>
      <c r="X32" s="1352"/>
      <c r="Y32" s="381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813"/>
      <c r="Q33" s="1349"/>
      <c r="R33" s="705"/>
      <c r="S33" s="706"/>
      <c r="T33" s="705"/>
      <c r="U33" s="706"/>
      <c r="V33" s="705"/>
      <c r="W33" s="706"/>
      <c r="X33" s="1352"/>
      <c r="Y33" s="3813"/>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3"/>
      <c r="Q34" s="1349" t="str">
        <f t="shared" si="8"/>
        <v>土地级别</v>
      </c>
      <c r="R34" s="705" t="s">
        <v>14</v>
      </c>
      <c r="S34" s="706">
        <f t="shared" si="10"/>
        <v>100</v>
      </c>
      <c r="T34" s="705" t="s">
        <v>14</v>
      </c>
      <c r="U34" s="706">
        <f t="shared" si="11"/>
        <v>100</v>
      </c>
      <c r="V34" s="705" t="s">
        <v>14</v>
      </c>
      <c r="W34" s="706">
        <f t="shared" si="12"/>
        <v>100</v>
      </c>
      <c r="X34" s="1352"/>
      <c r="Y34" s="381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3"/>
      <c r="Q35" s="1349">
        <f t="shared" si="8"/>
        <v>111</v>
      </c>
      <c r="R35" s="705" t="s">
        <v>14</v>
      </c>
      <c r="S35" s="706">
        <f t="shared" si="10"/>
        <v>100</v>
      </c>
      <c r="T35" s="705" t="s">
        <v>14</v>
      </c>
      <c r="U35" s="706">
        <f t="shared" si="11"/>
        <v>100</v>
      </c>
      <c r="V35" s="705" t="s">
        <v>14</v>
      </c>
      <c r="W35" s="706">
        <f t="shared" si="12"/>
        <v>100</v>
      </c>
      <c r="X35" s="1352"/>
      <c r="Y35" s="381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6" t="s">
        <v>1694</v>
      </c>
      <c r="Q36" s="1349">
        <f t="shared" si="8"/>
        <v>111</v>
      </c>
      <c r="R36" s="705" t="s">
        <v>14</v>
      </c>
      <c r="S36" s="706">
        <f t="shared" si="10"/>
        <v>100</v>
      </c>
      <c r="T36" s="705" t="s">
        <v>14</v>
      </c>
      <c r="U36" s="706">
        <f t="shared" si="11"/>
        <v>100</v>
      </c>
      <c r="V36" s="705" t="s">
        <v>14</v>
      </c>
      <c r="W36" s="706">
        <f t="shared" si="12"/>
        <v>100</v>
      </c>
      <c r="X36" s="1352"/>
      <c r="Y36" s="3817" t="s">
        <v>1694</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7"/>
      <c r="Q37" s="1349">
        <f t="shared" si="8"/>
        <v>111</v>
      </c>
      <c r="R37" s="708" t="s">
        <v>14</v>
      </c>
      <c r="S37" s="709">
        <f t="shared" si="10"/>
        <v>100</v>
      </c>
      <c r="T37" s="708" t="s">
        <v>14</v>
      </c>
      <c r="U37" s="709">
        <f t="shared" si="11"/>
        <v>100</v>
      </c>
      <c r="V37" s="708" t="s">
        <v>14</v>
      </c>
      <c r="W37" s="709">
        <f t="shared" si="12"/>
        <v>100</v>
      </c>
      <c r="X37" s="710"/>
      <c r="Y37" s="3817"/>
      <c r="Z37" s="711">
        <f t="shared" si="13"/>
        <v>111</v>
      </c>
      <c r="AA37" s="1350">
        <f t="shared" si="3"/>
        <v>1</v>
      </c>
      <c r="AB37" s="1350">
        <f t="shared" si="4"/>
        <v>1</v>
      </c>
      <c r="AC37" s="1350">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7"/>
      <c r="Q38" s="1349" t="str">
        <f>B38</f>
        <v>宗地面积</v>
      </c>
      <c r="R38" s="705" t="s">
        <v>14</v>
      </c>
      <c r="S38" s="706" t="e">
        <f t="shared" si="10"/>
        <v>#N/A</v>
      </c>
      <c r="T38" s="705" t="s">
        <v>14</v>
      </c>
      <c r="U38" s="706" t="e">
        <f t="shared" si="11"/>
        <v>#N/A</v>
      </c>
      <c r="V38" s="705" t="s">
        <v>14</v>
      </c>
      <c r="W38" s="706" t="e">
        <f t="shared" si="12"/>
        <v>#N/A</v>
      </c>
      <c r="X38" s="1352"/>
      <c r="Y38" s="3817"/>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817"/>
      <c r="Q39" s="1349" t="str">
        <f t="shared" ref="Q39:Q45" si="14">B39</f>
        <v>宗地形状</v>
      </c>
      <c r="R39" s="705" t="s">
        <v>14</v>
      </c>
      <c r="S39" s="706">
        <f t="shared" si="10"/>
        <v>100</v>
      </c>
      <c r="T39" s="705" t="s">
        <v>14</v>
      </c>
      <c r="U39" s="706">
        <f t="shared" si="11"/>
        <v>100</v>
      </c>
      <c r="V39" s="705" t="s">
        <v>14</v>
      </c>
      <c r="W39" s="706">
        <f t="shared" si="12"/>
        <v>100</v>
      </c>
      <c r="X39" s="1352"/>
      <c r="Y39" s="3817"/>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817"/>
      <c r="Q40" s="1349" t="str">
        <f t="shared" si="14"/>
        <v>临街宽度及深度</v>
      </c>
      <c r="R40" s="705" t="s">
        <v>14</v>
      </c>
      <c r="S40" s="706">
        <f t="shared" si="10"/>
        <v>100</v>
      </c>
      <c r="T40" s="705" t="s">
        <v>14</v>
      </c>
      <c r="U40" s="706">
        <f t="shared" si="11"/>
        <v>100</v>
      </c>
      <c r="V40" s="705" t="s">
        <v>14</v>
      </c>
      <c r="W40" s="706">
        <f t="shared" si="12"/>
        <v>100</v>
      </c>
      <c r="X40" s="1352"/>
      <c r="Y40" s="3817"/>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817"/>
      <c r="Q41" s="1349" t="str">
        <f t="shared" si="14"/>
        <v>宗地开发程度</v>
      </c>
      <c r="R41" s="701" t="s">
        <v>14</v>
      </c>
      <c r="S41" s="702">
        <f t="shared" si="10"/>
        <v>100</v>
      </c>
      <c r="T41" s="701" t="s">
        <v>14</v>
      </c>
      <c r="U41" s="702">
        <f t="shared" si="11"/>
        <v>100</v>
      </c>
      <c r="V41" s="701" t="s">
        <v>14</v>
      </c>
      <c r="W41" s="702">
        <f t="shared" si="12"/>
        <v>100</v>
      </c>
      <c r="X41" s="703"/>
      <c r="Y41" s="3817"/>
      <c r="Z41" s="52" t="str">
        <f t="shared" si="13"/>
        <v>宗地开发程度</v>
      </c>
      <c r="AA41" s="704">
        <f t="shared" si="3"/>
        <v>1</v>
      </c>
      <c r="AB41" s="704">
        <f t="shared" si="4"/>
        <v>1</v>
      </c>
      <c r="AC41" s="704">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817" t="s">
        <v>1694</v>
      </c>
      <c r="Q42" s="1349" t="str">
        <f t="shared" si="14"/>
        <v>工程地质条件</v>
      </c>
      <c r="R42" s="705" t="s">
        <v>14</v>
      </c>
      <c r="S42" s="706">
        <f t="shared" si="10"/>
        <v>100</v>
      </c>
      <c r="T42" s="705" t="s">
        <v>14</v>
      </c>
      <c r="U42" s="706">
        <f t="shared" si="11"/>
        <v>100</v>
      </c>
      <c r="V42" s="705" t="s">
        <v>14</v>
      </c>
      <c r="W42" s="706">
        <f t="shared" si="12"/>
        <v>100</v>
      </c>
      <c r="X42" s="1352"/>
      <c r="Y42" s="3817"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7"/>
      <c r="Q43" s="1349">
        <f t="shared" si="14"/>
        <v>111</v>
      </c>
      <c r="R43" s="705" t="s">
        <v>14</v>
      </c>
      <c r="S43" s="706">
        <f t="shared" si="10"/>
        <v>100</v>
      </c>
      <c r="T43" s="705" t="s">
        <v>14</v>
      </c>
      <c r="U43" s="706">
        <f t="shared" si="11"/>
        <v>100</v>
      </c>
      <c r="V43" s="705" t="s">
        <v>14</v>
      </c>
      <c r="W43" s="706">
        <f t="shared" si="12"/>
        <v>100</v>
      </c>
      <c r="X43" s="1352"/>
      <c r="Y43" s="381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7"/>
      <c r="Q44" s="1349">
        <f t="shared" si="14"/>
        <v>111</v>
      </c>
      <c r="R44" s="705" t="s">
        <v>14</v>
      </c>
      <c r="S44" s="706">
        <f t="shared" si="10"/>
        <v>100</v>
      </c>
      <c r="T44" s="705" t="s">
        <v>14</v>
      </c>
      <c r="U44" s="706">
        <f t="shared" si="11"/>
        <v>100</v>
      </c>
      <c r="V44" s="705" t="s">
        <v>14</v>
      </c>
      <c r="W44" s="706">
        <f t="shared" si="12"/>
        <v>100</v>
      </c>
      <c r="X44" s="1352"/>
      <c r="Y44" s="381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7"/>
      <c r="Q45" s="1349">
        <f t="shared" si="14"/>
        <v>111</v>
      </c>
      <c r="R45" s="708" t="s">
        <v>14</v>
      </c>
      <c r="S45" s="709">
        <f t="shared" si="10"/>
        <v>100</v>
      </c>
      <c r="T45" s="708" t="s">
        <v>14</v>
      </c>
      <c r="U45" s="709">
        <f t="shared" si="11"/>
        <v>100</v>
      </c>
      <c r="V45" s="708" t="s">
        <v>14</v>
      </c>
      <c r="W45" s="709">
        <f t="shared" si="12"/>
        <v>100</v>
      </c>
      <c r="X45" s="710"/>
      <c r="Y45" s="3817"/>
      <c r="Z45" s="711">
        <f t="shared" si="13"/>
        <v>111</v>
      </c>
      <c r="AA45" s="1350">
        <f t="shared" si="3"/>
        <v>1</v>
      </c>
      <c r="AB45" s="1350">
        <f t="shared" si="4"/>
        <v>1</v>
      </c>
      <c r="AC45" s="1350">
        <f t="shared" si="5"/>
        <v>1</v>
      </c>
    </row>
    <row r="46" spans="1:29" ht="15">
      <c r="A46" s="430" t="s">
        <v>1842</v>
      </c>
      <c r="B46" s="1979" t="s">
        <v>1877</v>
      </c>
      <c r="C46" s="630" t="s">
        <v>0</v>
      </c>
      <c r="D46" s="432"/>
      <c r="E46" s="433"/>
      <c r="F46" s="434"/>
      <c r="G46" s="435"/>
      <c r="H46" s="436"/>
      <c r="I46" s="433"/>
      <c r="J46" s="436"/>
      <c r="K46" s="714"/>
      <c r="L46" s="2721"/>
      <c r="M46" s="2722"/>
      <c r="N46" s="2713"/>
      <c r="O46" s="2722"/>
      <c r="P46" s="3810" t="str">
        <f>A46</f>
        <v>成交单价</v>
      </c>
      <c r="Q46" s="3810"/>
      <c r="R46" s="3805">
        <f>E46</f>
        <v>0</v>
      </c>
      <c r="S46" s="3805"/>
      <c r="T46" s="3805">
        <f>G46</f>
        <v>0</v>
      </c>
      <c r="U46" s="3805"/>
      <c r="V46" s="3805">
        <f>I46</f>
        <v>0</v>
      </c>
      <c r="W46" s="3805"/>
      <c r="X46" s="690"/>
      <c r="Y46" s="712"/>
      <c r="Z46" s="690"/>
      <c r="AA46" s="690"/>
      <c r="AB46" s="690"/>
      <c r="AC46" s="690"/>
    </row>
    <row r="47" spans="1:29" ht="15.75" thickBot="1">
      <c r="A47" s="437" t="s">
        <v>1791</v>
      </c>
      <c r="B47" s="631"/>
      <c r="C47" s="440" t="e">
        <f>R48</f>
        <v>#DIV/0!</v>
      </c>
      <c r="D47" s="2314" t="s">
        <v>2135</v>
      </c>
      <c r="E47" s="440" t="e">
        <f>R47</f>
        <v>#DIV/0!</v>
      </c>
      <c r="F47" s="2315"/>
      <c r="G47" s="439" t="e">
        <f>T47</f>
        <v>#DIV/0!</v>
      </c>
      <c r="H47" s="2315"/>
      <c r="I47" s="440" t="e">
        <f>V47</f>
        <v>#DIV/0!</v>
      </c>
      <c r="J47" s="2315"/>
      <c r="K47" s="2317">
        <f>F47+H47+J47</f>
        <v>0</v>
      </c>
      <c r="L47" s="2721"/>
      <c r="M47" s="2722"/>
      <c r="N47" s="2722"/>
      <c r="O47" s="2722"/>
      <c r="P47" s="3810" t="str">
        <f>A47</f>
        <v>比较价值（元/平方米）</v>
      </c>
      <c r="Q47" s="3810"/>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807" t="str">
        <f>A48</f>
        <v>估价对象XX用房的比较价值（楼面单价，元/平方米）</v>
      </c>
      <c r="Q48" s="3808"/>
      <c r="R48" s="3839" t="e">
        <f>ROUND(IF(D47="简单平均",AVERAGE(R47:W47),R47*F47+T47*H47+V47*J47),0)</f>
        <v>#DIV/0!</v>
      </c>
      <c r="S48" s="3839"/>
      <c r="T48" s="3839"/>
      <c r="U48" s="3839"/>
      <c r="V48" s="3839"/>
      <c r="W48" s="383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7" t="s">
        <v>1884</v>
      </c>
      <c r="G55" s="3793" t="s">
        <v>1885</v>
      </c>
      <c r="H55" s="3840"/>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1">
        <v>1</v>
      </c>
      <c r="E56" s="638">
        <f>'数据-汇总表'!E8+'数据-汇总表'!E9</f>
        <v>66617.25</v>
      </c>
      <c r="F56" s="883" t="e">
        <f t="shared" ref="F56:F64" si="15">ROUND(B56*E56/10000,0)</f>
        <v>#DIV/0!</v>
      </c>
      <c r="G56" s="3792"/>
      <c r="H56" s="3810"/>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2">
        <v>0.25</v>
      </c>
      <c r="E57" s="642"/>
      <c r="F57" s="883" t="e">
        <f t="shared" si="15"/>
        <v>#DIV/0!</v>
      </c>
      <c r="G57" s="3003" t="s">
        <v>1890</v>
      </c>
      <c r="H57" s="884" t="str">
        <f>项目基本情况!B37</f>
        <v>三级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2">
        <v>0.25</v>
      </c>
      <c r="E58" s="642"/>
      <c r="F58" s="883" t="e">
        <f t="shared" si="15"/>
        <v>#DIV/0!</v>
      </c>
      <c r="G58" s="3004"/>
      <c r="H58" s="884" t="str">
        <f>项目基本情况!B37</f>
        <v>三级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2">
        <v>0.25</v>
      </c>
      <c r="E59" s="642"/>
      <c r="F59" s="883" t="e">
        <f t="shared" si="15"/>
        <v>#DIV/0!</v>
      </c>
      <c r="G59" s="3004"/>
      <c r="H59" s="884" t="str">
        <f>项目基本情况!B37</f>
        <v>三级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0.3</v>
      </c>
      <c r="D60" s="942">
        <v>0.25</v>
      </c>
      <c r="E60" s="217">
        <f>'数据-汇总表'!E11</f>
        <v>7419.8799999999983</v>
      </c>
      <c r="F60" s="883" t="e">
        <f t="shared" si="15"/>
        <v>#DIV/0!</v>
      </c>
      <c r="G60" s="1984" t="s">
        <v>1894</v>
      </c>
      <c r="H60" s="884" t="str">
        <f>项目基本情况!C37</f>
        <v>二级</v>
      </c>
      <c r="I60" s="888">
        <f>SUMIF(修正!A57:A68,H60,修正!E57:E68)</f>
        <v>0.3</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0.3</v>
      </c>
      <c r="D61" s="942">
        <v>0.25</v>
      </c>
      <c r="E61" s="217">
        <f>'数据-汇总表'!E12</f>
        <v>2642.55</v>
      </c>
      <c r="F61" s="883" t="e">
        <f t="shared" si="15"/>
        <v>#DIV/0!</v>
      </c>
      <c r="G61" s="889" t="s">
        <v>1896</v>
      </c>
      <c r="H61" s="884" t="str">
        <f>IF(G61="商业",项目基本情况!B37,IF(G61="办公",项目基本情况!C37,IF(G61="住宅",项目基本情况!D37,项目基本情况!E37)))</f>
        <v>二级</v>
      </c>
      <c r="I61" s="888">
        <f>SUMIF(修正!A57:A68,H61,修正!F57:F68)</f>
        <v>0.3</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2">
        <v>0.25</v>
      </c>
      <c r="E62" s="217">
        <f>'数据-汇总表'!E13</f>
        <v>10131.459999999992</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2">
        <v>0.25</v>
      </c>
      <c r="E63" s="217">
        <f>'数据-汇总表'!E14</f>
        <v>0</v>
      </c>
      <c r="F63" s="883" t="e">
        <f t="shared" si="15"/>
        <v>#DIV/0!</v>
      </c>
      <c r="G63" s="1984" t="s">
        <v>1890</v>
      </c>
      <c r="H63" s="884" t="str">
        <f>项目基本情况!B37</f>
        <v>三级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0.2</v>
      </c>
      <c r="D64" s="942">
        <v>0.25</v>
      </c>
      <c r="E64" s="217">
        <f>'数据-汇总表'!E15</f>
        <v>0</v>
      </c>
      <c r="F64" s="883" t="e">
        <f t="shared" si="15"/>
        <v>#DIV/0!</v>
      </c>
      <c r="G64" s="1985" t="s">
        <v>1894</v>
      </c>
      <c r="H64" s="894" t="str">
        <f>项目基本情况!C37</f>
        <v>二级</v>
      </c>
      <c r="I64" s="890">
        <f>SUMIF(修正!A57:A68,H64,修正!G57:G68)</f>
        <v>0.2</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391</v>
      </c>
      <c r="E65" s="644">
        <f>IF(B46="楼面地价",SUM(E56:E64),'数据-汇总表'!D3)</f>
        <v>86811.14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5">
      <c r="A69" s="1986" t="s">
        <v>1902</v>
      </c>
      <c r="B69" s="1106"/>
      <c r="C69" s="1179" t="str">
        <f>YEAR(C67)&amp;"-"&amp;ROUNDUP(MONTH(C67)/3,0)</f>
        <v>2023-1</v>
      </c>
      <c r="D69" s="1179" t="str">
        <f>YEAR(D67)&amp;"-"&amp;ROUNDUP(MONTH(D67)/3,0)</f>
        <v>2022-4</v>
      </c>
      <c r="E69" s="1179" t="str">
        <f t="shared" ref="E69:O69" si="19">YEAR(E67)&amp;"-"&amp;ROUNDUP(MONTH(E67)/3,0)</f>
        <v>2022-3</v>
      </c>
      <c r="F69" s="1179" t="str">
        <f t="shared" si="19"/>
        <v>2022-2</v>
      </c>
      <c r="G69" s="1179" t="str">
        <f t="shared" si="19"/>
        <v>2022-1</v>
      </c>
      <c r="H69" s="1179" t="str">
        <f t="shared" si="19"/>
        <v>2021-4</v>
      </c>
      <c r="I69" s="1179" t="str">
        <f t="shared" si="19"/>
        <v>2021-3</v>
      </c>
      <c r="J69" s="1179" t="str">
        <f t="shared" si="19"/>
        <v>2021-2</v>
      </c>
      <c r="K69" s="1179" t="str">
        <f t="shared" si="19"/>
        <v>2021-1</v>
      </c>
      <c r="L69" s="1179" t="str">
        <f t="shared" si="19"/>
        <v>2020-4</v>
      </c>
      <c r="M69" s="1179" t="str">
        <f t="shared" si="19"/>
        <v>2020-3</v>
      </c>
      <c r="N69" s="1179" t="str">
        <f t="shared" si="19"/>
        <v>2020-2</v>
      </c>
      <c r="O69" s="1179"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93" t="s">
        <v>1768</v>
      </c>
      <c r="D4" s="3794"/>
      <c r="E4" s="3795" t="s">
        <v>1769</v>
      </c>
      <c r="F4" s="3796"/>
      <c r="G4" s="3793" t="s">
        <v>1770</v>
      </c>
      <c r="H4" s="3794"/>
      <c r="I4" s="3793" t="s">
        <v>1771</v>
      </c>
      <c r="J4" s="3794"/>
      <c r="K4" s="559" t="s">
        <v>1772</v>
      </c>
      <c r="L4" s="2712"/>
      <c r="M4" s="2713"/>
      <c r="N4" s="2713"/>
      <c r="O4" s="2713"/>
      <c r="P4" s="3797" t="s">
        <v>1773</v>
      </c>
      <c r="Q4" s="3798"/>
      <c r="R4" s="3780" t="s">
        <v>1769</v>
      </c>
      <c r="S4" s="3781"/>
      <c r="T4" s="3780" t="s">
        <v>1770</v>
      </c>
      <c r="U4" s="3781"/>
      <c r="V4" s="3805" t="s">
        <v>1771</v>
      </c>
      <c r="W4" s="3805"/>
      <c r="X4" s="1352"/>
      <c r="Y4" s="3780" t="s">
        <v>1773</v>
      </c>
      <c r="Z4" s="3781"/>
      <c r="AA4" s="3775" t="s">
        <v>1769</v>
      </c>
      <c r="AB4" s="3776" t="s">
        <v>1770</v>
      </c>
      <c r="AC4" s="3775" t="s">
        <v>1771</v>
      </c>
    </row>
    <row r="5" spans="1:29" ht="15">
      <c r="A5" s="358"/>
      <c r="B5" s="359"/>
      <c r="C5" s="3786" t="s">
        <v>1671</v>
      </c>
      <c r="D5" s="3787"/>
      <c r="E5" s="3784" t="s">
        <v>1672</v>
      </c>
      <c r="F5" s="3785"/>
      <c r="G5" s="3786" t="s">
        <v>1673</v>
      </c>
      <c r="H5" s="3787"/>
      <c r="I5" s="3786" t="s">
        <v>1674</v>
      </c>
      <c r="J5" s="3787"/>
      <c r="K5" s="559"/>
      <c r="L5" s="2712"/>
      <c r="M5" s="2713"/>
      <c r="N5" s="2713"/>
      <c r="O5" s="2713"/>
      <c r="P5" s="3799"/>
      <c r="Q5" s="3800"/>
      <c r="R5" s="3782"/>
      <c r="S5" s="3783"/>
      <c r="T5" s="3782"/>
      <c r="U5" s="3783"/>
      <c r="V5" s="3805"/>
      <c r="W5" s="3805"/>
      <c r="X5" s="1352"/>
      <c r="Y5" s="3782"/>
      <c r="Z5" s="3783"/>
      <c r="AA5" s="3776"/>
      <c r="AB5" s="3776"/>
      <c r="AC5" s="3776"/>
    </row>
    <row r="6" spans="1:29" ht="15.75" thickBot="1">
      <c r="A6" s="360"/>
      <c r="B6" s="361"/>
      <c r="C6" s="3841" t="s">
        <v>1917</v>
      </c>
      <c r="D6" s="3842"/>
      <c r="E6" s="3843" t="s">
        <v>1917</v>
      </c>
      <c r="F6" s="3844"/>
      <c r="G6" s="3841" t="s">
        <v>1917</v>
      </c>
      <c r="H6" s="3842"/>
      <c r="I6" s="3841" t="s">
        <v>1917</v>
      </c>
      <c r="J6" s="3842"/>
      <c r="K6" s="559" t="s">
        <v>1676</v>
      </c>
      <c r="L6" s="2712"/>
      <c r="M6" s="2713"/>
      <c r="N6" s="2713"/>
      <c r="O6" s="2713"/>
      <c r="P6" s="3801"/>
      <c r="Q6" s="3802"/>
      <c r="R6" s="3782"/>
      <c r="S6" s="3783"/>
      <c r="T6" s="3803"/>
      <c r="U6" s="3804"/>
      <c r="V6" s="3805"/>
      <c r="W6" s="3805"/>
      <c r="X6" s="1352"/>
      <c r="Y6" s="3803"/>
      <c r="Z6" s="3804"/>
      <c r="AA6" s="3777"/>
      <c r="AB6" s="3777"/>
      <c r="AC6" s="3777"/>
    </row>
    <row r="7" spans="1:29" s="108" customFormat="1" ht="15.75" thickBot="1">
      <c r="A7" s="362" t="s">
        <v>1677</v>
      </c>
      <c r="B7" s="363"/>
      <c r="C7" s="364">
        <f>'数据-取费表'!B2</f>
        <v>44930</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78" t="s">
        <v>1678</v>
      </c>
      <c r="Q7" s="3806"/>
      <c r="R7" s="701" t="s">
        <v>14</v>
      </c>
      <c r="S7" s="702">
        <f t="shared" ref="S7:S15" si="0">F7</f>
        <v>0</v>
      </c>
      <c r="T7" s="701" t="s">
        <v>14</v>
      </c>
      <c r="U7" s="702">
        <f t="shared" ref="U7:U15" si="1">H7</f>
        <v>0</v>
      </c>
      <c r="V7" s="701" t="s">
        <v>14</v>
      </c>
      <c r="W7" s="702">
        <f t="shared" ref="W7:W15" si="2">J7</f>
        <v>0</v>
      </c>
      <c r="X7" s="703"/>
      <c r="Y7" s="3778" t="s">
        <v>1678</v>
      </c>
      <c r="Z7" s="377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8" t="s">
        <v>1681</v>
      </c>
      <c r="Q8" s="3779"/>
      <c r="R8" s="701" t="s">
        <v>14</v>
      </c>
      <c r="S8" s="702">
        <f t="shared" si="0"/>
        <v>0</v>
      </c>
      <c r="T8" s="701" t="s">
        <v>14</v>
      </c>
      <c r="U8" s="702">
        <f t="shared" si="1"/>
        <v>0</v>
      </c>
      <c r="V8" s="701" t="s">
        <v>14</v>
      </c>
      <c r="W8" s="702">
        <f t="shared" si="2"/>
        <v>0</v>
      </c>
      <c r="X8" s="703"/>
      <c r="Y8" s="3778" t="s">
        <v>1681</v>
      </c>
      <c r="Z8" s="3779"/>
      <c r="AA8" s="704" t="e">
        <f t="shared" ref="AA8:AA40" si="3">D8/F8</f>
        <v>#DIV/0!</v>
      </c>
      <c r="AB8" s="704" t="e">
        <f t="shared" ref="AB8:AB40" si="4">D8/H8</f>
        <v>#DIV/0!</v>
      </c>
      <c r="AC8" s="704"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810" t="s">
        <v>1684</v>
      </c>
      <c r="Q9" s="1340" t="str">
        <f t="shared" ref="Q9:Q15" si="6">B9</f>
        <v>用途</v>
      </c>
      <c r="R9" s="701" t="s">
        <v>14</v>
      </c>
      <c r="S9" s="702">
        <f t="shared" si="0"/>
        <v>100</v>
      </c>
      <c r="T9" s="701" t="s">
        <v>14</v>
      </c>
      <c r="U9" s="702">
        <f t="shared" si="1"/>
        <v>100</v>
      </c>
      <c r="V9" s="701" t="s">
        <v>14</v>
      </c>
      <c r="W9" s="702">
        <f t="shared" si="2"/>
        <v>100</v>
      </c>
      <c r="X9" s="703"/>
      <c r="Y9" s="3722"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122</v>
      </c>
      <c r="G10" s="383"/>
      <c r="H10" s="127">
        <f>ROUND(100/'数据-取费表'!G16,0)</f>
        <v>122</v>
      </c>
      <c r="I10" s="383"/>
      <c r="J10" s="127">
        <f>ROUND(100/'数据-取费表'!G16,0)</f>
        <v>122</v>
      </c>
      <c r="K10" s="620"/>
      <c r="L10" s="2716"/>
      <c r="M10" s="2717"/>
      <c r="N10" s="2717"/>
      <c r="O10" s="2770"/>
      <c r="P10" s="3810"/>
      <c r="Q10" s="1340" t="str">
        <f t="shared" si="6"/>
        <v>土地使用年限（年）</v>
      </c>
      <c r="R10" s="701" t="s">
        <v>14</v>
      </c>
      <c r="S10" s="702">
        <f t="shared" si="0"/>
        <v>122</v>
      </c>
      <c r="T10" s="701" t="s">
        <v>14</v>
      </c>
      <c r="U10" s="702">
        <f t="shared" si="1"/>
        <v>122</v>
      </c>
      <c r="V10" s="701" t="s">
        <v>14</v>
      </c>
      <c r="W10" s="702">
        <f t="shared" si="2"/>
        <v>122</v>
      </c>
      <c r="X10" s="703"/>
      <c r="Y10" s="3722"/>
      <c r="Z10" s="52" t="str">
        <f t="shared" si="7"/>
        <v>土地使用年限（年）</v>
      </c>
      <c r="AA10" s="704">
        <f t="shared" si="3"/>
        <v>0.81967213114754101</v>
      </c>
      <c r="AB10" s="704">
        <f t="shared" si="4"/>
        <v>0.81967213114754101</v>
      </c>
      <c r="AC10" s="704">
        <f t="shared" si="5"/>
        <v>0.81967213114754101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0"/>
      <c r="Q11" s="1340"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0"/>
      <c r="Q12" s="1340">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0"/>
      <c r="Q13" s="1340">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0"/>
      <c r="Q14" s="1340">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2" t="s">
        <v>1689</v>
      </c>
      <c r="Q15" s="1349" t="str">
        <f t="shared" si="6"/>
        <v>产业集聚程度</v>
      </c>
      <c r="R15" s="705" t="s">
        <v>14</v>
      </c>
      <c r="S15" s="706">
        <f t="shared" si="0"/>
        <v>100</v>
      </c>
      <c r="T15" s="705" t="s">
        <v>14</v>
      </c>
      <c r="U15" s="706">
        <f t="shared" si="1"/>
        <v>100</v>
      </c>
      <c r="V15" s="705" t="s">
        <v>14</v>
      </c>
      <c r="W15" s="706">
        <f t="shared" si="2"/>
        <v>100</v>
      </c>
      <c r="X15" s="1352"/>
      <c r="Y15" s="3812"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813"/>
      <c r="Q16" s="1349"/>
      <c r="R16" s="705"/>
      <c r="S16" s="706"/>
      <c r="T16" s="705"/>
      <c r="U16" s="706"/>
      <c r="V16" s="705"/>
      <c r="W16" s="706"/>
      <c r="X16" s="1352"/>
      <c r="Y16" s="3813"/>
      <c r="Z16" s="1353"/>
      <c r="AA16" s="1350">
        <v>1</v>
      </c>
      <c r="AB16" s="1350">
        <v>1</v>
      </c>
      <c r="AC16" s="1350">
        <v>1</v>
      </c>
    </row>
    <row r="17" spans="1:29" ht="85.5">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3"/>
      <c r="Q17" s="1349" t="str">
        <f>B17</f>
        <v>交通便捷度</v>
      </c>
      <c r="R17" s="705" t="s">
        <v>14</v>
      </c>
      <c r="S17" s="706">
        <f>F17</f>
        <v>100</v>
      </c>
      <c r="T17" s="705" t="s">
        <v>14</v>
      </c>
      <c r="U17" s="706">
        <f>H17</f>
        <v>100</v>
      </c>
      <c r="V17" s="705" t="s">
        <v>14</v>
      </c>
      <c r="W17" s="706">
        <f>J17</f>
        <v>100</v>
      </c>
      <c r="X17" s="1352"/>
      <c r="Y17" s="381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813"/>
      <c r="Q18" s="1349"/>
      <c r="R18" s="705"/>
      <c r="S18" s="706"/>
      <c r="T18" s="705"/>
      <c r="U18" s="706"/>
      <c r="V18" s="705"/>
      <c r="W18" s="706"/>
      <c r="X18" s="1352"/>
      <c r="Y18" s="3813"/>
      <c r="Z18" s="1353"/>
      <c r="AA18" s="1350">
        <v>1</v>
      </c>
      <c r="AB18" s="1350">
        <v>1</v>
      </c>
      <c r="AC18" s="1350">
        <v>1</v>
      </c>
    </row>
    <row r="19" spans="1:29" ht="15">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3"/>
      <c r="Q19" s="1349" t="str">
        <f t="shared" ref="Q19:Q33" si="8">B19</f>
        <v>区域土地利用方向</v>
      </c>
      <c r="R19" s="705" t="s">
        <v>14</v>
      </c>
      <c r="S19" s="706">
        <f>F19</f>
        <v>100</v>
      </c>
      <c r="T19" s="705" t="s">
        <v>14</v>
      </c>
      <c r="U19" s="706">
        <f>H19</f>
        <v>100</v>
      </c>
      <c r="V19" s="705" t="s">
        <v>14</v>
      </c>
      <c r="W19" s="706">
        <f>J19</f>
        <v>100</v>
      </c>
      <c r="X19" s="1352"/>
      <c r="Y19" s="381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813"/>
      <c r="Q20" s="1349"/>
      <c r="R20" s="705"/>
      <c r="S20" s="706"/>
      <c r="T20" s="705"/>
      <c r="U20" s="706"/>
      <c r="V20" s="705"/>
      <c r="W20" s="706"/>
      <c r="X20" s="1352"/>
      <c r="Y20" s="3813"/>
      <c r="Z20" s="1353"/>
      <c r="AA20" s="1350"/>
      <c r="AB20" s="1350"/>
      <c r="AC20" s="1350"/>
    </row>
    <row r="21" spans="1:29" ht="71.25">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3"/>
      <c r="Q21" s="1349" t="str">
        <f t="shared" si="8"/>
        <v>环境状况</v>
      </c>
      <c r="R21" s="705" t="s">
        <v>14</v>
      </c>
      <c r="S21" s="706">
        <f>F21</f>
        <v>100</v>
      </c>
      <c r="T21" s="705" t="s">
        <v>14</v>
      </c>
      <c r="U21" s="706">
        <f>H21</f>
        <v>100</v>
      </c>
      <c r="V21" s="705" t="s">
        <v>14</v>
      </c>
      <c r="W21" s="706">
        <f>J21</f>
        <v>100</v>
      </c>
      <c r="X21" s="1352"/>
      <c r="Y21" s="381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813"/>
      <c r="Q22" s="1349"/>
      <c r="R22" s="705"/>
      <c r="S22" s="706"/>
      <c r="T22" s="705"/>
      <c r="U22" s="706"/>
      <c r="V22" s="705"/>
      <c r="W22" s="706"/>
      <c r="X22" s="1352"/>
      <c r="Y22" s="3813"/>
      <c r="Z22" s="1353"/>
      <c r="AA22" s="1350">
        <v>1</v>
      </c>
      <c r="AB22" s="1350">
        <v>1</v>
      </c>
      <c r="AC22" s="1350">
        <v>1</v>
      </c>
    </row>
    <row r="23" spans="1:29" s="108" customFormat="1" ht="42.75">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3"/>
      <c r="Q23" s="1340" t="str">
        <f t="shared" si="8"/>
        <v>公共配套设施</v>
      </c>
      <c r="R23" s="701" t="s">
        <v>14</v>
      </c>
      <c r="S23" s="702">
        <f>F23</f>
        <v>100</v>
      </c>
      <c r="T23" s="701" t="s">
        <v>14</v>
      </c>
      <c r="U23" s="702">
        <f>H23</f>
        <v>100</v>
      </c>
      <c r="V23" s="701" t="s">
        <v>14</v>
      </c>
      <c r="W23" s="702">
        <f>J23</f>
        <v>100</v>
      </c>
      <c r="X23" s="703"/>
      <c r="Y23" s="381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813"/>
      <c r="Q24" s="1340"/>
      <c r="R24" s="701"/>
      <c r="S24" s="702"/>
      <c r="T24" s="701"/>
      <c r="U24" s="702"/>
      <c r="V24" s="701"/>
      <c r="W24" s="702"/>
      <c r="X24" s="703"/>
      <c r="Y24" s="3813"/>
      <c r="Z24" s="52"/>
      <c r="AA24" s="704">
        <v>1</v>
      </c>
      <c r="AB24" s="704">
        <v>1</v>
      </c>
      <c r="AC24" s="704">
        <v>1</v>
      </c>
    </row>
    <row r="25" spans="1:29" s="108" customFormat="1" ht="28.5">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3"/>
      <c r="Q25" s="1340" t="str">
        <f t="shared" ref="Q25" si="9">B25</f>
        <v>基础设施水平</v>
      </c>
      <c r="R25" s="701" t="s">
        <v>14</v>
      </c>
      <c r="S25" s="702">
        <f>F25</f>
        <v>100</v>
      </c>
      <c r="T25" s="701" t="s">
        <v>14</v>
      </c>
      <c r="U25" s="702">
        <f>H25</f>
        <v>100</v>
      </c>
      <c r="V25" s="701" t="s">
        <v>14</v>
      </c>
      <c r="W25" s="702">
        <f>J25</f>
        <v>100</v>
      </c>
      <c r="X25" s="703"/>
      <c r="Y25" s="381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813"/>
      <c r="Q26" s="1340"/>
      <c r="R26" s="701"/>
      <c r="S26" s="702"/>
      <c r="T26" s="701"/>
      <c r="U26" s="702"/>
      <c r="V26" s="701"/>
      <c r="W26" s="702"/>
      <c r="X26" s="703"/>
      <c r="Y26" s="381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3"/>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813"/>
      <c r="Z27" s="1353" t="str">
        <f t="shared" ref="Z27:Z40" si="13">Q27</f>
        <v>临街状况</v>
      </c>
      <c r="AA27" s="1350">
        <f t="shared" si="3"/>
        <v>1</v>
      </c>
      <c r="AB27" s="1350">
        <f t="shared" si="4"/>
        <v>1</v>
      </c>
      <c r="AC27" s="1350">
        <f t="shared" si="5"/>
        <v>1</v>
      </c>
    </row>
    <row r="28" spans="1:29" ht="27">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3"/>
      <c r="Q28" s="1349" t="str">
        <f t="shared" si="8"/>
        <v>毗邻道路的类型与等级</v>
      </c>
      <c r="R28" s="705" t="s">
        <v>14</v>
      </c>
      <c r="S28" s="706">
        <f t="shared" si="10"/>
        <v>100</v>
      </c>
      <c r="T28" s="705" t="s">
        <v>14</v>
      </c>
      <c r="U28" s="706">
        <f t="shared" si="11"/>
        <v>100</v>
      </c>
      <c r="V28" s="705" t="s">
        <v>14</v>
      </c>
      <c r="W28" s="706">
        <f t="shared" si="12"/>
        <v>100</v>
      </c>
      <c r="X28" s="1352"/>
      <c r="Y28" s="381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813"/>
      <c r="Q29" s="1349"/>
      <c r="R29" s="705"/>
      <c r="S29" s="706"/>
      <c r="T29" s="705"/>
      <c r="U29" s="706"/>
      <c r="V29" s="705"/>
      <c r="W29" s="706"/>
      <c r="X29" s="1352"/>
      <c r="Y29" s="3813"/>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3"/>
      <c r="Q30" s="1349" t="str">
        <f t="shared" si="8"/>
        <v>土地级别</v>
      </c>
      <c r="R30" s="705" t="s">
        <v>14</v>
      </c>
      <c r="S30" s="706">
        <f t="shared" si="10"/>
        <v>100</v>
      </c>
      <c r="T30" s="705" t="s">
        <v>14</v>
      </c>
      <c r="U30" s="706">
        <f t="shared" si="11"/>
        <v>100</v>
      </c>
      <c r="V30" s="705" t="s">
        <v>14</v>
      </c>
      <c r="W30" s="706">
        <f t="shared" si="12"/>
        <v>100</v>
      </c>
      <c r="X30" s="1352"/>
      <c r="Y30" s="381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3"/>
      <c r="Q31" s="1349">
        <f t="shared" si="8"/>
        <v>111</v>
      </c>
      <c r="R31" s="705" t="s">
        <v>14</v>
      </c>
      <c r="S31" s="706">
        <f t="shared" si="10"/>
        <v>100</v>
      </c>
      <c r="T31" s="705" t="s">
        <v>14</v>
      </c>
      <c r="U31" s="706">
        <f t="shared" si="11"/>
        <v>100</v>
      </c>
      <c r="V31" s="705" t="s">
        <v>14</v>
      </c>
      <c r="W31" s="706">
        <f t="shared" si="12"/>
        <v>100</v>
      </c>
      <c r="X31" s="1352"/>
      <c r="Y31" s="381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6" t="s">
        <v>1694</v>
      </c>
      <c r="Q32" s="1349">
        <f t="shared" si="8"/>
        <v>111</v>
      </c>
      <c r="R32" s="705" t="s">
        <v>14</v>
      </c>
      <c r="S32" s="706">
        <f t="shared" si="10"/>
        <v>100</v>
      </c>
      <c r="T32" s="705" t="s">
        <v>14</v>
      </c>
      <c r="U32" s="706">
        <f t="shared" si="11"/>
        <v>100</v>
      </c>
      <c r="V32" s="705" t="s">
        <v>14</v>
      </c>
      <c r="W32" s="706">
        <f t="shared" si="12"/>
        <v>100</v>
      </c>
      <c r="X32" s="1352"/>
      <c r="Y32" s="3817" t="s">
        <v>1694</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7"/>
      <c r="Q33" s="1349">
        <f t="shared" si="8"/>
        <v>111</v>
      </c>
      <c r="R33" s="708" t="s">
        <v>14</v>
      </c>
      <c r="S33" s="709">
        <f t="shared" si="10"/>
        <v>100</v>
      </c>
      <c r="T33" s="708" t="s">
        <v>14</v>
      </c>
      <c r="U33" s="709">
        <f t="shared" si="11"/>
        <v>100</v>
      </c>
      <c r="V33" s="708" t="s">
        <v>14</v>
      </c>
      <c r="W33" s="709">
        <f t="shared" si="12"/>
        <v>100</v>
      </c>
      <c r="X33" s="710"/>
      <c r="Y33" s="3817"/>
      <c r="Z33" s="711">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7"/>
      <c r="Q34" s="1349" t="str">
        <f>B34</f>
        <v>宗地面积</v>
      </c>
      <c r="R34" s="705" t="s">
        <v>14</v>
      </c>
      <c r="S34" s="706" t="e">
        <f t="shared" si="10"/>
        <v>#N/A</v>
      </c>
      <c r="T34" s="705" t="s">
        <v>14</v>
      </c>
      <c r="U34" s="706" t="e">
        <f t="shared" si="11"/>
        <v>#N/A</v>
      </c>
      <c r="V34" s="705" t="s">
        <v>14</v>
      </c>
      <c r="W34" s="706" t="e">
        <f t="shared" si="12"/>
        <v>#N/A</v>
      </c>
      <c r="X34" s="1352"/>
      <c r="Y34" s="3817"/>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817"/>
      <c r="Q35" s="1349" t="str">
        <f t="shared" ref="Q35:Q40" si="14">B35</f>
        <v>宗地形状</v>
      </c>
      <c r="R35" s="705" t="s">
        <v>14</v>
      </c>
      <c r="S35" s="706">
        <f t="shared" si="10"/>
        <v>100</v>
      </c>
      <c r="T35" s="705" t="s">
        <v>14</v>
      </c>
      <c r="U35" s="706">
        <f t="shared" si="11"/>
        <v>100</v>
      </c>
      <c r="V35" s="705" t="s">
        <v>14</v>
      </c>
      <c r="W35" s="706">
        <f t="shared" si="12"/>
        <v>100</v>
      </c>
      <c r="X35" s="1352"/>
      <c r="Y35" s="3817"/>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817"/>
      <c r="Q36" s="1349" t="str">
        <f t="shared" si="14"/>
        <v>宗地开发程度</v>
      </c>
      <c r="R36" s="701" t="s">
        <v>14</v>
      </c>
      <c r="S36" s="702">
        <f t="shared" si="10"/>
        <v>100</v>
      </c>
      <c r="T36" s="701" t="s">
        <v>14</v>
      </c>
      <c r="U36" s="702">
        <f t="shared" si="11"/>
        <v>100</v>
      </c>
      <c r="V36" s="701" t="s">
        <v>14</v>
      </c>
      <c r="W36" s="702">
        <f t="shared" si="12"/>
        <v>100</v>
      </c>
      <c r="X36" s="703"/>
      <c r="Y36" s="3817"/>
      <c r="Z36" s="52" t="str">
        <f t="shared" si="13"/>
        <v>宗地开发程度</v>
      </c>
      <c r="AA36" s="704">
        <f t="shared" si="3"/>
        <v>1</v>
      </c>
      <c r="AB36" s="704">
        <f t="shared" si="4"/>
        <v>1</v>
      </c>
      <c r="AC36" s="704">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817" t="s">
        <v>1694</v>
      </c>
      <c r="Q37" s="1349" t="str">
        <f t="shared" si="14"/>
        <v>工程地质条件</v>
      </c>
      <c r="R37" s="705" t="s">
        <v>14</v>
      </c>
      <c r="S37" s="706">
        <f t="shared" si="10"/>
        <v>100</v>
      </c>
      <c r="T37" s="705" t="s">
        <v>14</v>
      </c>
      <c r="U37" s="706">
        <f t="shared" si="11"/>
        <v>100</v>
      </c>
      <c r="V37" s="705" t="s">
        <v>14</v>
      </c>
      <c r="W37" s="706">
        <f t="shared" si="12"/>
        <v>100</v>
      </c>
      <c r="X37" s="1352"/>
      <c r="Y37" s="3817"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7"/>
      <c r="Q38" s="1349">
        <f t="shared" si="14"/>
        <v>111</v>
      </c>
      <c r="R38" s="705" t="s">
        <v>14</v>
      </c>
      <c r="S38" s="706">
        <f t="shared" si="10"/>
        <v>100</v>
      </c>
      <c r="T38" s="705" t="s">
        <v>14</v>
      </c>
      <c r="U38" s="706">
        <f t="shared" si="11"/>
        <v>100</v>
      </c>
      <c r="V38" s="705" t="s">
        <v>14</v>
      </c>
      <c r="W38" s="706">
        <f t="shared" si="12"/>
        <v>100</v>
      </c>
      <c r="X38" s="1352"/>
      <c r="Y38" s="381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7"/>
      <c r="Q39" s="1349">
        <f t="shared" si="14"/>
        <v>111</v>
      </c>
      <c r="R39" s="705" t="s">
        <v>14</v>
      </c>
      <c r="S39" s="706">
        <f t="shared" si="10"/>
        <v>100</v>
      </c>
      <c r="T39" s="705" t="s">
        <v>14</v>
      </c>
      <c r="U39" s="706">
        <f t="shared" si="11"/>
        <v>100</v>
      </c>
      <c r="V39" s="705" t="s">
        <v>14</v>
      </c>
      <c r="W39" s="706">
        <f t="shared" si="12"/>
        <v>100</v>
      </c>
      <c r="X39" s="1352"/>
      <c r="Y39" s="381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7"/>
      <c r="Q40" s="1349">
        <f t="shared" si="14"/>
        <v>111</v>
      </c>
      <c r="R40" s="708" t="s">
        <v>14</v>
      </c>
      <c r="S40" s="709">
        <f t="shared" si="10"/>
        <v>100</v>
      </c>
      <c r="T40" s="708" t="s">
        <v>14</v>
      </c>
      <c r="U40" s="709">
        <f t="shared" si="11"/>
        <v>100</v>
      </c>
      <c r="V40" s="708" t="s">
        <v>14</v>
      </c>
      <c r="W40" s="709">
        <f t="shared" si="12"/>
        <v>100</v>
      </c>
      <c r="X40" s="710"/>
      <c r="Y40" s="3817"/>
      <c r="Z40" s="711">
        <f t="shared" si="13"/>
        <v>111</v>
      </c>
      <c r="AA40" s="1350">
        <f t="shared" si="3"/>
        <v>1</v>
      </c>
      <c r="AB40" s="1350">
        <f t="shared" si="4"/>
        <v>1</v>
      </c>
      <c r="AC40" s="1350">
        <f t="shared" si="5"/>
        <v>1</v>
      </c>
    </row>
    <row r="41" spans="1:31" ht="15">
      <c r="A41" s="430" t="s">
        <v>1842</v>
      </c>
      <c r="B41" s="1979" t="s">
        <v>1920</v>
      </c>
      <c r="C41" s="630" t="s">
        <v>0</v>
      </c>
      <c r="D41" s="432"/>
      <c r="E41" s="433"/>
      <c r="F41" s="434"/>
      <c r="G41" s="435"/>
      <c r="H41" s="436"/>
      <c r="I41" s="433"/>
      <c r="J41" s="436"/>
      <c r="K41" s="714"/>
      <c r="L41" s="2721"/>
      <c r="M41" s="2713"/>
      <c r="N41" s="2713"/>
      <c r="O41" s="2722"/>
      <c r="P41" s="3810" t="str">
        <f>A41</f>
        <v>成交单价</v>
      </c>
      <c r="Q41" s="3810"/>
      <c r="R41" s="3805">
        <f>E41</f>
        <v>0</v>
      </c>
      <c r="S41" s="3805"/>
      <c r="T41" s="3805">
        <f>G41</f>
        <v>0</v>
      </c>
      <c r="U41" s="3805"/>
      <c r="V41" s="3805">
        <f>I41</f>
        <v>0</v>
      </c>
      <c r="W41" s="3805"/>
      <c r="X41" s="690"/>
      <c r="Y41" s="712"/>
      <c r="Z41" s="690"/>
      <c r="AA41" s="690"/>
      <c r="AB41" s="690"/>
      <c r="AC41" s="690"/>
    </row>
    <row r="42" spans="1:31" ht="15.75" thickBot="1">
      <c r="A42" s="437" t="s">
        <v>1791</v>
      </c>
      <c r="B42" s="631"/>
      <c r="C42" s="440" t="e">
        <f>R43</f>
        <v>#DIV/0!</v>
      </c>
      <c r="D42" s="2314" t="s">
        <v>2135</v>
      </c>
      <c r="E42" s="440" t="e">
        <f>R42</f>
        <v>#DIV/0!</v>
      </c>
      <c r="F42" s="2315"/>
      <c r="G42" s="439" t="e">
        <f>T42</f>
        <v>#DIV/0!</v>
      </c>
      <c r="H42" s="2315"/>
      <c r="I42" s="440" t="e">
        <f>V42</f>
        <v>#DIV/0!</v>
      </c>
      <c r="J42" s="2315"/>
      <c r="K42" s="2317">
        <f>F42+H42+J42</f>
        <v>0</v>
      </c>
      <c r="L42" s="2721"/>
      <c r="M42" s="2713"/>
      <c r="N42" s="2713"/>
      <c r="O42" s="2722"/>
      <c r="P42" s="3810" t="str">
        <f>A42</f>
        <v>比较价值（元/平方米）</v>
      </c>
      <c r="Q42" s="3810"/>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807" t="str">
        <f>A43</f>
        <v>估价对象XX用房的比较价值（楼面单价，元/平方米）</v>
      </c>
      <c r="Q43" s="3808"/>
      <c r="R43" s="3839" t="e">
        <f>ROUND(IF(D42="简单平均",AVERAGE(R42:W42),R42*F42+T42*H42+V42*J42),0)</f>
        <v>#DIV/0!</v>
      </c>
      <c r="S43" s="3839"/>
      <c r="T43" s="3839"/>
      <c r="U43" s="3839"/>
      <c r="V43" s="3839"/>
      <c r="W43" s="383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0" t="s">
        <v>1881</v>
      </c>
      <c r="D50" s="1981" t="s">
        <v>1882</v>
      </c>
      <c r="E50" s="634" t="s">
        <v>1883</v>
      </c>
      <c r="F50" s="635" t="s">
        <v>1884</v>
      </c>
      <c r="G50" s="3793" t="s">
        <v>1885</v>
      </c>
      <c r="H50" s="3840"/>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1">
        <v>1</v>
      </c>
      <c r="E51" s="638">
        <f>'数据-汇总表'!E8+'数据-汇总表'!E9</f>
        <v>66617.25</v>
      </c>
      <c r="F51" s="639" t="e">
        <f t="shared" ref="F51:F60" si="15">ROUND(B51*E51/10000,0)</f>
        <v>#DIV/0!</v>
      </c>
      <c r="G51" s="3792"/>
      <c r="H51" s="3810"/>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2">
        <v>0.25</v>
      </c>
      <c r="E52" s="642"/>
      <c r="F52" s="639" t="e">
        <f t="shared" si="15"/>
        <v>#DIV/0!</v>
      </c>
      <c r="G52" s="3003" t="s">
        <v>1890</v>
      </c>
      <c r="H52" s="884" t="str">
        <f>项目基本情况!B37</f>
        <v>三级</v>
      </c>
      <c r="I52" s="770">
        <f>SUMIF(修正!A57:A68,H52,修正!B57:B68)</f>
        <v>0.6</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2">
        <v>0.25</v>
      </c>
      <c r="E53" s="642"/>
      <c r="F53" s="639" t="e">
        <f t="shared" si="15"/>
        <v>#DIV/0!</v>
      </c>
      <c r="G53" s="3004"/>
      <c r="H53" s="884" t="str">
        <f>项目基本情况!B37</f>
        <v>三级</v>
      </c>
      <c r="I53" s="770">
        <f>SUMIF(修正!A57:A68,H53,修正!C57:C68)</f>
        <v>0.3</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2">
        <v>0.25</v>
      </c>
      <c r="E54" s="642"/>
      <c r="F54" s="639" t="e">
        <f t="shared" si="15"/>
        <v>#DIV/0!</v>
      </c>
      <c r="G54" s="3004"/>
      <c r="H54" s="884" t="str">
        <f>项目基本情况!B37</f>
        <v>三级</v>
      </c>
      <c r="I54" s="770">
        <f>SUMIF(修正!A57:A68,H54,修正!D57:D68)</f>
        <v>0.25</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0.3</v>
      </c>
      <c r="D56" s="942">
        <v>0.25</v>
      </c>
      <c r="E56" s="217">
        <f>'数据-汇总表'!E11</f>
        <v>7419.8799999999983</v>
      </c>
      <c r="F56" s="639" t="e">
        <f t="shared" si="15"/>
        <v>#DIV/0!</v>
      </c>
      <c r="G56" s="1984" t="s">
        <v>1894</v>
      </c>
      <c r="H56" s="884" t="str">
        <f>项目基本情况!C37</f>
        <v>二级</v>
      </c>
      <c r="I56" s="770">
        <f>SUMIF(修正!A57:A68,H56,修正!E57:E68)</f>
        <v>0.3</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0.3</v>
      </c>
      <c r="D57" s="942">
        <v>0.25</v>
      </c>
      <c r="E57" s="217">
        <f>'数据-汇总表'!E12</f>
        <v>2642.55</v>
      </c>
      <c r="F57" s="639" t="e">
        <f t="shared" si="15"/>
        <v>#DIV/0!</v>
      </c>
      <c r="G57" s="889" t="s">
        <v>1896</v>
      </c>
      <c r="H57" s="884" t="str">
        <f>IF(G57="商业",项目基本情况!B37,IF(G57="办公",项目基本情况!C37,IF(G57="住宅",项目基本情况!D37,项目基本情况!E37)))</f>
        <v>二级</v>
      </c>
      <c r="I57" s="770">
        <f>SUMIF(修正!A57:A68,H57,修正!F57:F68)</f>
        <v>0.3</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2">
        <v>0.25</v>
      </c>
      <c r="E58" s="217">
        <f>'数据-汇总表'!E13</f>
        <v>10131.459999999992</v>
      </c>
      <c r="F58" s="639" t="e">
        <f t="shared" si="15"/>
        <v>#DIV/0!</v>
      </c>
      <c r="G58" s="889" t="s">
        <v>1898</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2">
        <v>0.25</v>
      </c>
      <c r="E59" s="217">
        <f>'数据-汇总表'!E14</f>
        <v>0</v>
      </c>
      <c r="F59" s="639" t="e">
        <f t="shared" si="15"/>
        <v>#DIV/0!</v>
      </c>
      <c r="G59" s="1984" t="s">
        <v>1890</v>
      </c>
      <c r="H59" s="884" t="str">
        <f>项目基本情况!B37</f>
        <v>三级</v>
      </c>
      <c r="I59" s="770">
        <f>SUMIF(修正!A57:A68,H59,修正!G57:G68)</f>
        <v>0.15</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0.2</v>
      </c>
      <c r="D60" s="942">
        <v>0.25</v>
      </c>
      <c r="E60" s="217">
        <f>'数据-汇总表'!E15</f>
        <v>0</v>
      </c>
      <c r="F60" s="639" t="e">
        <f t="shared" si="15"/>
        <v>#DIV/0!</v>
      </c>
      <c r="G60" s="1985" t="s">
        <v>1894</v>
      </c>
      <c r="H60" s="894" t="str">
        <f>项目基本情况!C37</f>
        <v>二级</v>
      </c>
      <c r="I60" s="770">
        <f>SUMIF(修正!A57:A68,H60,修正!G57:G68)</f>
        <v>0.2</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391</v>
      </c>
      <c r="E61" s="644">
        <f>IF(B41="楼面地价",SUM(E51:E60),'数据-汇总表'!D3)</f>
        <v>10426.780000000001</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5">
      <c r="A65" s="1986" t="s">
        <v>1902</v>
      </c>
      <c r="B65" s="1106"/>
      <c r="C65" s="1179" t="str">
        <f>YEAR(C63)&amp;"-"&amp;ROUNDUP(MONTH(C63)/3,0)</f>
        <v>2023-1</v>
      </c>
      <c r="D65" s="1179" t="str">
        <f t="shared" ref="D65:O65" si="19">YEAR(D63)&amp;"-"&amp;ROUNDUP(MONTH(D63)/3,0)</f>
        <v>2022-4</v>
      </c>
      <c r="E65" s="1179" t="str">
        <f t="shared" si="19"/>
        <v>2022-3</v>
      </c>
      <c r="F65" s="1179" t="str">
        <f t="shared" si="19"/>
        <v>2022-2</v>
      </c>
      <c r="G65" s="1179" t="str">
        <f t="shared" si="19"/>
        <v>2022-1</v>
      </c>
      <c r="H65" s="1179" t="str">
        <f t="shared" si="19"/>
        <v>2021-4</v>
      </c>
      <c r="I65" s="1179" t="str">
        <f t="shared" si="19"/>
        <v>2021-3</v>
      </c>
      <c r="J65" s="1179" t="str">
        <f t="shared" si="19"/>
        <v>2021-2</v>
      </c>
      <c r="K65" s="1179" t="str">
        <f t="shared" si="19"/>
        <v>2021-1</v>
      </c>
      <c r="L65" s="1179" t="str">
        <f t="shared" si="19"/>
        <v>2020-4</v>
      </c>
      <c r="M65" s="1179" t="str">
        <f t="shared" si="19"/>
        <v>2020-3</v>
      </c>
      <c r="N65" s="1179" t="str">
        <f t="shared" si="19"/>
        <v>2020-2</v>
      </c>
      <c r="O65" s="1179"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U456" sqref="U45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2080</v>
      </c>
      <c r="C1" s="3848" t="s">
        <v>2081</v>
      </c>
      <c r="D1" s="3849"/>
      <c r="E1" s="3849"/>
      <c r="F1" s="3849"/>
      <c r="G1" s="3849"/>
      <c r="H1" s="3849"/>
      <c r="I1" s="3849"/>
      <c r="J1" s="3849"/>
      <c r="K1" s="3849"/>
      <c r="L1" s="3849"/>
      <c r="M1" s="3849"/>
      <c r="N1" s="3849"/>
      <c r="O1" s="3849"/>
      <c r="P1" s="3849"/>
      <c r="Q1" s="3849"/>
      <c r="R1" s="3849"/>
      <c r="S1" s="3850"/>
      <c r="T1" s="980" t="s">
        <v>2082</v>
      </c>
    </row>
    <row r="2" spans="1:45" s="655" customFormat="1">
      <c r="A2" s="981"/>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2084</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2085</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2086</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2087</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2088</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2089</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2090</v>
      </c>
      <c r="B17" s="2146"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2092</v>
      </c>
      <c r="E19" s="1337"/>
      <c r="F19" s="1337"/>
      <c r="G19" s="1337"/>
      <c r="H19" s="1056"/>
      <c r="I19" s="159"/>
      <c r="J19" s="159"/>
      <c r="K19" s="159"/>
      <c r="L19" s="159"/>
      <c r="M19" s="159"/>
      <c r="N19" s="159"/>
      <c r="O19" s="159"/>
      <c r="P19" s="159"/>
      <c r="Q19" s="159"/>
      <c r="R19" s="718"/>
      <c r="S19" s="129"/>
    </row>
    <row r="20" spans="1:45" ht="16.5" thickBot="1">
      <c r="A20" s="662" t="s">
        <v>2093</v>
      </c>
      <c r="B20" s="294" t="e">
        <f ca="1">IF(D20="——",S22,S22-F20)</f>
        <v>#REF!</v>
      </c>
      <c r="C20" s="159"/>
      <c r="D20" s="2148"/>
      <c r="E20" s="1338"/>
      <c r="F20" s="980" t="e">
        <f ca="1">SUMIF(INDIRECT("'"&amp;H20&amp;"'"&amp;"!A:A"),"承租人权益价值",INDIRECT("'"&amp;H20&amp;"'"&amp;"!c:c"))</f>
        <v>#REF!</v>
      </c>
      <c r="G20" s="980" t="s">
        <v>2094</v>
      </c>
      <c r="H20" s="2149"/>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45" t="s">
        <v>27</v>
      </c>
      <c r="D22" s="3846"/>
      <c r="E22" s="3846"/>
      <c r="F22" s="3846"/>
      <c r="G22" s="3846"/>
      <c r="H22" s="3846"/>
      <c r="I22" s="3846"/>
      <c r="J22" s="3846"/>
      <c r="K22" s="3846"/>
      <c r="L22" s="3846"/>
      <c r="M22" s="3846"/>
      <c r="N22" s="3846"/>
      <c r="O22" s="3846"/>
      <c r="P22" s="3846"/>
      <c r="Q22" s="384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907</v>
      </c>
      <c r="B1" s="1488"/>
      <c r="C1" s="1488"/>
      <c r="D1" s="1488"/>
      <c r="E1" s="1488"/>
    </row>
    <row r="2" spans="1:5" ht="78" customHeight="1">
      <c r="A2" s="35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6"/>
      <c r="C2" s="3566"/>
      <c r="D2" s="3566"/>
      <c r="E2" s="3566"/>
    </row>
    <row r="3" spans="1:5" ht="18">
      <c r="A3" s="3567" t="str">
        <f>IF(项目基本情况!B9="房地产市场价值","估价结果一览表（市场价值不需“结果表-1”）","估价结果一览表")</f>
        <v>估价结果一览表</v>
      </c>
      <c r="B3" s="3567"/>
      <c r="C3" s="3567"/>
      <c r="D3" s="3567"/>
      <c r="E3" s="3567"/>
    </row>
    <row r="4" spans="1:5" ht="19.5" thickBot="1">
      <c r="A4" s="1490"/>
      <c r="B4" s="3565" t="s">
        <v>916</v>
      </c>
      <c r="C4" s="3565"/>
      <c r="D4" s="3565"/>
      <c r="E4" s="1490"/>
    </row>
    <row r="5" spans="1:5" ht="16.5" thickTop="1">
      <c r="A5" s="1488"/>
      <c r="B5" s="3563" t="s">
        <v>908</v>
      </c>
      <c r="C5" s="1491" t="s">
        <v>909</v>
      </c>
      <c r="D5" s="847">
        <f ca="1">结果表!H101</f>
        <v>520309</v>
      </c>
      <c r="E5" s="1488"/>
    </row>
    <row r="6" spans="1:5" ht="15.75">
      <c r="A6" s="1488"/>
      <c r="B6" s="3563"/>
      <c r="C6" s="1491" t="s">
        <v>910</v>
      </c>
      <c r="D6" s="847" t="str">
        <f ca="1">NUMBERSTRING(INT(D5*10000),2)&amp;"元整"</f>
        <v>伍拾贰亿零叁佰零玖万元整</v>
      </c>
      <c r="E6" s="1488"/>
    </row>
    <row r="7" spans="1:5" ht="15.75">
      <c r="A7" s="1488"/>
      <c r="B7" s="3568"/>
      <c r="C7" s="1492" t="s">
        <v>911</v>
      </c>
      <c r="D7" s="848">
        <f ca="1">结果表!H102</f>
        <v>46396</v>
      </c>
      <c r="E7" s="1488"/>
    </row>
    <row r="8" spans="1:5" ht="15.75">
      <c r="A8" s="1488"/>
      <c r="B8" s="3569" t="str">
        <f>结果表!E103</f>
        <v>2.估价师知悉的法定优先受偿款</v>
      </c>
      <c r="C8" s="1493" t="s">
        <v>912</v>
      </c>
      <c r="D8" s="848">
        <f>结果表!H103</f>
        <v>0</v>
      </c>
      <c r="E8" s="1488"/>
    </row>
    <row r="9" spans="1:5" ht="15.75">
      <c r="A9" s="1488"/>
      <c r="B9" s="3571"/>
      <c r="C9" s="1491" t="s">
        <v>910</v>
      </c>
      <c r="D9" s="847" t="str">
        <f>NUMBERSTRING(INT(D8*10000),2)&amp;"元整"</f>
        <v>零元整</v>
      </c>
      <c r="E9" s="1488"/>
    </row>
    <row r="10" spans="1:5" ht="15">
      <c r="A10" s="1488"/>
      <c r="B10" s="1494" t="s">
        <v>915</v>
      </c>
      <c r="C10" s="1495" t="s">
        <v>913</v>
      </c>
      <c r="D10" s="849">
        <f>结果表!H104</f>
        <v>0</v>
      </c>
      <c r="E10" s="1488"/>
    </row>
    <row r="11" spans="1:5" ht="15">
      <c r="A11" s="1488"/>
      <c r="B11" s="1494" t="s">
        <v>917</v>
      </c>
      <c r="C11" s="1495" t="s">
        <v>918</v>
      </c>
      <c r="D11" s="849">
        <f>结果表!H105</f>
        <v>0</v>
      </c>
      <c r="E11" s="1488"/>
    </row>
    <row r="12" spans="1:5" ht="15">
      <c r="A12" s="1488"/>
      <c r="B12" s="1494" t="s">
        <v>919</v>
      </c>
      <c r="C12" s="1495" t="s">
        <v>918</v>
      </c>
      <c r="D12" s="849">
        <f>结果表!H106</f>
        <v>0</v>
      </c>
      <c r="E12" s="1488"/>
    </row>
    <row r="13" spans="1:5" ht="15.75">
      <c r="A13" s="1488"/>
      <c r="B13" s="3562" t="str">
        <f>结果表!E107</f>
        <v>3.房地产抵押价值</v>
      </c>
      <c r="C13" s="1496" t="s">
        <v>909</v>
      </c>
      <c r="D13" s="850">
        <f ca="1">结果表!H107</f>
        <v>520309</v>
      </c>
      <c r="E13" s="1488"/>
    </row>
    <row r="14" spans="1:5" ht="15.75">
      <c r="A14" s="1488"/>
      <c r="B14" s="3563"/>
      <c r="C14" s="1491" t="s">
        <v>910</v>
      </c>
      <c r="D14" s="847" t="str">
        <f ca="1">NUMBERSTRING(INT(D13*10000),2)&amp;"元整"</f>
        <v>伍拾贰亿零叁佰零玖万元整</v>
      </c>
      <c r="E14" s="1488"/>
    </row>
    <row r="15" spans="1:5" ht="15">
      <c r="A15" s="1488"/>
      <c r="B15" s="3568"/>
      <c r="C15" s="1492" t="s">
        <v>920</v>
      </c>
      <c r="D15" s="856">
        <f ca="1">结果表!H108</f>
        <v>46396</v>
      </c>
      <c r="E15" s="1488"/>
    </row>
    <row r="16" spans="1:5" ht="15">
      <c r="A16" s="1488"/>
      <c r="B16" s="3569" t="str">
        <f>结果表!E109</f>
        <v>——</v>
      </c>
      <c r="C16" s="1496" t="s">
        <v>921</v>
      </c>
      <c r="D16" s="1497" t="str">
        <f>结果表!H109</f>
        <v>——</v>
      </c>
      <c r="E16" s="1488"/>
    </row>
    <row r="17" spans="1:5" ht="15.75">
      <c r="A17" s="1488"/>
      <c r="B17" s="3570"/>
      <c r="C17" s="1491" t="s">
        <v>922</v>
      </c>
      <c r="D17" s="847" t="e">
        <f>NUMBERSTRING(INT(D16*10000),2)&amp;"元整"</f>
        <v>#VALUE!</v>
      </c>
      <c r="E17" s="1488"/>
    </row>
    <row r="18" spans="1:5" ht="15">
      <c r="A18" s="1488"/>
      <c r="B18" s="3571"/>
      <c r="C18" s="1492" t="s">
        <v>911</v>
      </c>
      <c r="D18" s="856" t="str">
        <f>结果表!H110</f>
        <v>——</v>
      </c>
      <c r="E18" s="1488"/>
    </row>
    <row r="19" spans="1:5" ht="15.75">
      <c r="A19" s="1488"/>
      <c r="B19" s="3562" t="str">
        <f>结果表!E111</f>
        <v>4.抵押净值</v>
      </c>
      <c r="C19" s="1496" t="s">
        <v>909</v>
      </c>
      <c r="D19" s="848">
        <f ca="1">结果表!H111</f>
        <v>444381</v>
      </c>
      <c r="E19" s="1488"/>
    </row>
    <row r="20" spans="1:5" ht="15.75">
      <c r="A20" s="1488"/>
      <c r="B20" s="3563"/>
      <c r="C20" s="1491" t="s">
        <v>922</v>
      </c>
      <c r="D20" s="847" t="str">
        <f ca="1">NUMBERSTRING(INT(D19*10000),2)&amp;"元整"</f>
        <v>肆拾肆亿肆仟叁佰捌拾壹万元整</v>
      </c>
      <c r="E20" s="1488"/>
    </row>
    <row r="21" spans="1:5" ht="15.75" thickBot="1">
      <c r="A21" s="1488"/>
      <c r="B21" s="3564"/>
      <c r="C21" s="1498" t="s">
        <v>920</v>
      </c>
      <c r="D21" s="857">
        <f ca="1">结果表!H112</f>
        <v>39626</v>
      </c>
      <c r="E21" s="1488"/>
    </row>
    <row r="22" spans="1:5" ht="15" thickTop="1">
      <c r="A22" s="1488"/>
      <c r="B22" s="1499" t="s">
        <v>923</v>
      </c>
      <c r="C22" s="1488"/>
      <c r="D22" s="1488"/>
      <c r="E22" s="1488"/>
    </row>
    <row r="23" spans="1:5">
      <c r="A23" s="1488"/>
      <c r="B23" s="1488"/>
      <c r="C23" s="1488"/>
      <c r="D23" s="1488"/>
      <c r="E23" s="1488"/>
    </row>
    <row r="24" spans="1:5" ht="18.75">
      <c r="A24" s="1500"/>
      <c r="B24" s="1501" t="s">
        <v>914</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4"/>
      <c r="C1" s="2144"/>
      <c r="D1" s="2144"/>
      <c r="E1" s="2144"/>
      <c r="F1" s="2790"/>
      <c r="G1" s="2790"/>
      <c r="H1" s="2790"/>
      <c r="I1" s="2790"/>
      <c r="J1" s="2790"/>
      <c r="K1" s="2790"/>
      <c r="L1" s="2790"/>
      <c r="M1" s="2790"/>
      <c r="N1" s="2790"/>
      <c r="O1" s="2790"/>
      <c r="P1" s="2790"/>
    </row>
    <row r="2" spans="1:16" ht="15.75">
      <c r="A2" s="2142" t="s">
        <v>2071</v>
      </c>
      <c r="B2" s="2599">
        <f ca="1">SUMIF(B6:B13,"&lt;&gt;#ref!",B6:B13)</f>
        <v>206695</v>
      </c>
      <c r="C2" s="2142" t="s">
        <v>2072</v>
      </c>
      <c r="D2" s="2142" t="s">
        <v>2073</v>
      </c>
      <c r="E2" s="2609">
        <f ca="1">SUMIF(E6:E13,"&lt;&gt;#ref!",E6:E13)</f>
        <v>103316.88999999998</v>
      </c>
      <c r="F2" s="2790"/>
      <c r="G2" s="2790"/>
      <c r="H2" s="2790"/>
      <c r="I2" s="2790"/>
      <c r="J2" s="2790"/>
      <c r="K2" s="2790"/>
      <c r="L2" s="2790"/>
      <c r="M2" s="2790"/>
      <c r="N2" s="2790"/>
      <c r="O2" s="2790"/>
      <c r="P2" s="2790"/>
    </row>
    <row r="3" spans="1:16" ht="15.75">
      <c r="A3" s="2142" t="s">
        <v>2074</v>
      </c>
      <c r="B3" s="2599">
        <f ca="1">ROUND(B2*10000/E2,0)</f>
        <v>20006</v>
      </c>
      <c r="C3" s="2142" t="s">
        <v>2079</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3"/>
      <c r="D5" s="2790"/>
      <c r="E5" s="2608" t="s">
        <v>2077</v>
      </c>
      <c r="F5" s="2790"/>
      <c r="G5" s="2790"/>
      <c r="H5" s="2790"/>
      <c r="I5" s="2790"/>
      <c r="J5" s="2790"/>
      <c r="K5" s="2790"/>
      <c r="L5" s="2790"/>
      <c r="M5" s="2790"/>
      <c r="N5" s="2790"/>
      <c r="O5" s="2790"/>
      <c r="P5" s="2790"/>
    </row>
    <row r="6" spans="1:16" ht="15.75">
      <c r="A6" s="2606" t="s">
        <v>3480</v>
      </c>
      <c r="B6" s="2599">
        <f ca="1">SUMIF(INDIRECT("'"&amp;A6&amp;"'"&amp;"!A:A"),"总价",INDIRECT("'"&amp;A6&amp;"'"&amp;"!B:B"))</f>
        <v>157858</v>
      </c>
      <c r="C6" s="2142" t="s">
        <v>2072</v>
      </c>
      <c r="D6" s="2790"/>
      <c r="E6" s="2609">
        <f ca="1">SUMIF(INDIRECT("'"&amp;A6&amp;"'"&amp;"!C:C"),"建筑面积",INDIRECT("'"&amp;A6&amp;"'"&amp;"!D:D"))</f>
        <v>77983.549999999988</v>
      </c>
      <c r="F6" s="2790"/>
      <c r="G6" s="2790"/>
      <c r="H6" s="2790"/>
      <c r="I6" s="2790"/>
      <c r="J6" s="2790"/>
      <c r="K6" s="2790"/>
      <c r="L6" s="2790"/>
      <c r="M6" s="2790"/>
      <c r="N6" s="2790"/>
      <c r="O6" s="2790"/>
      <c r="P6" s="2790"/>
    </row>
    <row r="7" spans="1:16" ht="15.75">
      <c r="A7" s="2606" t="s">
        <v>3482</v>
      </c>
      <c r="B7" s="2599">
        <f ca="1">SUMIF(INDIRECT("'"&amp;A7&amp;"'"&amp;"!A:A"),"总价",INDIRECT("'"&amp;A7&amp;"'"&amp;"!B:B"))</f>
        <v>48837</v>
      </c>
      <c r="C7" s="2142" t="s">
        <v>2072</v>
      </c>
      <c r="D7" s="2790"/>
      <c r="E7" s="2609">
        <f t="shared" ref="E7:E13" ca="1" si="0">SUMIF(INDIRECT("'"&amp;A7&amp;"'"&amp;"!C:C"),"建筑面积",INDIRECT("'"&amp;A7&amp;"'"&amp;"!D:D"))</f>
        <v>25333.340000000004</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19" sqref="C1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77983.549999999988</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157858</v>
      </c>
      <c r="C2" s="1996" t="s">
        <v>1933</v>
      </c>
      <c r="D2" s="1997" t="s">
        <v>1934</v>
      </c>
      <c r="E2" s="3419" t="s">
        <v>21</v>
      </c>
      <c r="F2" s="1997" t="s">
        <v>1935</v>
      </c>
      <c r="G2" s="1998" t="str">
        <f>IF(E2="商业",项目基本情况!B37,IF(E2="办公",项目基本情况!C37,IF(E2="住宅",项目基本情况!D37,IF(E2="工业",项目基本情况!E37,项目基本情况!F37))))</f>
        <v>二级</v>
      </c>
      <c r="H2" s="1997" t="s">
        <v>1936</v>
      </c>
      <c r="I2" s="1998" t="str">
        <f>IF(E2="商业",项目基本情况!B38,IF(E2="办公",项目基本情况!C38,IF(E2="住宅",项目基本情况!D38,IF(E2="工业",项目基本情况!E38,项目基本情况!F38))))</f>
        <v>Ⅱ—03</v>
      </c>
      <c r="J2" s="1999"/>
      <c r="K2" s="1116"/>
      <c r="L2" s="2000" t="s">
        <v>1937</v>
      </c>
      <c r="M2" s="861">
        <f>SUMPRODUCT((区片价!B10:B29=I2)*(区片价!C3:G3=E2)*(区片价!C10:G29))</f>
        <v>27550</v>
      </c>
      <c r="N2" s="863">
        <f>SUMPRODUCT((因素修正幅度!B10:B29=I2)*(因素修正幅度!C3:G3=E2)*(因素修正幅度!C10:G29))</f>
        <v>0.09</v>
      </c>
      <c r="O2" s="1116"/>
      <c r="P2" s="1116"/>
      <c r="Q2" s="1116"/>
      <c r="R2" s="1209">
        <v>1</v>
      </c>
      <c r="S2" s="3358">
        <f>ROUND(SUMPRODUCT((B106:B110=R2)*(C105:N105=G2)*(C106:N110)),4)</f>
        <v>1.5206</v>
      </c>
      <c r="T2" s="3358">
        <f t="shared" ref="T2:T16" si="0">ROUND($C$5*$C$22*$C$23*$C$24*S2*$C$28,0)</f>
        <v>40861</v>
      </c>
      <c r="U2" s="1210"/>
      <c r="V2" s="3358">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20242</v>
      </c>
      <c r="C3" s="1996" t="s">
        <v>1939</v>
      </c>
      <c r="D3" s="1997" t="s">
        <v>1940</v>
      </c>
      <c r="E3" s="3417" t="s">
        <v>3466</v>
      </c>
      <c r="F3" s="2001" t="s">
        <v>3467</v>
      </c>
      <c r="G3" s="749">
        <f>IF(F3="宗地容积率",'数据-汇总表'!I4,IF(F3="估价对象容积率",'数据-汇总表'!I6,'数据-汇总表'!I7))</f>
        <v>6.39</v>
      </c>
      <c r="H3" s="170" t="s">
        <v>1941</v>
      </c>
      <c r="I3" s="772"/>
      <c r="J3" s="1999" t="s">
        <v>1942</v>
      </c>
      <c r="K3" s="1116"/>
      <c r="L3" s="2000" t="s">
        <v>1943</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1.2072000000000001</v>
      </c>
      <c r="T3" s="3358">
        <f t="shared" si="0"/>
        <v>32439</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858"/>
      <c r="B4" s="3859"/>
      <c r="C4" s="3859"/>
      <c r="D4" s="3860"/>
      <c r="E4" s="3860"/>
      <c r="F4" s="3860"/>
      <c r="G4" s="3860"/>
      <c r="H4" s="3860"/>
      <c r="I4" s="3860"/>
      <c r="J4" s="3861"/>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1.0430999999999999</v>
      </c>
      <c r="T4" s="3358">
        <f t="shared" si="0"/>
        <v>28030</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361</v>
      </c>
      <c r="B5" s="2003" t="s">
        <v>1945</v>
      </c>
      <c r="C5" s="750">
        <f>ROUND(IF(E2="商业",C6*C7*C17+C20,(IF(E2="住宅",C6*C13*C17+C20,IF(E2="办公",C6*C12*C17+C20,C6+C20)))),0)</f>
        <v>28911</v>
      </c>
      <c r="D5" s="1336">
        <f>ROUND(C6*C17+C20,0)</f>
        <v>27533</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0.94389999999999996</v>
      </c>
      <c r="T5" s="3358">
        <f t="shared" si="0"/>
        <v>25364</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27550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0.89959999999999996</v>
      </c>
      <c r="T6" s="3358">
        <f t="shared" si="0"/>
        <v>24174</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3238</v>
      </c>
      <c r="B7" s="2018"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1953</v>
      </c>
      <c r="X7" s="1211" t="str">
        <f>G2</f>
        <v>二级</v>
      </c>
      <c r="Y7" s="1211" t="s">
        <v>1954</v>
      </c>
      <c r="Z7" s="1212">
        <f>G3</f>
        <v>6.39</v>
      </c>
      <c r="AA7" s="1213"/>
      <c r="AB7" s="1213"/>
      <c r="AC7" s="1214"/>
      <c r="AD7" s="1215"/>
      <c r="AE7" s="1215"/>
      <c r="AF7" s="1215"/>
      <c r="AG7" s="1215"/>
      <c r="AH7" s="1215"/>
      <c r="AI7" s="1215"/>
      <c r="AJ7" s="1216"/>
    </row>
    <row r="8" spans="1:36" ht="25.5">
      <c r="A8" s="3296"/>
      <c r="B8" s="170" t="s">
        <v>1955</v>
      </c>
      <c r="C8" s="2023" t="s">
        <v>3468</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855" t="s">
        <v>1958</v>
      </c>
      <c r="X8" s="3856"/>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857"/>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8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v>1.05</v>
      </c>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3249</v>
      </c>
      <c r="E18" s="3326"/>
      <c r="F18" s="3321" t="s">
        <v>3252</v>
      </c>
      <c r="G18" s="3325">
        <f>ROUND(1-(1/(POWER(1+G24,E18))),4)</f>
        <v>0</v>
      </c>
      <c r="H18" s="3321" t="s">
        <v>3254</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862" t="s">
        <v>3255</v>
      </c>
      <c r="B20" s="167" t="s">
        <v>1992</v>
      </c>
      <c r="C20" s="3322">
        <f>ROUND(IF(F21="与级别开发程度一致",0,(G21-E21)/C21),0)</f>
        <v>-17</v>
      </c>
      <c r="D20" s="3338" t="s">
        <v>1996</v>
      </c>
      <c r="E20" s="3339"/>
      <c r="F20" s="3868" t="s">
        <v>1993</v>
      </c>
      <c r="G20" s="3869"/>
      <c r="H20" s="3323" t="s">
        <v>3470</v>
      </c>
      <c r="I20" s="3323" t="s">
        <v>3471</v>
      </c>
      <c r="J20" s="3324" t="s">
        <v>3472</v>
      </c>
      <c r="K20" s="2044" t="s">
        <v>3473</v>
      </c>
      <c r="L20" s="2044" t="s">
        <v>3474</v>
      </c>
      <c r="M20" s="2044" t="s">
        <v>3475</v>
      </c>
      <c r="N20" s="2044" t="s">
        <v>3476</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863"/>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3469</v>
      </c>
      <c r="G21" s="2154">
        <f>SUM(H21:O21)</f>
        <v>315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50</v>
      </c>
      <c r="N21" s="2162">
        <f>SUMPRODUCT((七通一平=N20)*(修正!B1:M1=G2)*(修正!B8:M16))</f>
        <v>20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1.0203</v>
      </c>
      <c r="D23" s="2051" t="s">
        <v>2000</v>
      </c>
      <c r="E23" s="758">
        <v>44197</v>
      </c>
      <c r="F23" s="2051" t="s">
        <v>2001</v>
      </c>
      <c r="G23" s="759">
        <f>'数据-取费表'!B2</f>
        <v>44930</v>
      </c>
      <c r="H23" s="3340" t="s">
        <v>3257</v>
      </c>
      <c r="I23" s="3341" t="str">
        <f>IF(H23="季度增幅（自定义）",SUMIF(N25:N28,E2,O25:O28),"")</f>
        <v/>
      </c>
      <c r="J23" s="3443" t="s">
        <v>3256</v>
      </c>
      <c r="K23" s="1122"/>
      <c r="L23" s="2052" t="s">
        <v>2002</v>
      </c>
      <c r="M23" s="1325">
        <f>ROUND(SUMIF(地价!B2:G2,E2,地价!B16:G16),0)</f>
        <v>350</v>
      </c>
      <c r="N23" s="2053" t="s">
        <v>2003</v>
      </c>
      <c r="O23" s="760">
        <f>ROUNDDOWN(DATEDIF(E23,G23,"M")/3,0)</f>
        <v>8</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364</v>
      </c>
      <c r="B24" s="2056" t="s">
        <v>2004</v>
      </c>
      <c r="C24" s="761">
        <f>ROUND(POWER(1+G24,J24-I24)*(POWER(1+G24,I24)-1)/(POWER(1+G24,J24)-1),4)</f>
        <v>0.86750000000000005</v>
      </c>
      <c r="D24" s="2057" t="s">
        <v>2005</v>
      </c>
      <c r="E24" s="1332">
        <f>存贷款利率!E24/100</f>
        <v>4.3499999999999997E-2</v>
      </c>
      <c r="F24" s="2057" t="s">
        <v>1997</v>
      </c>
      <c r="G24" s="765">
        <f>SUMIF(M30:Q30,E2,M33:Q33)</f>
        <v>5.5E-2</v>
      </c>
      <c r="H24" s="2057" t="s">
        <v>2006</v>
      </c>
      <c r="I24" s="766">
        <f>SUMIF('数据-取费表'!C6:C15,E2,'数据-取费表'!F6:F15)/COUNTIF('数据-取费表'!C6:C15,E2)</f>
        <v>30.81</v>
      </c>
      <c r="J24" s="767">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365</v>
      </c>
      <c r="B25" s="2063" t="s">
        <v>3336</v>
      </c>
      <c r="C25" s="768">
        <f>IF(B25="容积率修正",IF(G3&lt;10,D26,J26),C27)</f>
        <v>0.93340000000000001</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3258</v>
      </c>
      <c r="D26" s="1349">
        <f>IF(E26=G26,F26,IF(G3&lt;10,ROUND(F26+(H26-F26)*(G3-E26)/(G26-E26),4),"——"))</f>
        <v>0.93340000000000001</v>
      </c>
      <c r="E26" s="749">
        <f>ROUNDDOWN(G3,1)</f>
        <v>6.3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49">
        <f>ROUNDUP(G3,1)</f>
        <v>6.3999999999999995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0.93320000000000003</v>
      </c>
      <c r="I26" s="3342" t="s">
        <v>3259</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366</v>
      </c>
      <c r="B28" s="2048" t="s">
        <v>2018</v>
      </c>
      <c r="C28" s="757">
        <f>SUMIF(A47:A101,E2,B47:B101)</f>
        <v>1.0501</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367</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157858</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3228</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25082</v>
      </c>
      <c r="D33" s="2095">
        <f>'数据-汇总表'!F19+'数据-汇总表'!F22</f>
        <v>57789.659999999996</v>
      </c>
      <c r="E33" s="770">
        <f>ROUND(C33*D33/10000,0)</f>
        <v>144948</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f>ROUND(IF(E2="工业",C33*M42,IF(B25="楼层修正",SUM(V2:V16)*M41*10000/D34,C33*M41)),0)</f>
        <v>6271</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6"/>
      <c r="B37" s="2110" t="s">
        <v>2034</v>
      </c>
      <c r="C37" s="175">
        <f>ROUND(D5*C22*C23*C24*C28*F37,0)</f>
        <v>17913</v>
      </c>
      <c r="D37" s="2095"/>
      <c r="E37" s="171">
        <f>ROUND(C37*D37/10000,0)</f>
        <v>0</v>
      </c>
      <c r="F37" s="171">
        <f>SUMIF(修正!A57:A68,G2,修正!B57:B68)</f>
        <v>0.7</v>
      </c>
      <c r="G37" s="171">
        <f>ROUND(IF(E2="工业",C37*$M$42,C37*$M$41),0)</f>
        <v>4478</v>
      </c>
      <c r="H37" s="171">
        <f>D37</f>
        <v>0</v>
      </c>
      <c r="I37" s="171">
        <f>ROUND(G37*H37/10000,0)</f>
        <v>0</v>
      </c>
      <c r="J37" s="3009"/>
      <c r="K37" s="3356" t="s">
        <v>3267</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7"/>
      <c r="B38" s="2038" t="s">
        <v>2035</v>
      </c>
      <c r="C38" s="175">
        <f>ROUND(D5*C22*C23*C24*C28*F38,0)</f>
        <v>10236</v>
      </c>
      <c r="D38" s="2095"/>
      <c r="E38" s="171">
        <f t="shared" ref="E38:E42" si="4">ROUND(C38*D38/10000,0)</f>
        <v>0</v>
      </c>
      <c r="F38" s="171">
        <f>SUMIF(修正!A57:A68,G2,修正!C57:C68)</f>
        <v>0.4</v>
      </c>
      <c r="G38" s="171">
        <f>ROUND(IF(E2="工业",C38*$M$42,C38*$M$41),0)</f>
        <v>2559</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867"/>
      <c r="B39" s="2038" t="s">
        <v>3260</v>
      </c>
      <c r="C39" s="175">
        <f>ROUND(D5*C22*C23*C24*C28*F39,0)</f>
        <v>7677</v>
      </c>
      <c r="D39" s="2095"/>
      <c r="E39" s="171">
        <f t="shared" si="4"/>
        <v>0</v>
      </c>
      <c r="F39" s="171">
        <f>SUMIF(修正!A57:A68,G2,修正!D57:D68)</f>
        <v>0.3</v>
      </c>
      <c r="G39" s="171">
        <f>ROUND(IF(E2="工业",C39*$M$42,C39*$M$41),0)</f>
        <v>1919</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7677</v>
      </c>
      <c r="D40" s="2095">
        <f>'数据-汇总表'!G19</f>
        <v>7419.8799999999983</v>
      </c>
      <c r="E40" s="171">
        <f t="shared" si="4"/>
        <v>5696</v>
      </c>
      <c r="F40" s="175">
        <f>SUMIF(修正!A57:A68,G2,修正!E57:E68)</f>
        <v>0.3</v>
      </c>
      <c r="G40" s="171">
        <f>ROUND(IF(E2="工业",C40*$M$42,C40*$M$41),0)</f>
        <v>1919</v>
      </c>
      <c r="H40" s="171">
        <f t="shared" si="5"/>
        <v>7419.8799999999983</v>
      </c>
      <c r="I40" s="171">
        <f t="shared" si="6"/>
        <v>1424</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7677</v>
      </c>
      <c r="D41" s="2095">
        <f>'数据-汇总表'!G22</f>
        <v>2642.55</v>
      </c>
      <c r="E41" s="171">
        <f t="shared" si="4"/>
        <v>2029</v>
      </c>
      <c r="F41" s="175">
        <f>SUMIF(修正!A57:A68,G2,修正!F57:F68)</f>
        <v>0.3</v>
      </c>
      <c r="G41" s="171">
        <f>ROUND(IF(E2="工业",C41*$M$42,C41*$M$41),0)</f>
        <v>1919</v>
      </c>
      <c r="H41" s="171">
        <f t="shared" si="5"/>
        <v>2642.55</v>
      </c>
      <c r="I41" s="171">
        <f t="shared" si="6"/>
        <v>507</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5118</v>
      </c>
      <c r="D42" s="2100">
        <f>'数据-汇总表'!G21</f>
        <v>10131.459999999992</v>
      </c>
      <c r="E42" s="187">
        <f t="shared" si="4"/>
        <v>5185</v>
      </c>
      <c r="F42" s="764">
        <f>SUMIF(修正!A57:A68,G2,修正!G57:G68)</f>
        <v>0.2</v>
      </c>
      <c r="G42" s="187">
        <f>ROUND(IF(E2="工业",C42*$M$42,C42*$M$41),0)</f>
        <v>1280</v>
      </c>
      <c r="H42" s="187">
        <f t="shared" si="5"/>
        <v>10131.459999999992</v>
      </c>
      <c r="I42" s="187">
        <f t="shared" si="6"/>
        <v>1297</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2">
        <f>ROUND(POWER(1+E44,H44-G44)*(POWER(1+E44,G44)-1)/(POWER(1+E44,H44)-1),4)</f>
        <v>0.86750000000000005</v>
      </c>
      <c r="D44" s="171" t="s">
        <v>1997</v>
      </c>
      <c r="E44" s="2150">
        <f>G24</f>
        <v>5.5E-2</v>
      </c>
      <c r="F44" s="171" t="s">
        <v>2006</v>
      </c>
      <c r="G44" s="183">
        <f>项目基本情况!F15</f>
        <v>30.81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2052</v>
      </c>
      <c r="B53" s="2132" t="s">
        <v>2053</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2055</v>
      </c>
      <c r="B55" s="2133" t="s">
        <v>2056</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3477</v>
      </c>
      <c r="D61" s="1062">
        <f t="shared" ref="D61:D69" si="12">SUMIF($J$60:$N$60,C61,J61:N61)</f>
        <v>1.12E-2</v>
      </c>
      <c r="E61" s="741">
        <f>ROUND(SUM(D61:D69),4)</f>
        <v>5.0099999999999999E-2</v>
      </c>
      <c r="F61" s="1811">
        <f>IF(E2="办公",SUMIF(L1:L12,G2,N1:N12),"——")</f>
        <v>0.09</v>
      </c>
      <c r="G61" s="1060">
        <v>1.12E-2</v>
      </c>
      <c r="H61" s="1063">
        <f t="shared" ref="H61:H69" si="13">IFERROR(ROUNDDOWN($F$61*I61/2,4),"——")</f>
        <v>1.12E-2</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3477</v>
      </c>
      <c r="D62" s="1062">
        <f t="shared" si="12"/>
        <v>1.17E-2</v>
      </c>
      <c r="E62" s="742"/>
      <c r="F62" s="1811"/>
      <c r="G62" s="1060">
        <v>1.17E-2</v>
      </c>
      <c r="H62" s="1063">
        <f t="shared" si="13"/>
        <v>1.17E-2</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t="s">
        <v>3477</v>
      </c>
      <c r="D63" s="1062">
        <f t="shared" si="12"/>
        <v>4.8999999999999998E-3</v>
      </c>
      <c r="E63" s="742"/>
      <c r="F63" s="1811"/>
      <c r="G63" s="1060">
        <v>4.8999999999999998E-3</v>
      </c>
      <c r="H63" s="1063">
        <f t="shared" si="13"/>
        <v>4.8999999999999998E-3</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6.75">
      <c r="A64" s="2127" t="s">
        <v>2052</v>
      </c>
      <c r="B64" s="2132" t="s">
        <v>2053</v>
      </c>
      <c r="C64" s="2041" t="s">
        <v>3477</v>
      </c>
      <c r="D64" s="1062">
        <f t="shared" si="12"/>
        <v>2.2000000000000001E-3</v>
      </c>
      <c r="E64" s="742"/>
      <c r="F64" s="1811"/>
      <c r="G64" s="1060">
        <v>2.2000000000000001E-3</v>
      </c>
      <c r="H64" s="1063">
        <f t="shared" si="13"/>
        <v>2.2000000000000001E-3</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3478</v>
      </c>
      <c r="D65" s="1062">
        <f t="shared" si="12"/>
        <v>-2.2000000000000001E-3</v>
      </c>
      <c r="E65" s="742"/>
      <c r="F65" s="1811"/>
      <c r="G65" s="1060">
        <v>2.2000000000000001E-3</v>
      </c>
      <c r="H65" s="1063">
        <f t="shared" si="13"/>
        <v>2.2000000000000001E-3</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24">
      <c r="A66" s="2127" t="s">
        <v>2055</v>
      </c>
      <c r="B66" s="2133" t="s">
        <v>2056</v>
      </c>
      <c r="C66" s="2041" t="s">
        <v>3477</v>
      </c>
      <c r="D66" s="1062">
        <f t="shared" si="12"/>
        <v>2.7000000000000001E-3</v>
      </c>
      <c r="E66" s="742"/>
      <c r="F66" s="1811"/>
      <c r="G66" s="1060">
        <v>2.7000000000000001E-3</v>
      </c>
      <c r="H66" s="1063">
        <f t="shared" si="13"/>
        <v>2.7000000000000001E-3</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3479</v>
      </c>
      <c r="D67" s="1062">
        <f t="shared" si="12"/>
        <v>5.4000000000000003E-3</v>
      </c>
      <c r="E67" s="742"/>
      <c r="F67" s="1811"/>
      <c r="G67" s="1060">
        <v>2.7000000000000001E-3</v>
      </c>
      <c r="H67" s="1063">
        <f t="shared" si="13"/>
        <v>2.7000000000000001E-3</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3479</v>
      </c>
      <c r="D68" s="1062">
        <f t="shared" si="12"/>
        <v>8.0000000000000002E-3</v>
      </c>
      <c r="E68" s="742"/>
      <c r="F68" s="1811"/>
      <c r="G68" s="1060">
        <v>4.0000000000000001E-3</v>
      </c>
      <c r="H68" s="1063">
        <f t="shared" si="13"/>
        <v>4.0000000000000001E-3</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3479</v>
      </c>
      <c r="D69" s="1062">
        <f t="shared" si="12"/>
        <v>6.1999999999999998E-3</v>
      </c>
      <c r="E69" s="743"/>
      <c r="F69" s="1811"/>
      <c r="G69" s="1060">
        <v>3.0999999999999999E-3</v>
      </c>
      <c r="H69" s="1063">
        <f t="shared" si="13"/>
        <v>3.0999999999999999E-3</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3271</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2613</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4" t="s">
        <v>3295</v>
      </c>
      <c r="B103" s="3864"/>
      <c r="C103" s="3864"/>
      <c r="D103" s="3864"/>
      <c r="E103" s="3864"/>
      <c r="F103" s="3864"/>
      <c r="G103" s="3864"/>
      <c r="H103" s="3864"/>
      <c r="I103" s="3864"/>
      <c r="J103" s="3864"/>
      <c r="K103" s="3387"/>
      <c r="L103" s="3387"/>
      <c r="M103" s="3387"/>
      <c r="N103" s="3387"/>
    </row>
    <row r="104" spans="1:14">
      <c r="A104" s="3865" t="s">
        <v>3296</v>
      </c>
      <c r="B104" s="3865" t="s">
        <v>3297</v>
      </c>
      <c r="C104" s="3388" t="s">
        <v>3298</v>
      </c>
      <c r="D104" s="3389"/>
      <c r="E104" s="3389"/>
      <c r="F104" s="3389"/>
      <c r="G104" s="3389"/>
      <c r="H104" s="3389"/>
      <c r="I104" s="3389"/>
      <c r="J104" s="3390"/>
      <c r="K104" s="3391"/>
      <c r="L104" s="3391"/>
      <c r="M104" s="3391"/>
      <c r="N104" s="3391"/>
    </row>
    <row r="105" spans="1:14">
      <c r="A105" s="3865"/>
      <c r="B105" s="3865"/>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851"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52"/>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54" t="s">
        <v>3312</v>
      </c>
      <c r="B113" s="3854"/>
      <c r="C113" s="3854"/>
      <c r="D113" s="3854"/>
      <c r="E113" s="3854"/>
      <c r="F113" s="3854"/>
      <c r="G113" s="3854"/>
      <c r="H113" s="3854"/>
      <c r="I113" s="3854"/>
      <c r="J113" s="38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6.39</v>
      </c>
      <c r="C116" s="3397" t="s">
        <v>3314</v>
      </c>
      <c r="D116" s="3398">
        <f>SUMPRODUCT((A118:A122=F116)*(B117:M117=H116)*B118:M122)</f>
        <v>0.9214</v>
      </c>
      <c r="E116" s="1997" t="s">
        <v>3315</v>
      </c>
      <c r="F116" s="3399" t="str">
        <f>E2</f>
        <v>办公</v>
      </c>
      <c r="G116" s="1997" t="s">
        <v>3316</v>
      </c>
      <c r="H116" s="3399" t="str">
        <f>G2</f>
        <v>二级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3330</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3331</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5" thickBot="1">
      <c r="A121" s="3409" t="s">
        <v>3332</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877" t="s">
        <v>2608</v>
      </c>
      <c r="B20" s="3870" t="s">
        <v>2629</v>
      </c>
      <c r="C20" s="3100" t="s">
        <v>2440</v>
      </c>
      <c r="D20" s="3101"/>
      <c r="E20" s="3102">
        <v>1</v>
      </c>
      <c r="F20" s="3103" t="s">
        <v>2441</v>
      </c>
      <c r="G20" s="3103"/>
    </row>
    <row r="21" spans="1:13" ht="19.5" customHeight="1">
      <c r="A21" s="3878"/>
      <c r="B21" s="3871"/>
      <c r="C21" s="3104" t="s">
        <v>2442</v>
      </c>
      <c r="D21" s="3105"/>
      <c r="E21" s="3106">
        <v>1</v>
      </c>
      <c r="F21" s="3103" t="s">
        <v>2443</v>
      </c>
      <c r="G21" s="3103"/>
    </row>
    <row r="22" spans="1:13" ht="19.5" customHeight="1">
      <c r="A22" s="3878"/>
      <c r="B22" s="3871"/>
      <c r="C22" s="3104" t="s">
        <v>2444</v>
      </c>
      <c r="D22" s="3105"/>
      <c r="E22" s="3106">
        <v>0.9</v>
      </c>
      <c r="F22" s="3103" t="s">
        <v>2445</v>
      </c>
      <c r="G22" s="3103"/>
    </row>
    <row r="23" spans="1:13" ht="19.5" customHeight="1">
      <c r="A23" s="3878"/>
      <c r="B23" s="3871"/>
      <c r="C23" s="3104" t="s">
        <v>2446</v>
      </c>
      <c r="D23" s="3105"/>
      <c r="E23" s="3106">
        <v>0.9</v>
      </c>
      <c r="F23" s="3103" t="s">
        <v>2447</v>
      </c>
      <c r="G23" s="3103"/>
    </row>
    <row r="24" spans="1:13" ht="19.5" customHeight="1">
      <c r="A24" s="3878"/>
      <c r="B24" s="3871"/>
      <c r="C24" s="3104" t="s">
        <v>2448</v>
      </c>
      <c r="D24" s="3105"/>
      <c r="E24" s="3106">
        <v>0.8</v>
      </c>
      <c r="F24" s="3103" t="s">
        <v>2449</v>
      </c>
      <c r="G24" s="3103"/>
    </row>
    <row r="25" spans="1:13" ht="19.5" customHeight="1" thickBot="1">
      <c r="A25" s="3879"/>
      <c r="B25" s="3872"/>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873" t="s">
        <v>2632</v>
      </c>
      <c r="B27" s="3870" t="s">
        <v>2613</v>
      </c>
      <c r="C27" s="3100" t="s">
        <v>2453</v>
      </c>
      <c r="D27" s="3101"/>
      <c r="E27" s="3102">
        <v>1</v>
      </c>
      <c r="F27" s="3103" t="s">
        <v>2454</v>
      </c>
      <c r="G27" s="3103"/>
    </row>
    <row r="28" spans="1:13" ht="19.5" customHeight="1">
      <c r="A28" s="3874"/>
      <c r="B28" s="3871"/>
      <c r="C28" s="3104" t="s">
        <v>2455</v>
      </c>
      <c r="D28" s="3105"/>
      <c r="E28" s="3106">
        <v>1</v>
      </c>
      <c r="F28" s="3103" t="s">
        <v>2456</v>
      </c>
      <c r="G28" s="3103"/>
    </row>
    <row r="29" spans="1:13" ht="19.5" customHeight="1">
      <c r="A29" s="3874"/>
      <c r="B29" s="3871"/>
      <c r="C29" s="3104" t="s">
        <v>2457</v>
      </c>
      <c r="D29" s="3105"/>
      <c r="E29" s="3106">
        <v>0.8</v>
      </c>
      <c r="F29" s="3103" t="s">
        <v>2458</v>
      </c>
      <c r="G29" s="3103"/>
    </row>
    <row r="30" spans="1:13" ht="19.5" customHeight="1">
      <c r="A30" s="3874"/>
      <c r="B30" s="3871"/>
      <c r="C30" s="3104" t="s">
        <v>2459</v>
      </c>
      <c r="D30" s="3105"/>
      <c r="E30" s="3106">
        <v>0.8</v>
      </c>
      <c r="F30" s="3103" t="s">
        <v>2460</v>
      </c>
      <c r="G30" s="3103"/>
    </row>
    <row r="31" spans="1:13" ht="19.5" customHeight="1">
      <c r="A31" s="3874"/>
      <c r="B31" s="3871"/>
      <c r="C31" s="3104" t="s">
        <v>2461</v>
      </c>
      <c r="D31" s="3105"/>
      <c r="E31" s="3106">
        <v>0.8</v>
      </c>
      <c r="F31" s="3103" t="s">
        <v>2462</v>
      </c>
      <c r="G31" s="3103"/>
    </row>
    <row r="32" spans="1:13" ht="19.5" customHeight="1">
      <c r="A32" s="3874"/>
      <c r="B32" s="3871"/>
      <c r="C32" s="3104" t="s">
        <v>2463</v>
      </c>
      <c r="D32" s="3105"/>
      <c r="E32" s="3106">
        <v>0.7</v>
      </c>
      <c r="F32" s="3103" t="s">
        <v>2464</v>
      </c>
      <c r="G32" s="3103"/>
    </row>
    <row r="33" spans="1:7" ht="19.5" customHeight="1">
      <c r="A33" s="3874"/>
      <c r="B33" s="3871"/>
      <c r="C33" s="3104" t="s">
        <v>2465</v>
      </c>
      <c r="D33" s="3105"/>
      <c r="E33" s="3106">
        <v>0.8</v>
      </c>
      <c r="F33" s="3103" t="s">
        <v>2466</v>
      </c>
      <c r="G33" s="3103"/>
    </row>
    <row r="34" spans="1:7" ht="19.5" customHeight="1">
      <c r="A34" s="3874"/>
      <c r="B34" s="3871"/>
      <c r="C34" s="3104" t="s">
        <v>2467</v>
      </c>
      <c r="D34" s="3105"/>
      <c r="E34" s="3106">
        <v>0.6</v>
      </c>
      <c r="F34" s="3103" t="s">
        <v>2468</v>
      </c>
      <c r="G34" s="3103"/>
    </row>
    <row r="35" spans="1:7" ht="19.5" customHeight="1">
      <c r="A35" s="3874"/>
      <c r="B35" s="3871"/>
      <c r="C35" s="3104" t="s">
        <v>2469</v>
      </c>
      <c r="D35" s="3105"/>
      <c r="E35" s="3106">
        <v>0.2</v>
      </c>
      <c r="F35" s="3103" t="s">
        <v>2470</v>
      </c>
      <c r="G35" s="3103"/>
    </row>
    <row r="36" spans="1:7" ht="19.5" customHeight="1">
      <c r="A36" s="3874"/>
      <c r="B36" s="3871"/>
      <c r="C36" s="3104" t="s">
        <v>2471</v>
      </c>
      <c r="D36" s="3105"/>
      <c r="E36" s="3106">
        <v>0.2</v>
      </c>
      <c r="F36" s="3103" t="s">
        <v>2472</v>
      </c>
      <c r="G36" s="3103"/>
    </row>
    <row r="37" spans="1:7" ht="19.5" customHeight="1">
      <c r="A37" s="3874"/>
      <c r="B37" s="3876" t="s">
        <v>2633</v>
      </c>
      <c r="C37" s="3104" t="s">
        <v>2473</v>
      </c>
      <c r="D37" s="3105"/>
      <c r="E37" s="3106">
        <v>0.6</v>
      </c>
      <c r="F37" s="3103" t="s">
        <v>2474</v>
      </c>
      <c r="G37" s="3103"/>
    </row>
    <row r="38" spans="1:7" ht="19.5" customHeight="1">
      <c r="A38" s="3874"/>
      <c r="B38" s="3871"/>
      <c r="C38" s="3104" t="s">
        <v>2475</v>
      </c>
      <c r="D38" s="3105"/>
      <c r="E38" s="3106">
        <v>0.6</v>
      </c>
      <c r="F38" s="3103" t="s">
        <v>2476</v>
      </c>
      <c r="G38" s="3103"/>
    </row>
    <row r="39" spans="1:7" ht="19.5" customHeight="1" thickBot="1">
      <c r="A39" s="3875"/>
      <c r="B39" s="3872"/>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877" t="s">
        <v>2611</v>
      </c>
      <c r="B41" s="3870" t="s">
        <v>2635</v>
      </c>
      <c r="C41" s="3100" t="s">
        <v>2480</v>
      </c>
      <c r="D41" s="3101"/>
      <c r="E41" s="3102">
        <v>1</v>
      </c>
      <c r="F41" s="3103" t="s">
        <v>2481</v>
      </c>
      <c r="G41" s="3103"/>
    </row>
    <row r="42" spans="1:7" ht="19.5" customHeight="1">
      <c r="A42" s="3878"/>
      <c r="B42" s="3871"/>
      <c r="C42" s="3104" t="s">
        <v>2482</v>
      </c>
      <c r="D42" s="3105"/>
      <c r="E42" s="3106">
        <v>1</v>
      </c>
      <c r="F42" s="3103" t="s">
        <v>2483</v>
      </c>
      <c r="G42" s="3103"/>
    </row>
    <row r="43" spans="1:7" ht="19.5" customHeight="1">
      <c r="A43" s="3878"/>
      <c r="B43" s="3880"/>
      <c r="C43" s="3104" t="s">
        <v>2484</v>
      </c>
      <c r="D43" s="3105"/>
      <c r="E43" s="3106">
        <v>1.5</v>
      </c>
      <c r="F43" s="3103" t="s">
        <v>2485</v>
      </c>
      <c r="G43" s="3103"/>
    </row>
    <row r="44" spans="1:7" ht="19.5" customHeight="1">
      <c r="A44" s="3878"/>
      <c r="B44" s="3115" t="s">
        <v>2636</v>
      </c>
      <c r="C44" s="3104" t="s">
        <v>2637</v>
      </c>
      <c r="D44" s="3105"/>
      <c r="E44" s="3106">
        <v>2</v>
      </c>
      <c r="F44" s="3103" t="s">
        <v>2486</v>
      </c>
      <c r="G44" s="3103"/>
    </row>
    <row r="45" spans="1:7" ht="19.5" customHeight="1">
      <c r="A45" s="3878"/>
      <c r="B45" s="3876" t="s">
        <v>2638</v>
      </c>
      <c r="C45" s="3104" t="s">
        <v>2487</v>
      </c>
      <c r="D45" s="3105"/>
      <c r="E45" s="3106">
        <v>1</v>
      </c>
      <c r="F45" s="3103" t="s">
        <v>2488</v>
      </c>
      <c r="G45" s="3103"/>
    </row>
    <row r="46" spans="1:7" ht="19.5" customHeight="1">
      <c r="A46" s="3878"/>
      <c r="B46" s="3871"/>
      <c r="C46" s="3104" t="s">
        <v>2489</v>
      </c>
      <c r="D46" s="3105"/>
      <c r="E46" s="3106">
        <v>1</v>
      </c>
      <c r="F46" s="3103" t="s">
        <v>2490</v>
      </c>
      <c r="G46" s="3103"/>
    </row>
    <row r="47" spans="1:7" ht="19.5" customHeight="1">
      <c r="A47" s="3878"/>
      <c r="B47" s="3871"/>
      <c r="C47" s="3104" t="s">
        <v>2491</v>
      </c>
      <c r="D47" s="3105"/>
      <c r="E47" s="3106">
        <v>1</v>
      </c>
      <c r="F47" s="3103" t="s">
        <v>2492</v>
      </c>
      <c r="G47" s="3103"/>
    </row>
    <row r="48" spans="1:7" ht="19.5" customHeight="1">
      <c r="A48" s="3878"/>
      <c r="B48" s="3871"/>
      <c r="C48" s="3104" t="s">
        <v>2493</v>
      </c>
      <c r="D48" s="3105"/>
      <c r="E48" s="3106">
        <v>1</v>
      </c>
      <c r="F48" s="3103" t="s">
        <v>2494</v>
      </c>
      <c r="G48" s="3103"/>
    </row>
    <row r="49" spans="1:7" ht="19.5" customHeight="1">
      <c r="A49" s="3878"/>
      <c r="B49" s="3871"/>
      <c r="C49" s="3104" t="s">
        <v>2495</v>
      </c>
      <c r="D49" s="3105"/>
      <c r="E49" s="3106">
        <v>1</v>
      </c>
      <c r="F49" s="3103" t="s">
        <v>2496</v>
      </c>
      <c r="G49" s="3103"/>
    </row>
    <row r="50" spans="1:7" ht="19.5" customHeight="1">
      <c r="A50" s="3878"/>
      <c r="B50" s="3871"/>
      <c r="C50" s="3104" t="s">
        <v>2497</v>
      </c>
      <c r="D50" s="3105"/>
      <c r="E50" s="3106">
        <v>1</v>
      </c>
      <c r="F50" s="3103" t="s">
        <v>2498</v>
      </c>
      <c r="G50" s="3103"/>
    </row>
    <row r="51" spans="1:7" ht="19.5" customHeight="1" thickBot="1">
      <c r="A51" s="3879"/>
      <c r="B51" s="3872"/>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876" t="s">
        <v>2652</v>
      </c>
      <c r="C73" s="3089" t="s">
        <v>2653</v>
      </c>
      <c r="D73" s="3089" t="s">
        <v>2654</v>
      </c>
      <c r="E73" s="3115">
        <v>0.2</v>
      </c>
      <c r="F73" s="3115">
        <v>25</v>
      </c>
    </row>
    <row r="74" spans="1:7" ht="24">
      <c r="A74" s="3115">
        <v>2</v>
      </c>
      <c r="B74" s="3871"/>
      <c r="C74" s="3089" t="s">
        <v>2655</v>
      </c>
      <c r="D74" s="3089" t="s">
        <v>2656</v>
      </c>
      <c r="E74" s="3115">
        <v>0.2</v>
      </c>
      <c r="F74" s="3115">
        <v>25</v>
      </c>
    </row>
    <row r="75" spans="1:7" ht="24">
      <c r="A75" s="3115">
        <v>3</v>
      </c>
      <c r="B75" s="3871"/>
      <c r="C75" s="3089" t="s">
        <v>2657</v>
      </c>
      <c r="D75" s="3089" t="s">
        <v>2658</v>
      </c>
      <c r="E75" s="3115">
        <v>0.2</v>
      </c>
      <c r="F75" s="3115">
        <v>25</v>
      </c>
    </row>
    <row r="76" spans="1:7" ht="13.5">
      <c r="A76" s="3115">
        <v>4</v>
      </c>
      <c r="B76" s="3871"/>
      <c r="C76" s="3089" t="s">
        <v>2659</v>
      </c>
      <c r="D76" s="3089" t="s">
        <v>2660</v>
      </c>
      <c r="E76" s="3115">
        <v>0.15</v>
      </c>
      <c r="F76" s="3115">
        <v>20</v>
      </c>
    </row>
    <row r="77" spans="1:7" ht="24">
      <c r="A77" s="3115">
        <v>5</v>
      </c>
      <c r="B77" s="3871"/>
      <c r="C77" s="3089" t="s">
        <v>2661</v>
      </c>
      <c r="D77" s="3089" t="s">
        <v>2662</v>
      </c>
      <c r="E77" s="3115">
        <v>0.15</v>
      </c>
      <c r="F77" s="3115">
        <v>20</v>
      </c>
    </row>
    <row r="78" spans="1:7" ht="24">
      <c r="A78" s="3115">
        <v>6</v>
      </c>
      <c r="B78" s="3871"/>
      <c r="C78" s="3089" t="s">
        <v>2663</v>
      </c>
      <c r="D78" s="3089" t="s">
        <v>2664</v>
      </c>
      <c r="E78" s="3115">
        <v>0.15</v>
      </c>
      <c r="F78" s="3115">
        <v>20</v>
      </c>
    </row>
    <row r="79" spans="1:7" ht="24">
      <c r="A79" s="3115">
        <v>7</v>
      </c>
      <c r="B79" s="3871"/>
      <c r="C79" s="3089" t="s">
        <v>2665</v>
      </c>
      <c r="D79" s="3089" t="s">
        <v>2666</v>
      </c>
      <c r="E79" s="3115">
        <v>0.15</v>
      </c>
      <c r="F79" s="3115">
        <v>20</v>
      </c>
    </row>
    <row r="80" spans="1:7" ht="24">
      <c r="A80" s="3115">
        <v>8</v>
      </c>
      <c r="B80" s="3871"/>
      <c r="C80" s="3089" t="s">
        <v>2667</v>
      </c>
      <c r="D80" s="3089" t="s">
        <v>2668</v>
      </c>
      <c r="E80" s="3115">
        <v>0.1</v>
      </c>
      <c r="F80" s="3115">
        <v>15</v>
      </c>
    </row>
    <row r="81" spans="1:6" ht="24">
      <c r="A81" s="3115">
        <v>9</v>
      </c>
      <c r="B81" s="3871"/>
      <c r="C81" s="3089" t="s">
        <v>2669</v>
      </c>
      <c r="D81" s="3089" t="s">
        <v>2670</v>
      </c>
      <c r="E81" s="3115">
        <v>0.1</v>
      </c>
      <c r="F81" s="3115">
        <v>15</v>
      </c>
    </row>
    <row r="82" spans="1:6" ht="24">
      <c r="A82" s="3115">
        <v>10</v>
      </c>
      <c r="B82" s="3871"/>
      <c r="C82" s="3089" t="s">
        <v>2671</v>
      </c>
      <c r="D82" s="3089" t="s">
        <v>2672</v>
      </c>
      <c r="E82" s="3115">
        <v>0.1</v>
      </c>
      <c r="F82" s="3115">
        <v>15</v>
      </c>
    </row>
    <row r="83" spans="1:6" ht="24">
      <c r="A83" s="3115">
        <v>11</v>
      </c>
      <c r="B83" s="3871"/>
      <c r="C83" s="3089" t="s">
        <v>2673</v>
      </c>
      <c r="D83" s="3089" t="s">
        <v>2674</v>
      </c>
      <c r="E83" s="3115">
        <v>0.1</v>
      </c>
      <c r="F83" s="3115">
        <v>15</v>
      </c>
    </row>
    <row r="84" spans="1:6" ht="24">
      <c r="A84" s="3115">
        <v>12</v>
      </c>
      <c r="B84" s="3871"/>
      <c r="C84" s="3089" t="s">
        <v>2675</v>
      </c>
      <c r="D84" s="3089" t="s">
        <v>2676</v>
      </c>
      <c r="E84" s="3115">
        <v>0.1</v>
      </c>
      <c r="F84" s="3115">
        <v>15</v>
      </c>
    </row>
    <row r="85" spans="1:6" ht="13.5">
      <c r="A85" s="3115">
        <v>13</v>
      </c>
      <c r="B85" s="3871"/>
      <c r="C85" s="3089" t="s">
        <v>2677</v>
      </c>
      <c r="D85" s="3089" t="s">
        <v>2678</v>
      </c>
      <c r="E85" s="3115">
        <v>0.1</v>
      </c>
      <c r="F85" s="3115">
        <v>15</v>
      </c>
    </row>
    <row r="86" spans="1:6" ht="13.5">
      <c r="A86" s="3115">
        <v>14</v>
      </c>
      <c r="B86" s="3871"/>
      <c r="C86" s="3089" t="s">
        <v>2679</v>
      </c>
      <c r="D86" s="3089" t="s">
        <v>2680</v>
      </c>
      <c r="E86" s="3115">
        <v>0.1</v>
      </c>
      <c r="F86" s="3115">
        <v>15</v>
      </c>
    </row>
    <row r="87" spans="1:6" ht="13.5">
      <c r="A87" s="3115">
        <v>15</v>
      </c>
      <c r="B87" s="3871"/>
      <c r="C87" s="3089" t="s">
        <v>2681</v>
      </c>
      <c r="D87" s="3089" t="s">
        <v>2682</v>
      </c>
      <c r="E87" s="3115">
        <v>0.1</v>
      </c>
      <c r="F87" s="3115">
        <v>15</v>
      </c>
    </row>
    <row r="88" spans="1:6" ht="24">
      <c r="A88" s="3115">
        <v>16</v>
      </c>
      <c r="B88" s="3871"/>
      <c r="C88" s="3089" t="s">
        <v>2683</v>
      </c>
      <c r="D88" s="3089" t="s">
        <v>2684</v>
      </c>
      <c r="E88" s="3115">
        <v>0.1</v>
      </c>
      <c r="F88" s="3115">
        <v>15</v>
      </c>
    </row>
    <row r="89" spans="1:6" ht="24">
      <c r="A89" s="3115">
        <v>17</v>
      </c>
      <c r="B89" s="3880"/>
      <c r="C89" s="3089" t="s">
        <v>2685</v>
      </c>
      <c r="D89" s="3089" t="s">
        <v>2686</v>
      </c>
      <c r="E89" s="3115">
        <v>0.1</v>
      </c>
      <c r="F89" s="3115">
        <v>15</v>
      </c>
    </row>
    <row r="90" spans="1:6" ht="13.5">
      <c r="A90" s="3115">
        <v>18</v>
      </c>
      <c r="B90" s="3876" t="s">
        <v>2687</v>
      </c>
      <c r="C90" s="3089" t="s">
        <v>2688</v>
      </c>
      <c r="D90" s="3089" t="s">
        <v>2689</v>
      </c>
      <c r="E90" s="3115">
        <v>0.2</v>
      </c>
      <c r="F90" s="3115">
        <v>25</v>
      </c>
    </row>
    <row r="91" spans="1:6" ht="24">
      <c r="A91" s="3115">
        <v>19</v>
      </c>
      <c r="B91" s="3871"/>
      <c r="C91" s="3089" t="s">
        <v>2690</v>
      </c>
      <c r="D91" s="3089" t="s">
        <v>2691</v>
      </c>
      <c r="E91" s="3115">
        <v>0.2</v>
      </c>
      <c r="F91" s="3115">
        <v>25</v>
      </c>
    </row>
    <row r="92" spans="1:6" ht="13.5">
      <c r="A92" s="3115">
        <v>20</v>
      </c>
      <c r="B92" s="3871"/>
      <c r="C92" s="3089" t="s">
        <v>2692</v>
      </c>
      <c r="D92" s="3089" t="s">
        <v>2693</v>
      </c>
      <c r="E92" s="3115">
        <v>0.15</v>
      </c>
      <c r="F92" s="3115">
        <v>20</v>
      </c>
    </row>
    <row r="93" spans="1:6" ht="13.5">
      <c r="A93" s="3115">
        <v>21</v>
      </c>
      <c r="B93" s="3871"/>
      <c r="C93" s="3089" t="s">
        <v>2694</v>
      </c>
      <c r="D93" s="3089" t="s">
        <v>2695</v>
      </c>
      <c r="E93" s="3115">
        <v>0.15</v>
      </c>
      <c r="F93" s="3115">
        <v>20</v>
      </c>
    </row>
    <row r="94" spans="1:6" ht="13.5">
      <c r="A94" s="3115">
        <v>22</v>
      </c>
      <c r="B94" s="3871"/>
      <c r="C94" s="3089" t="s">
        <v>2696</v>
      </c>
      <c r="D94" s="3089" t="s">
        <v>2697</v>
      </c>
      <c r="E94" s="3115">
        <v>0.15</v>
      </c>
      <c r="F94" s="3115">
        <v>20</v>
      </c>
    </row>
    <row r="95" spans="1:6" ht="36">
      <c r="A95" s="3115">
        <v>23</v>
      </c>
      <c r="B95" s="3871"/>
      <c r="C95" s="3089" t="s">
        <v>2698</v>
      </c>
      <c r="D95" s="3089" t="s">
        <v>2699</v>
      </c>
      <c r="E95" s="3115">
        <v>0.15</v>
      </c>
      <c r="F95" s="3115">
        <v>20</v>
      </c>
    </row>
    <row r="96" spans="1:6" ht="13.5">
      <c r="A96" s="3115">
        <v>24</v>
      </c>
      <c r="B96" s="3871"/>
      <c r="C96" s="3089" t="s">
        <v>2700</v>
      </c>
      <c r="D96" s="3089" t="s">
        <v>2701</v>
      </c>
      <c r="E96" s="3115">
        <v>0.1</v>
      </c>
      <c r="F96" s="3115">
        <v>15</v>
      </c>
    </row>
    <row r="97" spans="1:6" ht="13.5">
      <c r="A97" s="3115">
        <v>25</v>
      </c>
      <c r="B97" s="3871"/>
      <c r="C97" s="3089" t="s">
        <v>2702</v>
      </c>
      <c r="D97" s="3089" t="s">
        <v>2703</v>
      </c>
      <c r="E97" s="3115">
        <v>0.1</v>
      </c>
      <c r="F97" s="3115">
        <v>15</v>
      </c>
    </row>
    <row r="98" spans="1:6" ht="24">
      <c r="A98" s="3115">
        <v>26</v>
      </c>
      <c r="B98" s="3871"/>
      <c r="C98" s="3089" t="s">
        <v>2704</v>
      </c>
      <c r="D98" s="3089" t="s">
        <v>2705</v>
      </c>
      <c r="E98" s="3115">
        <v>0.1</v>
      </c>
      <c r="F98" s="3115">
        <v>15</v>
      </c>
    </row>
    <row r="99" spans="1:6" ht="24">
      <c r="A99" s="3115">
        <v>27</v>
      </c>
      <c r="B99" s="3871"/>
      <c r="C99" s="3089" t="s">
        <v>2706</v>
      </c>
      <c r="D99" s="3089" t="s">
        <v>2707</v>
      </c>
      <c r="E99" s="3115">
        <v>0.1</v>
      </c>
      <c r="F99" s="3115">
        <v>15</v>
      </c>
    </row>
    <row r="100" spans="1:6" ht="13.5">
      <c r="A100" s="3115">
        <v>28</v>
      </c>
      <c r="B100" s="3871"/>
      <c r="C100" s="3089" t="s">
        <v>2708</v>
      </c>
      <c r="D100" s="3089" t="s">
        <v>2709</v>
      </c>
      <c r="E100" s="3115">
        <v>0.1</v>
      </c>
      <c r="F100" s="3115">
        <v>15</v>
      </c>
    </row>
    <row r="101" spans="1:6" ht="13.5">
      <c r="A101" s="3115">
        <v>29</v>
      </c>
      <c r="B101" s="3871"/>
      <c r="C101" s="3089" t="s">
        <v>2710</v>
      </c>
      <c r="D101" s="3089" t="s">
        <v>2711</v>
      </c>
      <c r="E101" s="3115">
        <v>0.1</v>
      </c>
      <c r="F101" s="3115">
        <v>15</v>
      </c>
    </row>
    <row r="102" spans="1:6" ht="13.5">
      <c r="A102" s="3115">
        <v>30</v>
      </c>
      <c r="B102" s="3871"/>
      <c r="C102" s="3089" t="s">
        <v>2712</v>
      </c>
      <c r="D102" s="3089" t="s">
        <v>2713</v>
      </c>
      <c r="E102" s="3115">
        <v>0.1</v>
      </c>
      <c r="F102" s="3115">
        <v>15</v>
      </c>
    </row>
    <row r="103" spans="1:6" ht="24">
      <c r="A103" s="3115">
        <v>31</v>
      </c>
      <c r="B103" s="3871"/>
      <c r="C103" s="3089" t="s">
        <v>2714</v>
      </c>
      <c r="D103" s="3089" t="s">
        <v>2715</v>
      </c>
      <c r="E103" s="3115">
        <v>0.1</v>
      </c>
      <c r="F103" s="3115">
        <v>15</v>
      </c>
    </row>
    <row r="104" spans="1:6" ht="24">
      <c r="A104" s="3115">
        <v>32</v>
      </c>
      <c r="B104" s="3871"/>
      <c r="C104" s="3089" t="s">
        <v>2716</v>
      </c>
      <c r="D104" s="3089" t="s">
        <v>2717</v>
      </c>
      <c r="E104" s="3115">
        <v>0.1</v>
      </c>
      <c r="F104" s="3115">
        <v>15</v>
      </c>
    </row>
    <row r="105" spans="1:6" ht="24">
      <c r="A105" s="3115">
        <v>33</v>
      </c>
      <c r="B105" s="3871"/>
      <c r="C105" s="3089" t="s">
        <v>2718</v>
      </c>
      <c r="D105" s="3089" t="s">
        <v>2719</v>
      </c>
      <c r="E105" s="3115">
        <v>0.1</v>
      </c>
      <c r="F105" s="3115">
        <v>15</v>
      </c>
    </row>
    <row r="106" spans="1:6" ht="24">
      <c r="A106" s="3115">
        <v>34</v>
      </c>
      <c r="B106" s="3880"/>
      <c r="C106" s="3089" t="s">
        <v>2720</v>
      </c>
      <c r="D106" s="3089" t="s">
        <v>2721</v>
      </c>
      <c r="E106" s="3115">
        <v>0.1</v>
      </c>
      <c r="F106" s="3115">
        <v>15</v>
      </c>
    </row>
    <row r="107" spans="1:6" ht="24">
      <c r="A107" s="3115">
        <v>35</v>
      </c>
      <c r="B107" s="3876" t="s">
        <v>2722</v>
      </c>
      <c r="C107" s="3115" t="s">
        <v>2723</v>
      </c>
      <c r="D107" s="3089" t="s">
        <v>2724</v>
      </c>
      <c r="E107" s="3115">
        <v>0.15</v>
      </c>
      <c r="F107" s="3115">
        <v>20</v>
      </c>
    </row>
    <row r="108" spans="1:6" ht="13.5">
      <c r="A108" s="3115">
        <v>36</v>
      </c>
      <c r="B108" s="3871"/>
      <c r="C108" s="3115" t="s">
        <v>2725</v>
      </c>
      <c r="D108" s="3089" t="s">
        <v>2726</v>
      </c>
      <c r="E108" s="3115">
        <v>0.15</v>
      </c>
      <c r="F108" s="3115">
        <v>20</v>
      </c>
    </row>
    <row r="109" spans="1:6" ht="13.5">
      <c r="A109" s="3115">
        <v>37</v>
      </c>
      <c r="B109" s="3871"/>
      <c r="C109" s="3115" t="s">
        <v>2727</v>
      </c>
      <c r="D109" s="3089" t="s">
        <v>2728</v>
      </c>
      <c r="E109" s="3115">
        <v>0.15</v>
      </c>
      <c r="F109" s="3115">
        <v>20</v>
      </c>
    </row>
    <row r="110" spans="1:6" ht="13.5">
      <c r="A110" s="3115">
        <v>38</v>
      </c>
      <c r="B110" s="3871"/>
      <c r="C110" s="3115" t="s">
        <v>2729</v>
      </c>
      <c r="D110" s="3089" t="s">
        <v>2730</v>
      </c>
      <c r="E110" s="3115">
        <v>0.1</v>
      </c>
      <c r="F110" s="3115">
        <v>15</v>
      </c>
    </row>
    <row r="111" spans="1:6" ht="24">
      <c r="A111" s="3115">
        <v>39</v>
      </c>
      <c r="B111" s="3871"/>
      <c r="C111" s="3115" t="s">
        <v>2731</v>
      </c>
      <c r="D111" s="3089" t="s">
        <v>2732</v>
      </c>
      <c r="E111" s="3115">
        <v>0.1</v>
      </c>
      <c r="F111" s="3115">
        <v>15</v>
      </c>
    </row>
    <row r="112" spans="1:6" ht="24">
      <c r="A112" s="3115">
        <v>40</v>
      </c>
      <c r="B112" s="3880"/>
      <c r="C112" s="3115" t="s">
        <v>2733</v>
      </c>
      <c r="D112" s="3089" t="s">
        <v>2734</v>
      </c>
      <c r="E112" s="3115">
        <v>0.1</v>
      </c>
      <c r="F112" s="3115">
        <v>15</v>
      </c>
    </row>
    <row r="113" spans="1:6" ht="13.5">
      <c r="A113" s="3115">
        <v>41</v>
      </c>
      <c r="B113" s="3881" t="s">
        <v>2735</v>
      </c>
      <c r="C113" s="3115" t="s">
        <v>2736</v>
      </c>
      <c r="D113" s="3089" t="s">
        <v>2737</v>
      </c>
      <c r="E113" s="3115">
        <v>0.1</v>
      </c>
      <c r="F113" s="3115">
        <v>15</v>
      </c>
    </row>
    <row r="114" spans="1:6" ht="13.5">
      <c r="A114" s="3115">
        <v>42</v>
      </c>
      <c r="B114" s="3881"/>
      <c r="C114" s="3115" t="s">
        <v>2738</v>
      </c>
      <c r="D114" s="3089" t="s">
        <v>2739</v>
      </c>
      <c r="E114" s="3115">
        <v>0.1</v>
      </c>
      <c r="F114" s="3115">
        <v>15</v>
      </c>
    </row>
    <row r="115" spans="1:6" ht="24">
      <c r="A115" s="3115">
        <v>43</v>
      </c>
      <c r="B115" s="3881"/>
      <c r="C115" s="3115" t="s">
        <v>2740</v>
      </c>
      <c r="D115" s="3089" t="s">
        <v>2741</v>
      </c>
      <c r="E115" s="3115">
        <v>0.1</v>
      </c>
      <c r="F115" s="3115">
        <v>15</v>
      </c>
    </row>
    <row r="116" spans="1:6" ht="13.5">
      <c r="A116" s="3115">
        <v>44</v>
      </c>
      <c r="B116" s="3876" t="s">
        <v>2742</v>
      </c>
      <c r="C116" s="3115" t="s">
        <v>2743</v>
      </c>
      <c r="D116" s="3089" t="s">
        <v>2744</v>
      </c>
      <c r="E116" s="3115">
        <v>0.1</v>
      </c>
      <c r="F116" s="3115">
        <v>15</v>
      </c>
    </row>
    <row r="117" spans="1:6" ht="24">
      <c r="A117" s="3115">
        <v>45</v>
      </c>
      <c r="B117" s="3880"/>
      <c r="C117" s="3089" t="s">
        <v>2745</v>
      </c>
      <c r="D117" s="3089" t="s">
        <v>2746</v>
      </c>
      <c r="E117" s="3115">
        <v>0.1</v>
      </c>
      <c r="F117" s="3115">
        <v>15</v>
      </c>
    </row>
    <row r="118" spans="1:6" ht="24">
      <c r="A118" s="3115">
        <v>46</v>
      </c>
      <c r="B118" s="3876" t="s">
        <v>2747</v>
      </c>
      <c r="C118" s="3115" t="s">
        <v>2748</v>
      </c>
      <c r="D118" s="3089" t="s">
        <v>2749</v>
      </c>
      <c r="E118" s="3115">
        <v>0.1</v>
      </c>
      <c r="F118" s="3115">
        <v>15</v>
      </c>
    </row>
    <row r="119" spans="1:6" ht="24">
      <c r="A119" s="3115">
        <v>47</v>
      </c>
      <c r="B119" s="3880"/>
      <c r="C119" s="3115" t="s">
        <v>2750</v>
      </c>
      <c r="D119" s="3089" t="s">
        <v>2751</v>
      </c>
      <c r="E119" s="3115">
        <v>0.1</v>
      </c>
      <c r="F119" s="3115">
        <v>15</v>
      </c>
    </row>
    <row r="120" spans="1:6" ht="13.5">
      <c r="A120" s="3115">
        <v>48</v>
      </c>
      <c r="B120" s="3876" t="s">
        <v>2752</v>
      </c>
      <c r="C120" s="3115" t="s">
        <v>2753</v>
      </c>
      <c r="D120" s="3089" t="s">
        <v>2754</v>
      </c>
      <c r="E120" s="3115">
        <v>0.1</v>
      </c>
      <c r="F120" s="3115">
        <v>15</v>
      </c>
    </row>
    <row r="121" spans="1:6" ht="13.5">
      <c r="A121" s="3115">
        <v>49</v>
      </c>
      <c r="B121" s="3880"/>
      <c r="C121" s="3115" t="s">
        <v>2755</v>
      </c>
      <c r="D121" s="3089" t="s">
        <v>2756</v>
      </c>
      <c r="E121" s="3115">
        <v>0.1</v>
      </c>
      <c r="F121" s="3115">
        <v>15</v>
      </c>
    </row>
    <row r="122" spans="1:6" ht="24">
      <c r="A122" s="3115">
        <v>50</v>
      </c>
      <c r="B122" s="3881" t="s">
        <v>2757</v>
      </c>
      <c r="C122" s="3115" t="s">
        <v>2758</v>
      </c>
      <c r="D122" s="3089" t="s">
        <v>2759</v>
      </c>
      <c r="E122" s="3115">
        <v>0.1</v>
      </c>
      <c r="F122" s="3115">
        <v>15</v>
      </c>
    </row>
    <row r="123" spans="1:6" ht="24">
      <c r="A123" s="3115">
        <v>51</v>
      </c>
      <c r="B123" s="3881"/>
      <c r="C123" s="3115" t="s">
        <v>2760</v>
      </c>
      <c r="D123" s="3089" t="s">
        <v>2761</v>
      </c>
      <c r="E123" s="3115">
        <v>0.1</v>
      </c>
      <c r="F123" s="3115">
        <v>15</v>
      </c>
    </row>
    <row r="124" spans="1:6" ht="24">
      <c r="A124" s="3115">
        <v>52</v>
      </c>
      <c r="B124" s="3881" t="s">
        <v>2762</v>
      </c>
      <c r="C124" s="3115" t="s">
        <v>2763</v>
      </c>
      <c r="D124" s="3089" t="s">
        <v>2764</v>
      </c>
      <c r="E124" s="3115">
        <v>0.1</v>
      </c>
      <c r="F124" s="3115">
        <v>15</v>
      </c>
    </row>
    <row r="125" spans="1:6" ht="24">
      <c r="A125" s="3115">
        <v>53</v>
      </c>
      <c r="B125" s="3881"/>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881" t="s">
        <v>2770</v>
      </c>
      <c r="C127" s="3115" t="s">
        <v>2771</v>
      </c>
      <c r="D127" s="3089" t="s">
        <v>2772</v>
      </c>
      <c r="E127" s="3115">
        <v>0.1</v>
      </c>
      <c r="F127" s="3115">
        <v>15</v>
      </c>
    </row>
    <row r="128" spans="1:6" ht="13.5">
      <c r="A128" s="3115">
        <v>56</v>
      </c>
      <c r="B128" s="3881"/>
      <c r="C128" s="3115" t="s">
        <v>2773</v>
      </c>
      <c r="D128" s="3089" t="s">
        <v>2774</v>
      </c>
      <c r="E128" s="3115">
        <v>0.1</v>
      </c>
      <c r="F128" s="3115">
        <v>15</v>
      </c>
    </row>
    <row r="129" spans="1:6" ht="24">
      <c r="A129" s="3115">
        <v>57</v>
      </c>
      <c r="B129" s="3881"/>
      <c r="C129" s="3115" t="s">
        <v>2775</v>
      </c>
      <c r="D129" s="3089" t="s">
        <v>2776</v>
      </c>
      <c r="E129" s="3115">
        <v>0.1</v>
      </c>
      <c r="F129" s="3115">
        <v>15</v>
      </c>
    </row>
    <row r="130" spans="1:6" ht="24">
      <c r="A130" s="3115">
        <v>58</v>
      </c>
      <c r="B130" s="3881" t="s">
        <v>2777</v>
      </c>
      <c r="C130" s="3115" t="s">
        <v>2778</v>
      </c>
      <c r="D130" s="3089" t="s">
        <v>2779</v>
      </c>
      <c r="E130" s="3115">
        <v>0.1</v>
      </c>
      <c r="F130" s="3115">
        <v>15</v>
      </c>
    </row>
    <row r="131" spans="1:6" ht="13.5">
      <c r="A131" s="3115">
        <v>59</v>
      </c>
      <c r="B131" s="3881"/>
      <c r="C131" s="3115" t="s">
        <v>2780</v>
      </c>
      <c r="D131" s="3089" t="s">
        <v>2781</v>
      </c>
      <c r="E131" s="3115">
        <v>0.1</v>
      </c>
      <c r="F131" s="3115">
        <v>15</v>
      </c>
    </row>
    <row r="132" spans="1:6" ht="13.5">
      <c r="A132" s="3115">
        <v>60</v>
      </c>
      <c r="B132" s="3876" t="s">
        <v>2782</v>
      </c>
      <c r="C132" s="3115" t="s">
        <v>2783</v>
      </c>
      <c r="D132" s="3089" t="s">
        <v>2784</v>
      </c>
      <c r="E132" s="3115">
        <v>0.1</v>
      </c>
      <c r="F132" s="3115">
        <v>15</v>
      </c>
    </row>
    <row r="133" spans="1:6" ht="13.5">
      <c r="A133" s="3115">
        <v>61</v>
      </c>
      <c r="B133" s="3880"/>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881" t="s">
        <v>2790</v>
      </c>
      <c r="C135" s="3115" t="s">
        <v>2791</v>
      </c>
      <c r="D135" s="3089" t="s">
        <v>2792</v>
      </c>
      <c r="E135" s="3115">
        <v>0.1</v>
      </c>
      <c r="F135" s="3115">
        <v>15</v>
      </c>
    </row>
    <row r="136" spans="1:6" ht="13.5">
      <c r="A136" s="3115">
        <v>64</v>
      </c>
      <c r="B136" s="3881"/>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2799</v>
      </c>
      <c r="B1" s="3124"/>
      <c r="C1" s="3124"/>
      <c r="D1" s="3124"/>
      <c r="E1" s="3124"/>
      <c r="F1" s="3124"/>
      <c r="G1" s="3124"/>
      <c r="H1" s="3124"/>
      <c r="I1" s="3124"/>
      <c r="J1" s="3124"/>
      <c r="K1" s="3124"/>
      <c r="L1" s="3124"/>
      <c r="M1" s="3124"/>
      <c r="N1" s="746"/>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7">
        <f>SUMPRODUCT((A95:A184=ROUNDDOWN('基准地价修正-办公'!G3,1))*(B94:M94='基准地价修正-办公'!G2)*(B95:M184))</f>
        <v>0.93500000000000005</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7">
        <f>SUMPRODUCT((A371:A460=ROUNDDOWN('基准地价修正-办公'!G3,1))*(B370:M370='基准地价修正-办公'!G2)*(B371:M460))</f>
        <v>0.88560000000000005</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138357</v>
      </c>
      <c r="C2" s="2" t="s">
        <v>106</v>
      </c>
      <c r="D2" s="199"/>
      <c r="E2" s="199"/>
      <c r="F2" s="199"/>
      <c r="G2" s="199"/>
    </row>
    <row r="3" spans="1:7" s="200" customFormat="1" ht="18" customHeight="1" thickBot="1">
      <c r="A3" s="203" t="s">
        <v>58</v>
      </c>
      <c r="B3" s="204">
        <f ca="1">ROUND(B2*10000/'数据-汇总表'!E3,0)</f>
        <v>12337</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21000</v>
      </c>
      <c r="D5" s="211" t="s">
        <v>61</v>
      </c>
      <c r="E5" s="212" t="s">
        <v>62</v>
      </c>
      <c r="F5" s="212" t="s">
        <v>63</v>
      </c>
      <c r="G5" s="213"/>
    </row>
    <row r="6" spans="1:7" s="214" customFormat="1" ht="13.5" customHeight="1">
      <c r="A6" s="775" t="s">
        <v>345</v>
      </c>
      <c r="B6" s="215" t="s">
        <v>64</v>
      </c>
      <c r="C6" s="216">
        <v>20000</v>
      </c>
      <c r="D6" s="217"/>
      <c r="E6" s="218"/>
      <c r="F6" s="218"/>
      <c r="G6" s="219"/>
    </row>
    <row r="7" spans="1:7" s="214" customFormat="1" ht="13.5" customHeight="1">
      <c r="A7" s="775" t="s">
        <v>346</v>
      </c>
      <c r="B7" s="215" t="s">
        <v>30</v>
      </c>
      <c r="C7" s="220">
        <f>ROUND(C6*F7,0)</f>
        <v>1000</v>
      </c>
      <c r="D7" s="220"/>
      <c r="E7" s="218"/>
      <c r="F7" s="221">
        <f>'数据-取费表'!B48+'数据-取费表'!B49</f>
        <v>0.05</v>
      </c>
      <c r="G7" s="219"/>
    </row>
    <row r="8" spans="1:7" s="223" customFormat="1">
      <c r="A8" s="775" t="s">
        <v>347</v>
      </c>
      <c r="B8" s="215" t="s">
        <v>65</v>
      </c>
      <c r="C8" s="220" t="str">
        <f>IF(G8="已包含在土地购买价格中","0",'数据-取费表'!B29)</f>
        <v>0</v>
      </c>
      <c r="D8" s="222"/>
      <c r="E8" s="220"/>
      <c r="F8" s="221"/>
      <c r="G8" s="1" t="s">
        <v>450</v>
      </c>
    </row>
    <row r="9" spans="1:7" s="214" customFormat="1" ht="13.5" customHeight="1">
      <c r="A9" s="776" t="s">
        <v>354</v>
      </c>
      <c r="B9" s="224" t="s">
        <v>66</v>
      </c>
      <c r="C9" s="225">
        <f>ROUND(D9*E9/10000,0)</f>
        <v>0</v>
      </c>
      <c r="D9" s="842">
        <f>'数据-汇总表'!E5</f>
        <v>0</v>
      </c>
      <c r="E9" s="225">
        <f>'数据-取费表'!B27</f>
        <v>0</v>
      </c>
      <c r="F9" s="221"/>
      <c r="G9" s="226"/>
    </row>
    <row r="10" spans="1:7" s="214" customFormat="1" ht="13.5" customHeight="1">
      <c r="A10" s="776" t="s">
        <v>355</v>
      </c>
      <c r="B10" s="224" t="s">
        <v>67</v>
      </c>
      <c r="C10" s="225">
        <f>ROUND(D10*E10/10000,0)</f>
        <v>2243</v>
      </c>
      <c r="D10" s="842">
        <f>'数据-汇总表'!E6</f>
        <v>112144.48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416</v>
      </c>
      <c r="B19" s="210" t="s">
        <v>84</v>
      </c>
      <c r="C19" s="211">
        <f>IF(G19="已包含在土地取得成本中","0",ROUND(D19*E19/10000,0))</f>
        <v>2243</v>
      </c>
      <c r="D19" s="846">
        <f>'数据-汇总表'!E3</f>
        <v>112144.48</v>
      </c>
      <c r="E19" s="211">
        <f>'数据-取费表'!B31</f>
        <v>200</v>
      </c>
      <c r="F19" s="231"/>
      <c r="G19" s="1" t="s">
        <v>435</v>
      </c>
    </row>
    <row r="20" spans="1:7" s="214" customFormat="1" ht="13.5" customHeight="1">
      <c r="A20" s="774" t="s">
        <v>418</v>
      </c>
      <c r="B20" s="210" t="s">
        <v>77</v>
      </c>
      <c r="C20" s="232">
        <f>ROUND((C5+C19)*F20,0)</f>
        <v>697</v>
      </c>
      <c r="D20" s="232"/>
      <c r="E20" s="232"/>
      <c r="F20" s="233">
        <f>'数据-取费表'!B37</f>
        <v>0.03</v>
      </c>
      <c r="G20" s="1064" t="s">
        <v>429</v>
      </c>
    </row>
    <row r="21" spans="1:7" s="214" customFormat="1" ht="13.5" customHeight="1">
      <c r="A21" s="774" t="s">
        <v>420</v>
      </c>
      <c r="B21" s="210" t="s">
        <v>78</v>
      </c>
      <c r="C21" s="235">
        <f>F21</f>
        <v>0.03</v>
      </c>
      <c r="D21" s="236" t="s">
        <v>99</v>
      </c>
      <c r="E21" s="232"/>
      <c r="F21" s="233">
        <f>'数据-取费表'!B38</f>
        <v>0.03</v>
      </c>
      <c r="G21" s="234" t="s">
        <v>79</v>
      </c>
    </row>
    <row r="22" spans="1:7" s="214" customFormat="1" ht="13.5" customHeight="1">
      <c r="A22" s="774" t="s">
        <v>340</v>
      </c>
      <c r="B22" s="210" t="s">
        <v>80</v>
      </c>
      <c r="C22" s="1101">
        <f ca="1">ROUND(SUM(C23:C25),0)</f>
        <v>2678</v>
      </c>
      <c r="D22" s="235">
        <f ca="1">C26</f>
        <v>1.6999999999999999E-3</v>
      </c>
      <c r="E22" s="236" t="s">
        <v>99</v>
      </c>
      <c r="F22" s="237">
        <f ca="1">'数据-取费表'!B40</f>
        <v>3.6499999999999998E-2</v>
      </c>
      <c r="G22" s="1064" t="str">
        <f>IF('数据-取费表'!B22&lt;=1,"单利计息","复利计息")</f>
        <v>复利计息</v>
      </c>
    </row>
    <row r="23" spans="1:7" s="214" customFormat="1" ht="13.5" customHeight="1">
      <c r="A23" s="777" t="s">
        <v>348</v>
      </c>
      <c r="B23" s="215" t="s">
        <v>422</v>
      </c>
      <c r="C23" s="1102">
        <f ca="1">ROUND(IF('数据-取费表'!B22&lt;=1,C5*F22*'数据-取费表'!B23,C5*(POWER((1+F22),'数据-取费表'!B23)-1)),0)</f>
        <v>2384</v>
      </c>
      <c r="D23" s="238"/>
      <c r="E23" s="238"/>
      <c r="F23" s="239"/>
      <c r="G23" s="240" t="s">
        <v>81</v>
      </c>
    </row>
    <row r="24" spans="1:7" s="214" customFormat="1" ht="13.5" customHeight="1">
      <c r="A24" s="777" t="s">
        <v>346</v>
      </c>
      <c r="B24" s="215" t="s">
        <v>417</v>
      </c>
      <c r="C24" s="1102">
        <f ca="1">ROUND(IF('数据-取费表'!B22&lt;=1,C19*F22*('数据-取费表'!B19/2+'数据-取费表'!B21),C19*(POWER((1+F22),('数据-取费表'!B19/2+'数据-取费表'!B21))-1)),0)</f>
        <v>255</v>
      </c>
      <c r="D24" s="238"/>
      <c r="E24" s="238"/>
      <c r="F24" s="239"/>
      <c r="G24" s="240" t="s">
        <v>82</v>
      </c>
    </row>
    <row r="25" spans="1:7" s="214" customFormat="1" ht="24">
      <c r="A25" s="777" t="s">
        <v>347</v>
      </c>
      <c r="B25" s="215" t="s">
        <v>419</v>
      </c>
      <c r="C25" s="1102">
        <f ca="1">ROUND(IF('数据-取费表'!B22&lt;=1,C20*F22*'数据-取费表'!B23/2,C20*(POWER((1+F22),'数据-取费表'!B23/2)-1)),0)</f>
        <v>39</v>
      </c>
      <c r="D25" s="238"/>
      <c r="E25" s="241"/>
      <c r="F25" s="239"/>
      <c r="G25" s="242" t="s">
        <v>83</v>
      </c>
    </row>
    <row r="26" spans="1:7" s="214" customFormat="1">
      <c r="A26" s="777" t="s">
        <v>349</v>
      </c>
      <c r="B26" s="215" t="s">
        <v>421</v>
      </c>
      <c r="C26" s="238">
        <f ca="1">ROUND(IF('数据-取费表'!B22&lt;=1,F21*F22*'数据-取费表'!B23/2,F21*(POWER((1+F22),'数据-取费表'!B23/2)-1)),4)</f>
        <v>1.6999999999999999E-3</v>
      </c>
      <c r="D26" s="238"/>
      <c r="E26" s="241"/>
      <c r="F26" s="239"/>
      <c r="G26" s="243"/>
    </row>
    <row r="27" spans="1:7" s="214" customFormat="1" ht="24.75">
      <c r="A27" s="774" t="s">
        <v>341</v>
      </c>
      <c r="B27" s="244" t="s">
        <v>85</v>
      </c>
      <c r="C27" s="245">
        <f>C28</f>
        <v>4549</v>
      </c>
      <c r="D27" s="235">
        <f>C29</f>
        <v>5.7000000000000002E-3</v>
      </c>
      <c r="E27" s="236" t="s">
        <v>99</v>
      </c>
      <c r="F27" s="246">
        <f>'数据-取费表'!Q16</f>
        <v>0.19</v>
      </c>
      <c r="G27" s="247" t="s">
        <v>430</v>
      </c>
    </row>
    <row r="28" spans="1:7" s="214" customFormat="1" ht="13.5" customHeight="1">
      <c r="A28" s="777" t="s">
        <v>348</v>
      </c>
      <c r="B28" s="248" t="s">
        <v>423</v>
      </c>
      <c r="C28" s="249">
        <f>ROUND((C5+C19+C20)*F27*'数据-取费表'!B21/'数据-取费表'!B20,0)</f>
        <v>4549</v>
      </c>
      <c r="D28" s="235"/>
      <c r="E28" s="236"/>
      <c r="F28" s="246"/>
      <c r="G28" s="247"/>
    </row>
    <row r="29" spans="1:7" s="214" customFormat="1" ht="13.5" customHeight="1">
      <c r="A29" s="777" t="s">
        <v>346</v>
      </c>
      <c r="B29" s="248" t="s">
        <v>424</v>
      </c>
      <c r="C29" s="238">
        <f>ROUND(C21*F27*'数据-取费表'!B21/'数据-取费表'!B20,4)</f>
        <v>5.7000000000000002E-3</v>
      </c>
      <c r="D29" s="235"/>
      <c r="E29" s="236"/>
      <c r="F29" s="246"/>
      <c r="G29" s="247"/>
    </row>
    <row r="30" spans="1:7" s="214" customFormat="1" ht="13.5" customHeight="1">
      <c r="A30" s="774"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34277</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75290</v>
      </c>
      <c r="D33" s="232"/>
      <c r="E33" s="212"/>
      <c r="F33" s="241"/>
      <c r="G33" s="234"/>
    </row>
    <row r="34" spans="1:7" s="258" customFormat="1" ht="13.5" customHeight="1">
      <c r="A34" s="777" t="s">
        <v>348</v>
      </c>
      <c r="B34" s="215" t="s">
        <v>32</v>
      </c>
      <c r="C34" s="220">
        <f>IF(F34=100%,'数据-取费表'!M16-SUMIF('数据-取费表'!C:C,"公共配套",'数据-取费表'!M:M),'数据-取费表'!O16-SUMIF('数据-取费表'!C:C,"公共配套",'数据-取费表'!O:O))</f>
        <v>68589</v>
      </c>
      <c r="D34" s="217"/>
      <c r="E34" s="220"/>
      <c r="F34" s="257">
        <f>IF('数据-取费表'!B24=0,1,'数据-取费表'!N16)</f>
        <v>1</v>
      </c>
      <c r="G34" s="219" t="s">
        <v>89</v>
      </c>
    </row>
    <row r="35" spans="1:7" ht="13.5" customHeight="1">
      <c r="A35" s="777" t="s">
        <v>350</v>
      </c>
      <c r="B35" s="215" t="s">
        <v>33</v>
      </c>
      <c r="C35" s="220">
        <f>ROUND(C34*F35,0)</f>
        <v>3429</v>
      </c>
      <c r="D35" s="220"/>
      <c r="E35" s="220"/>
      <c r="F35" s="259">
        <f>'数据-取费表'!B33</f>
        <v>0.05</v>
      </c>
      <c r="G35" s="219" t="s">
        <v>90</v>
      </c>
    </row>
    <row r="36" spans="1:7" ht="24">
      <c r="A36" s="777"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352</v>
      </c>
      <c r="B37" s="215" t="s">
        <v>91</v>
      </c>
      <c r="C37" s="249">
        <f>ROUND(E37*D37*F34/10000,0)</f>
        <v>2243</v>
      </c>
      <c r="D37" s="217">
        <f>'数据-汇总表'!E3</f>
        <v>112144.48</v>
      </c>
      <c r="E37" s="249">
        <f>'数据-取费表'!B35</f>
        <v>200</v>
      </c>
      <c r="F37" s="259"/>
      <c r="G37" s="261" t="s">
        <v>92</v>
      </c>
    </row>
    <row r="38" spans="1:7" ht="13.5" customHeight="1">
      <c r="A38" s="777" t="s">
        <v>353</v>
      </c>
      <c r="B38" s="215" t="s">
        <v>36</v>
      </c>
      <c r="C38" s="220">
        <f>ROUND(C34*F38,0)</f>
        <v>1029</v>
      </c>
      <c r="D38" s="220"/>
      <c r="E38" s="220"/>
      <c r="F38" s="259">
        <f>'数据-取费表'!B36</f>
        <v>1.4999999999999999E-2</v>
      </c>
      <c r="G38" s="219" t="s">
        <v>90</v>
      </c>
    </row>
    <row r="39" spans="1:7" s="214" customFormat="1" ht="13.5" customHeight="1">
      <c r="A39" s="774" t="s">
        <v>337</v>
      </c>
      <c r="B39" s="210" t="s">
        <v>77</v>
      </c>
      <c r="C39" s="232">
        <f>ROUND(C33*F20,0)</f>
        <v>2259</v>
      </c>
      <c r="D39" s="232"/>
      <c r="E39" s="232"/>
      <c r="F39" s="233"/>
      <c r="G39" s="1064" t="s">
        <v>432</v>
      </c>
    </row>
    <row r="40" spans="1:7" s="214" customFormat="1" ht="13.5" customHeight="1">
      <c r="A40" s="774" t="s">
        <v>338</v>
      </c>
      <c r="B40" s="210" t="s">
        <v>78</v>
      </c>
      <c r="C40" s="262">
        <f>F21</f>
        <v>0.03</v>
      </c>
      <c r="D40" s="236" t="s">
        <v>102</v>
      </c>
      <c r="E40" s="232"/>
      <c r="F40" s="233"/>
      <c r="G40" s="234" t="s">
        <v>93</v>
      </c>
    </row>
    <row r="41" spans="1:7" s="214" customFormat="1" ht="13.5" customHeight="1">
      <c r="A41" s="774" t="s">
        <v>339</v>
      </c>
      <c r="B41" s="210" t="s">
        <v>80</v>
      </c>
      <c r="C41" s="232">
        <f ca="1">ROUND(SUM(C42:C43),0)</f>
        <v>4285</v>
      </c>
      <c r="D41" s="235">
        <f ca="1">C44</f>
        <v>1.6999999999999999E-3</v>
      </c>
      <c r="E41" s="236" t="s">
        <v>102</v>
      </c>
      <c r="F41" s="237"/>
      <c r="G41" s="1064" t="str">
        <f>IF('数据-取费表'!B22&lt;=1,"单利计息","复利计息")</f>
        <v>复利计息</v>
      </c>
    </row>
    <row r="42" spans="1:7" ht="13.5" customHeight="1">
      <c r="A42" s="777" t="s">
        <v>348</v>
      </c>
      <c r="B42" s="215" t="s">
        <v>422</v>
      </c>
      <c r="C42" s="238">
        <f ca="1">ROUND(IF('数据-取费表'!B22&lt;=1,C33*F22*'数据-取费表'!B21/2,C33*(POWER((1+F22),'数据-取费表'!B21/2)-1)),0)</f>
        <v>4160</v>
      </c>
      <c r="D42" s="238"/>
      <c r="E42" s="238"/>
      <c r="F42" s="239"/>
      <c r="G42" s="3746" t="s">
        <v>94</v>
      </c>
    </row>
    <row r="43" spans="1:7" ht="13.5" customHeight="1">
      <c r="A43" s="777" t="s">
        <v>346</v>
      </c>
      <c r="B43" s="215" t="s">
        <v>425</v>
      </c>
      <c r="C43" s="238">
        <f ca="1">ROUND(IF('数据-取费表'!B22&lt;=1,C39*F22*'数据-取费表'!B21/2,C39*(POWER((1+F22),'数据-取费表'!B21/2)-1)),0)</f>
        <v>125</v>
      </c>
      <c r="D43" s="238"/>
      <c r="E43" s="238"/>
      <c r="F43" s="239"/>
      <c r="G43" s="3747"/>
    </row>
    <row r="44" spans="1:7" ht="13.5" customHeight="1">
      <c r="A44" s="777" t="s">
        <v>347</v>
      </c>
      <c r="B44" s="215" t="s">
        <v>427</v>
      </c>
      <c r="C44" s="238">
        <f ca="1">ROUND(IF('数据-取费表'!B22&lt;=1,C40*F22*'数据-取费表'!B21/2,C40*(POWER((1+F22),'数据-取费表'!B21/2)-1)),4)</f>
        <v>1.6999999999999999E-3</v>
      </c>
      <c r="D44" s="238"/>
      <c r="E44" s="238"/>
      <c r="F44" s="239"/>
      <c r="G44" s="3748"/>
    </row>
    <row r="45" spans="1:7" s="214" customFormat="1" ht="13.5" customHeight="1">
      <c r="A45" s="774" t="s">
        <v>340</v>
      </c>
      <c r="B45" s="244" t="s">
        <v>85</v>
      </c>
      <c r="C45" s="245">
        <f>C46</f>
        <v>14734</v>
      </c>
      <c r="D45" s="235">
        <f>C47</f>
        <v>5.7000000000000002E-3</v>
      </c>
      <c r="E45" s="236" t="s">
        <v>102</v>
      </c>
      <c r="F45" s="246"/>
      <c r="G45" s="247" t="s">
        <v>433</v>
      </c>
    </row>
    <row r="46" spans="1:7" s="214" customFormat="1" ht="13.5" customHeight="1">
      <c r="A46" s="777" t="s">
        <v>348</v>
      </c>
      <c r="B46" s="248" t="s">
        <v>426</v>
      </c>
      <c r="C46" s="249">
        <f>ROUND((C33+C39)*F27,0)</f>
        <v>14734</v>
      </c>
      <c r="D46" s="263"/>
      <c r="E46" s="236"/>
      <c r="F46" s="246"/>
      <c r="G46" s="247"/>
    </row>
    <row r="47" spans="1:7" s="214" customFormat="1" ht="13.5" customHeight="1">
      <c r="A47" s="777" t="s">
        <v>346</v>
      </c>
      <c r="B47" s="248" t="s">
        <v>428</v>
      </c>
      <c r="C47" s="238">
        <f>ROUND(C40*F27,4)</f>
        <v>5.7000000000000002E-3</v>
      </c>
      <c r="D47" s="263"/>
      <c r="E47" s="236"/>
      <c r="F47" s="246"/>
      <c r="G47" s="247"/>
    </row>
    <row r="48" spans="1:7" s="214" customFormat="1" ht="13.5" customHeight="1">
      <c r="A48" s="774" t="s">
        <v>341</v>
      </c>
      <c r="B48" s="210" t="s">
        <v>95</v>
      </c>
      <c r="C48" s="262">
        <f>F30</f>
        <v>5.6000000000000001E-2</v>
      </c>
      <c r="D48" s="236" t="s">
        <v>103</v>
      </c>
      <c r="E48" s="232"/>
      <c r="F48" s="237"/>
      <c r="G48" s="234" t="s">
        <v>96</v>
      </c>
    </row>
    <row r="49" spans="1:7" ht="16.5" customHeight="1">
      <c r="A49" s="774" t="s">
        <v>342</v>
      </c>
      <c r="B49" s="210" t="s">
        <v>104</v>
      </c>
      <c r="C49" s="232">
        <f ca="1">ROUND((C33+C39+C41+C45)/(1-C40-D41-D45-C48/(1+'数据-取费表'!B42)),0)</f>
        <v>106204</v>
      </c>
      <c r="D49" s="232"/>
      <c r="E49" s="232"/>
      <c r="F49" s="264"/>
      <c r="G49" s="234" t="s">
        <v>434</v>
      </c>
    </row>
    <row r="50" spans="1:7" s="258" customFormat="1" ht="24">
      <c r="A50" s="774" t="s">
        <v>343</v>
      </c>
      <c r="B50" s="210" t="s">
        <v>97</v>
      </c>
      <c r="C50" s="232"/>
      <c r="D50" s="232"/>
      <c r="E50" s="232"/>
      <c r="F50" s="264">
        <f>IF('数据-取费表'!B24=0,'数据-取费表'!N16,1)</f>
        <v>0.98</v>
      </c>
      <c r="G50" s="247" t="s">
        <v>98</v>
      </c>
    </row>
    <row r="51" spans="1:7" ht="16.5" customHeight="1">
      <c r="A51" s="774" t="s">
        <v>344</v>
      </c>
      <c r="B51" s="210" t="s">
        <v>105</v>
      </c>
      <c r="C51" s="232">
        <f ca="1">ROUND(C49*F50,0)</f>
        <v>104080</v>
      </c>
      <c r="D51" s="232"/>
      <c r="E51" s="232"/>
      <c r="F51" s="264"/>
      <c r="G51" s="234" t="s">
        <v>37</v>
      </c>
    </row>
    <row r="52" spans="1:7" s="208" customFormat="1" ht="16.5" thickBot="1">
      <c r="A52" s="265" t="s">
        <v>38</v>
      </c>
      <c r="B52" s="266"/>
      <c r="C52" s="267">
        <f ca="1">C31+C51</f>
        <v>138357</v>
      </c>
      <c r="D52" s="266"/>
      <c r="E52" s="266"/>
      <c r="F52" s="266"/>
      <c r="G52" s="268"/>
    </row>
    <row r="55" spans="1:7" ht="15">
      <c r="B55" s="270" t="s">
        <v>39</v>
      </c>
      <c r="C55" s="271"/>
    </row>
    <row r="56" spans="1:7">
      <c r="B56" s="273" t="s">
        <v>40</v>
      </c>
      <c r="C56" s="274">
        <f ca="1">ROUND(C51/C52,3)</f>
        <v>0.752</v>
      </c>
    </row>
    <row r="57" spans="1:7">
      <c r="B57" s="273" t="s">
        <v>41</v>
      </c>
      <c r="C57" s="275">
        <f ca="1">1-C56</f>
        <v>0.248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84" t="s">
        <v>2840</v>
      </c>
      <c r="B1" s="3884"/>
      <c r="C1" s="3884"/>
      <c r="D1" s="3884"/>
      <c r="E1" s="3884"/>
      <c r="F1" s="3884"/>
      <c r="G1" s="3885"/>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882"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883"/>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86" t="s">
        <v>3182</v>
      </c>
      <c r="B1" s="3886"/>
    </row>
    <row r="2" spans="1:7" ht="14.25" thickBot="1">
      <c r="A2" s="3252"/>
      <c r="B2" s="3252"/>
    </row>
    <row r="3" spans="1:7" ht="14.25" thickBot="1">
      <c r="A3" s="3252"/>
      <c r="B3" s="3252"/>
      <c r="C3" s="3253" t="s">
        <v>2812</v>
      </c>
      <c r="D3" s="3253" t="s">
        <v>2868</v>
      </c>
      <c r="E3" s="3253" t="s">
        <v>2814</v>
      </c>
      <c r="F3" s="3253" t="s">
        <v>2869</v>
      </c>
      <c r="G3" s="3253" t="s">
        <v>2632</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87" t="s">
        <v>3233</v>
      </c>
      <c r="B1" s="3887"/>
      <c r="C1" s="3887"/>
      <c r="D1" s="3887"/>
      <c r="E1" s="3887"/>
      <c r="F1" s="3888"/>
    </row>
    <row r="2" spans="1:6">
      <c r="A2" s="3288" t="s">
        <v>3234</v>
      </c>
      <c r="B2" s="3289"/>
      <c r="C2" s="3289"/>
      <c r="D2" s="3289"/>
      <c r="E2" s="3289"/>
      <c r="F2" s="3289"/>
    </row>
    <row r="3" spans="1:6">
      <c r="A3" s="3288" t="s">
        <v>3235</v>
      </c>
      <c r="B3" s="3289"/>
      <c r="C3" s="3289"/>
      <c r="D3" s="3289"/>
      <c r="E3" s="3289"/>
      <c r="F3" s="3290" t="s">
        <v>3236</v>
      </c>
    </row>
    <row r="4" spans="1:6">
      <c r="A4" s="3291" t="s">
        <v>671</v>
      </c>
      <c r="B4" s="3291" t="s">
        <v>672</v>
      </c>
      <c r="C4" s="3291" t="s">
        <v>21</v>
      </c>
      <c r="D4" s="3291" t="s">
        <v>673</v>
      </c>
      <c r="E4" s="3291" t="s">
        <v>3</v>
      </c>
      <c r="F4" s="3291" t="s">
        <v>3237</v>
      </c>
    </row>
    <row r="5" spans="1:6">
      <c r="A5" s="3292" t="s">
        <v>674</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368</v>
      </c>
      <c r="B16" s="3294">
        <v>2230</v>
      </c>
      <c r="C16" s="3294">
        <v>2200</v>
      </c>
      <c r="D16" s="3294">
        <v>2180</v>
      </c>
      <c r="E16" s="3294">
        <v>570</v>
      </c>
      <c r="F16" s="3294">
        <v>1330</v>
      </c>
    </row>
    <row r="17" spans="1:6">
      <c r="A17" s="3292" t="s">
        <v>369</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8">
        <f>'基准地价修正-办公'!G23</f>
        <v>44930</v>
      </c>
      <c r="B1" s="3207" t="s">
        <v>3373</v>
      </c>
      <c r="C1" s="3208"/>
      <c r="D1" s="3208"/>
      <c r="E1" s="3208"/>
      <c r="F1" s="3208"/>
      <c r="G1" s="3208"/>
      <c r="H1" s="3208"/>
      <c r="I1" s="3208"/>
      <c r="J1" s="3162"/>
      <c r="K1" s="3208" t="s">
        <v>453</v>
      </c>
      <c r="L1" s="3208"/>
      <c r="M1" s="3208"/>
      <c r="N1" s="3208"/>
      <c r="O1" s="3208"/>
      <c r="P1" s="3208"/>
      <c r="Q1" s="3162"/>
      <c r="R1" s="3889" t="s">
        <v>455</v>
      </c>
      <c r="S1" s="3890"/>
      <c r="T1" s="3890"/>
      <c r="U1" s="3890"/>
      <c r="V1" s="3890"/>
      <c r="W1" s="3890"/>
      <c r="X1" s="3162"/>
      <c r="Y1" s="3889" t="s">
        <v>456</v>
      </c>
      <c r="Z1" s="3890"/>
      <c r="AA1" s="3890"/>
      <c r="AB1" s="3890"/>
      <c r="AC1" s="3890"/>
      <c r="AD1" s="3890"/>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2826</v>
      </c>
    </row>
    <row r="22" spans="1:30" s="3006" customFormat="1"/>
    <row r="23" spans="1:30" s="3206" customFormat="1" ht="12.75">
      <c r="B23" s="3207" t="s">
        <v>3374</v>
      </c>
      <c r="C23" s="3208"/>
      <c r="D23" s="3208"/>
      <c r="E23" s="3208"/>
      <c r="F23" s="3208"/>
      <c r="G23" s="3208"/>
      <c r="H23" s="3208"/>
      <c r="I23" s="3208"/>
      <c r="J23" s="3162"/>
      <c r="K23" s="3208" t="s">
        <v>2827</v>
      </c>
      <c r="L23" s="3208"/>
      <c r="M23" s="3208"/>
      <c r="N23" s="3208"/>
      <c r="O23" s="3208"/>
      <c r="P23" s="3208"/>
      <c r="Q23" s="3162"/>
      <c r="R23" s="3889" t="s">
        <v>2828</v>
      </c>
      <c r="S23" s="3890"/>
      <c r="T23" s="3890"/>
      <c r="U23" s="3890"/>
      <c r="V23" s="3890"/>
      <c r="W23" s="3890"/>
      <c r="X23" s="3162"/>
      <c r="Y23" s="3889" t="s">
        <v>2829</v>
      </c>
      <c r="Z23" s="3890"/>
      <c r="AA23" s="3890"/>
      <c r="AB23" s="3890"/>
      <c r="AC23" s="3890"/>
      <c r="AD23" s="3890"/>
    </row>
    <row r="24" spans="1:30" s="3140" customFormat="1" ht="14.2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2.75">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96" t="s">
        <v>451</v>
      </c>
      <c r="C1" s="3896"/>
      <c r="D1" s="3896"/>
      <c r="E1" s="3896"/>
      <c r="F1" s="3896"/>
      <c r="G1" s="3892" t="s">
        <v>452</v>
      </c>
      <c r="H1" s="3892"/>
      <c r="I1" s="3892"/>
      <c r="J1" s="3892"/>
      <c r="K1" s="3892"/>
      <c r="L1" s="3892"/>
      <c r="N1" s="3892" t="s">
        <v>453</v>
      </c>
      <c r="O1" s="3892"/>
      <c r="P1" s="3892"/>
      <c r="Q1" s="3892"/>
      <c r="S1" s="3892" t="s">
        <v>454</v>
      </c>
      <c r="T1" s="3892"/>
      <c r="U1" s="3892"/>
      <c r="V1" s="3892"/>
      <c r="X1" s="3891" t="s">
        <v>455</v>
      </c>
      <c r="Y1" s="3892"/>
      <c r="Z1" s="3892"/>
      <c r="AA1" s="3892"/>
      <c r="AB1" s="3892"/>
      <c r="AD1" s="3891" t="s">
        <v>456</v>
      </c>
      <c r="AE1" s="3892"/>
      <c r="AF1" s="3892"/>
      <c r="AG1" s="3892"/>
      <c r="AH1" s="3892"/>
    </row>
    <row r="2" spans="1:34" s="2169" customFormat="1" ht="14.25" thickBot="1">
      <c r="B2" s="2170" t="s">
        <v>457</v>
      </c>
      <c r="C2" s="2170" t="s">
        <v>458</v>
      </c>
      <c r="D2" s="2171" t="s">
        <v>459</v>
      </c>
      <c r="E2" s="2171" t="s">
        <v>460</v>
      </c>
      <c r="F2" s="2170" t="s">
        <v>461</v>
      </c>
      <c r="G2" s="2172"/>
      <c r="I2" s="2170" t="s">
        <v>457</v>
      </c>
      <c r="J2" s="2171" t="s">
        <v>675</v>
      </c>
      <c r="K2" s="2171" t="s">
        <v>308</v>
      </c>
      <c r="L2" s="2170" t="s">
        <v>461</v>
      </c>
      <c r="N2" s="2170" t="s">
        <v>457</v>
      </c>
      <c r="O2" s="2171" t="s">
        <v>675</v>
      </c>
      <c r="P2" s="2171" t="s">
        <v>308</v>
      </c>
      <c r="Q2" s="2170" t="s">
        <v>461</v>
      </c>
      <c r="S2" s="2170" t="s">
        <v>457</v>
      </c>
      <c r="T2" s="2171" t="s">
        <v>675</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9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9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9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0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9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9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676</v>
      </c>
      <c r="B27" s="2203">
        <f t="shared" si="232"/>
        <v>419.31181600000002</v>
      </c>
      <c r="C27" s="2203">
        <f t="shared" si="233"/>
        <v>313.95436800000004</v>
      </c>
      <c r="D27" s="2203">
        <f t="shared" si="234"/>
        <v>313.95436800000004</v>
      </c>
      <c r="E27" s="2203">
        <f t="shared" si="235"/>
        <v>596.63028431999999</v>
      </c>
      <c r="F27" s="2203">
        <f t="shared" si="236"/>
        <v>274.74220703999998</v>
      </c>
      <c r="G27" s="389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90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9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9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9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9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9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9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9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9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9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9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9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9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9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9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9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90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9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9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9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9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9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9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9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9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9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9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9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9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9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9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9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9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9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9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9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9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9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9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9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9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9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9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9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9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9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9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9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9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9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9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9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9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93">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94">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94">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95">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93">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94">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94">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9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72" t="str">
        <f>IF(项目基本情况!B9="房地产市场价值","估价结果一览表","结果表-2")</f>
        <v>结果表-2</v>
      </c>
      <c r="B1" s="3572"/>
      <c r="C1" s="3572"/>
      <c r="D1" s="3572"/>
      <c r="E1" s="3572"/>
      <c r="F1" s="3572"/>
      <c r="G1" s="3572"/>
      <c r="H1" s="3572"/>
      <c r="I1" s="3572"/>
    </row>
    <row r="2" spans="1:9" ht="30" customHeight="1" thickTop="1">
      <c r="A2" s="3573" t="s">
        <v>927</v>
      </c>
      <c r="B2" s="3573" t="s">
        <v>928</v>
      </c>
      <c r="C2" s="3573" t="s">
        <v>929</v>
      </c>
      <c r="D2" s="3573" t="str">
        <f>结果表!D116</f>
        <v>出让国有建设用地使用权价值</v>
      </c>
      <c r="E2" s="3573"/>
      <c r="F2" s="3573" t="str">
        <f>结果表!F116</f>
        <v>在建建筑物价值</v>
      </c>
      <c r="G2" s="3573"/>
      <c r="H2" s="3573" t="str">
        <f>IF(项目基本情况!B9="房地产市场价值","房地产市场价值","房地产价值")</f>
        <v>房地产价值</v>
      </c>
      <c r="I2" s="3573"/>
    </row>
    <row r="3" spans="1:9" ht="15">
      <c r="A3" s="3574"/>
      <c r="B3" s="3574"/>
      <c r="C3" s="3574"/>
      <c r="D3" s="851" t="s">
        <v>924</v>
      </c>
      <c r="E3" s="851" t="s">
        <v>930</v>
      </c>
      <c r="F3" s="851" t="s">
        <v>924</v>
      </c>
      <c r="G3" s="851" t="s">
        <v>925</v>
      </c>
      <c r="H3" s="851" t="s">
        <v>924</v>
      </c>
      <c r="I3" s="851" t="s">
        <v>925</v>
      </c>
    </row>
    <row r="4" spans="1:9" ht="30">
      <c r="A4" s="1502" t="str">
        <f>项目基本情况!S2</f>
        <v>北京市海淀区魏公村路6号院1号楼房地产</v>
      </c>
      <c r="B4" s="851">
        <f>项目基本情况!C17</f>
        <v>112144.48</v>
      </c>
      <c r="C4" s="851">
        <f>项目基本情况!C18</f>
        <v>10426.780000000001</v>
      </c>
      <c r="D4" s="851">
        <f ca="1">结果表!D118</f>
        <v>393874</v>
      </c>
      <c r="E4" s="851">
        <f ca="1">结果表!E118</f>
        <v>35122</v>
      </c>
      <c r="F4" s="851">
        <f ca="1">结果表!F118</f>
        <v>126435</v>
      </c>
      <c r="G4" s="851">
        <f ca="1">结果表!G118</f>
        <v>11274</v>
      </c>
      <c r="H4" s="851">
        <f ca="1">结果表!H118</f>
        <v>520309</v>
      </c>
      <c r="I4" s="851">
        <f ca="1">结果表!I118</f>
        <v>46396</v>
      </c>
    </row>
    <row r="5" spans="1:9" ht="30" customHeight="1">
      <c r="A5" s="3574" t="s">
        <v>926</v>
      </c>
      <c r="B5" s="3574"/>
      <c r="C5" s="3574"/>
      <c r="D5" s="3574" t="str">
        <f ca="1">结果表!D119</f>
        <v>叁拾玖亿叁仟捌佰柒拾肆万元整</v>
      </c>
      <c r="E5" s="3574"/>
      <c r="F5" s="3574" t="str">
        <f ca="1">结果表!F119</f>
        <v>壹拾贰亿陆仟肆佰叁拾伍万元整</v>
      </c>
      <c r="G5" s="3574"/>
      <c r="H5" s="3574" t="str">
        <f ca="1">结果表!H119</f>
        <v>伍拾贰亿零叁佰零玖万元整</v>
      </c>
      <c r="I5" s="3574"/>
    </row>
    <row r="6" spans="1:9" ht="15.75">
      <c r="A6" s="3575" t="str">
        <f>结果表!A120</f>
        <v>估价师知悉的法定优先受偿款</v>
      </c>
      <c r="B6" s="3575"/>
      <c r="C6" s="3575"/>
      <c r="D6" s="3575">
        <f>结果表!D120</f>
        <v>0</v>
      </c>
      <c r="E6" s="3575"/>
      <c r="F6" s="3575"/>
      <c r="G6" s="3575"/>
      <c r="H6" s="3575"/>
      <c r="I6" s="3575"/>
    </row>
    <row r="7" spans="1:9" ht="15">
      <c r="A7" s="3574" t="s">
        <v>926</v>
      </c>
      <c r="B7" s="3574"/>
      <c r="C7" s="3574"/>
      <c r="D7" s="3576" t="str">
        <f>结果表!D121</f>
        <v>零元整</v>
      </c>
      <c r="E7" s="3577"/>
      <c r="F7" s="3577"/>
      <c r="G7" s="3577"/>
      <c r="H7" s="3577"/>
      <c r="I7" s="3578"/>
    </row>
    <row r="8" spans="1:9" ht="15.75">
      <c r="A8" s="3575" t="str">
        <f>结果表!A122</f>
        <v>房地产抵押价值</v>
      </c>
      <c r="B8" s="3575"/>
      <c r="C8" s="3575"/>
      <c r="D8" s="3575">
        <f ca="1">结果表!D122</f>
        <v>520309</v>
      </c>
      <c r="E8" s="3575"/>
      <c r="F8" s="3575"/>
      <c r="G8" s="3575"/>
      <c r="H8" s="3575"/>
      <c r="I8" s="3575"/>
    </row>
    <row r="9" spans="1:9" ht="15">
      <c r="A9" s="3574" t="s">
        <v>926</v>
      </c>
      <c r="B9" s="3574"/>
      <c r="C9" s="3574"/>
      <c r="D9" s="3574" t="str">
        <f ca="1">结果表!D123</f>
        <v>伍拾贰亿零叁佰零玖万元整</v>
      </c>
      <c r="E9" s="3574"/>
      <c r="F9" s="3574"/>
      <c r="G9" s="3574"/>
      <c r="H9" s="3574"/>
      <c r="I9" s="3574"/>
    </row>
    <row r="10" spans="1:9" ht="15.75">
      <c r="A10" s="3575" t="str">
        <f>结果表!A124</f>
        <v/>
      </c>
      <c r="B10" s="3575"/>
      <c r="C10" s="3575"/>
      <c r="D10" s="3575" t="str">
        <f>结果表!D124</f>
        <v>——</v>
      </c>
      <c r="E10" s="3575"/>
      <c r="F10" s="3575"/>
      <c r="G10" s="3575"/>
      <c r="H10" s="3575"/>
      <c r="I10" s="3575"/>
    </row>
    <row r="11" spans="1:9" ht="15">
      <c r="A11" s="3574" t="s">
        <v>926</v>
      </c>
      <c r="B11" s="3574"/>
      <c r="C11" s="3574"/>
      <c r="D11" s="3574" t="e">
        <f>结果表!D125</f>
        <v>#VALUE!</v>
      </c>
      <c r="E11" s="3574"/>
      <c r="F11" s="3574"/>
      <c r="G11" s="3574"/>
      <c r="H11" s="3574"/>
      <c r="I11" s="3574"/>
    </row>
    <row r="12" spans="1:9" ht="15.75">
      <c r="A12" s="3575" t="str">
        <f>结果表!A126</f>
        <v>抵押净值</v>
      </c>
      <c r="B12" s="3575"/>
      <c r="C12" s="3575"/>
      <c r="D12" s="3575">
        <f ca="1">结果表!D126</f>
        <v>444381</v>
      </c>
      <c r="E12" s="3575"/>
      <c r="F12" s="3575"/>
      <c r="G12" s="3575"/>
      <c r="H12" s="3575"/>
      <c r="I12" s="3575"/>
    </row>
    <row r="13" spans="1:9" ht="15.75" thickBot="1">
      <c r="A13" s="3579" t="s">
        <v>926</v>
      </c>
      <c r="B13" s="3579"/>
      <c r="C13" s="3579"/>
      <c r="D13" s="3579" t="str">
        <f ca="1">结果表!D127</f>
        <v>肆拾肆亿肆仟叁佰捌拾壹万元整</v>
      </c>
      <c r="E13" s="3579"/>
      <c r="F13" s="3579"/>
      <c r="G13" s="3579"/>
      <c r="H13" s="3579"/>
      <c r="I13" s="3579"/>
    </row>
    <row r="14" spans="1:9" ht="15" thickTop="1">
      <c r="A14" s="3580" t="s">
        <v>931</v>
      </c>
      <c r="B14" s="3580"/>
      <c r="C14" s="3580"/>
      <c r="D14" s="3580"/>
      <c r="E14" s="3580"/>
      <c r="F14" s="3580"/>
      <c r="G14" s="3580"/>
      <c r="H14" s="3580"/>
      <c r="I14" s="3580"/>
    </row>
    <row r="16" spans="1:9" ht="18.75">
      <c r="A16" s="1503" t="s">
        <v>914</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601</v>
      </c>
      <c r="C1" s="1293">
        <f>项目基本情况!D3</f>
        <v>44930</v>
      </c>
      <c r="D1" s="1299" t="s">
        <v>602</v>
      </c>
      <c r="E1" s="1294">
        <f>'数据-取费表'!B22</f>
        <v>3</v>
      </c>
      <c r="F1" s="1299" t="s">
        <v>603</v>
      </c>
      <c r="G1" s="1295">
        <f ca="1">INDIRECT("d"&amp;$K$1)/100</f>
        <v>3.6499999999999998E-2</v>
      </c>
      <c r="H1" s="1299" t="s">
        <v>633</v>
      </c>
      <c r="I1" s="1295">
        <f ca="1">F4/100</f>
        <v>1.4999999999999999E-2</v>
      </c>
      <c r="J1" s="1300">
        <f>IF(C1&gt;C13,0,MATCH(C1,C$13:C$111,-1))+IF(SUMIF(C13:C111,C1,D13:D111)=0,13,12)</f>
        <v>15</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604</v>
      </c>
      <c r="E2" s="1237"/>
      <c r="F2" s="1237" t="s">
        <v>605</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606</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607</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608</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609</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610</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611</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612</v>
      </c>
      <c r="C10" s="1265"/>
      <c r="D10" s="1265"/>
      <c r="E10" s="1265"/>
      <c r="F10" s="1265"/>
      <c r="G10" s="1265"/>
      <c r="H10" s="1265"/>
      <c r="I10" s="1239"/>
      <c r="J10" s="1239"/>
      <c r="K10" s="1265"/>
      <c r="L10" s="1266" t="s">
        <v>613</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614</v>
      </c>
      <c r="C11" s="1270" t="s">
        <v>615</v>
      </c>
      <c r="D11" s="1271" t="s">
        <v>616</v>
      </c>
      <c r="E11" s="1272"/>
      <c r="F11" s="1271" t="s">
        <v>617</v>
      </c>
      <c r="G11" s="1273"/>
      <c r="H11" s="1272"/>
      <c r="I11" s="1271" t="s">
        <v>618</v>
      </c>
      <c r="J11" s="1272"/>
      <c r="K11" s="1268"/>
      <c r="L11" s="1269" t="s">
        <v>614</v>
      </c>
      <c r="M11" s="1270" t="s">
        <v>615</v>
      </c>
      <c r="N11" s="1269" t="s">
        <v>619</v>
      </c>
      <c r="O11" s="1271" t="s">
        <v>620</v>
      </c>
      <c r="P11" s="1273"/>
      <c r="Q11" s="1273"/>
      <c r="R11" s="1273"/>
      <c r="S11" s="1273"/>
      <c r="T11" s="1272"/>
      <c r="U11" s="1271" t="s">
        <v>621</v>
      </c>
      <c r="V11" s="1273"/>
      <c r="W11" s="1272"/>
      <c r="X11" s="1269" t="s">
        <v>622</v>
      </c>
      <c r="Y11" s="1269" t="s">
        <v>623</v>
      </c>
      <c r="Z11" s="1269" t="s">
        <v>624</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625</v>
      </c>
      <c r="E12" s="1278" t="s">
        <v>626</v>
      </c>
      <c r="F12" s="1278" t="s">
        <v>627</v>
      </c>
      <c r="G12" s="1278" t="s">
        <v>628</v>
      </c>
      <c r="H12" s="1278" t="s">
        <v>610</v>
      </c>
      <c r="I12" s="1279" t="s">
        <v>629</v>
      </c>
      <c r="J12" s="1279" t="s">
        <v>629</v>
      </c>
      <c r="K12" s="1275"/>
      <c r="L12" s="1276"/>
      <c r="M12" s="1277"/>
      <c r="N12" s="1276"/>
      <c r="O12" s="1279" t="s">
        <v>630</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631</v>
      </c>
      <c r="C13" s="2818">
        <v>45159</v>
      </c>
      <c r="D13" s="2819">
        <v>3.45</v>
      </c>
      <c r="E13" s="2819">
        <f>D13</f>
        <v>3.45</v>
      </c>
      <c r="F13" s="2819">
        <f>D13</f>
        <v>3.45</v>
      </c>
      <c r="G13" s="2819">
        <f>D13</f>
        <v>3.45</v>
      </c>
      <c r="H13" s="2819">
        <v>4.2</v>
      </c>
      <c r="I13" s="1283"/>
      <c r="J13" s="1283"/>
      <c r="K13" s="1281"/>
      <c r="L13" s="1282" t="s">
        <v>631</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632</v>
      </c>
      <c r="Y42" s="1287" t="s">
        <v>632</v>
      </c>
      <c r="Z42" s="1287" t="s">
        <v>632</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632</v>
      </c>
      <c r="Y43" s="1287" t="s">
        <v>632</v>
      </c>
      <c r="Z43" s="1287" t="s">
        <v>632</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632</v>
      </c>
      <c r="Y44" s="1287" t="s">
        <v>632</v>
      </c>
      <c r="Z44" s="1287" t="s">
        <v>632</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632</v>
      </c>
      <c r="Y45" s="1287" t="s">
        <v>632</v>
      </c>
      <c r="Z45" s="1287" t="s">
        <v>632</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632</v>
      </c>
      <c r="Y46" s="1287" t="s">
        <v>632</v>
      </c>
      <c r="Z46" s="1287" t="s">
        <v>632</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632</v>
      </c>
      <c r="Y47" s="1287" t="s">
        <v>632</v>
      </c>
      <c r="Z47" s="1287" t="s">
        <v>632</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632</v>
      </c>
      <c r="Y48" s="1287" t="s">
        <v>632</v>
      </c>
      <c r="Z48" s="1287" t="s">
        <v>632</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632</v>
      </c>
      <c r="Y49" s="1287" t="s">
        <v>632</v>
      </c>
      <c r="Z49" s="1287" t="s">
        <v>632</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632</v>
      </c>
      <c r="Y50" s="1287" t="s">
        <v>632</v>
      </c>
      <c r="Z50" s="1287" t="s">
        <v>632</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632</v>
      </c>
      <c r="V51" s="1287" t="s">
        <v>632</v>
      </c>
      <c r="W51" s="1287" t="s">
        <v>632</v>
      </c>
      <c r="X51" s="1287" t="s">
        <v>632</v>
      </c>
      <c r="Y51" s="1287" t="s">
        <v>632</v>
      </c>
      <c r="Z51" s="1287" t="s">
        <v>632</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632</v>
      </c>
      <c r="J66" s="1287" t="s">
        <v>632</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6" sqref="F3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3501" t="s">
        <v>1924</v>
      </c>
      <c r="B1" s="3502"/>
      <c r="C1" s="3503" t="s">
        <v>1925</v>
      </c>
      <c r="D1" s="342">
        <f>SUM(D33:D34,D37:D42)</f>
        <v>25333.340000000004</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3510" t="s">
        <v>1927</v>
      </c>
      <c r="S1" s="3510" t="s">
        <v>1928</v>
      </c>
      <c r="T1" s="3510" t="s">
        <v>1929</v>
      </c>
      <c r="U1" s="3510" t="s">
        <v>1930</v>
      </c>
      <c r="V1" s="3510" t="s">
        <v>1931</v>
      </c>
      <c r="W1" s="3514"/>
      <c r="X1" s="3514"/>
      <c r="Y1" s="3514"/>
      <c r="Z1" s="3514"/>
      <c r="AA1" s="3514"/>
      <c r="AB1" s="3514"/>
      <c r="AC1" s="3515"/>
      <c r="AD1" s="3516"/>
      <c r="AE1" s="3516"/>
      <c r="AF1" s="3516"/>
      <c r="AG1" s="3516"/>
      <c r="AH1" s="3516"/>
      <c r="AI1" s="3516"/>
      <c r="AJ1" s="3517"/>
    </row>
    <row r="2" spans="1:36" ht="15.75">
      <c r="A2" s="3503" t="s">
        <v>1932</v>
      </c>
      <c r="B2" s="3505">
        <f>C30</f>
        <v>48837</v>
      </c>
      <c r="C2" s="3522" t="s">
        <v>1933</v>
      </c>
      <c r="D2" s="1997" t="s">
        <v>1934</v>
      </c>
      <c r="E2" s="3419" t="s">
        <v>672</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Ⅲ—03</v>
      </c>
      <c r="J2" s="1999"/>
      <c r="K2" s="1116"/>
      <c r="L2" s="2000" t="s">
        <v>1937</v>
      </c>
      <c r="M2" s="861">
        <f>SUMPRODUCT((区片价!B10:B29=I2)*(区片价!C3:G3=E2)*(区片价!C10:G29))</f>
        <v>0</v>
      </c>
      <c r="N2" s="863">
        <f>SUMPRODUCT((因素修正幅度!B10:B29=I2)*(因素修正幅度!C3:G3=E2)*(因素修正幅度!C10:G29))</f>
        <v>0</v>
      </c>
      <c r="O2" s="1116"/>
      <c r="P2" s="1116"/>
      <c r="Q2" s="1116"/>
      <c r="R2" s="3510">
        <v>1</v>
      </c>
      <c r="S2" s="3538">
        <f>ROUND(SUMPRODUCT((B106:B110=R2)*(C105:N105=G2)*(C106:N110)),4)</f>
        <v>1.5019</v>
      </c>
      <c r="T2" s="3538">
        <f t="shared" ref="T2:T16" si="0">ROUND($C$5*$C$22*$C$23*$C$24*S2*$C$28,0)</f>
        <v>33418</v>
      </c>
      <c r="U2" s="3511">
        <f>'数据-取费表'!V21</f>
        <v>1706.53</v>
      </c>
      <c r="V2" s="3538">
        <f>ROUND(T2*U2/10000,0)</f>
        <v>5703</v>
      </c>
      <c r="W2" s="3514"/>
      <c r="X2" s="3514"/>
      <c r="Y2" s="3514"/>
      <c r="Z2" s="3514"/>
      <c r="AA2" s="3514"/>
      <c r="AB2" s="3514"/>
      <c r="AC2" s="3515"/>
      <c r="AD2" s="3516"/>
      <c r="AE2" s="3516"/>
      <c r="AF2" s="3516"/>
      <c r="AG2" s="3516"/>
      <c r="AH2" s="3516"/>
      <c r="AI2" s="3516"/>
      <c r="AJ2" s="3517"/>
    </row>
    <row r="3" spans="1:36" ht="15.75">
      <c r="A3" s="3504" t="s">
        <v>1938</v>
      </c>
      <c r="B3" s="3505">
        <f>ROUND(B2*10000/D1,0)</f>
        <v>19278</v>
      </c>
      <c r="C3" s="3522" t="s">
        <v>1939</v>
      </c>
      <c r="D3" s="1997" t="s">
        <v>1940</v>
      </c>
      <c r="E3" s="3417" t="s">
        <v>2440</v>
      </c>
      <c r="F3" s="2001" t="s">
        <v>3467</v>
      </c>
      <c r="G3" s="749">
        <f>IF(F3="宗地容积率",'数据-汇总表'!I4,IF(F3="估价对象容积率",'数据-汇总表'!I6,'数据-汇总表'!I7))</f>
        <v>6.39</v>
      </c>
      <c r="H3" s="170" t="s">
        <v>1941</v>
      </c>
      <c r="I3" s="772">
        <v>3</v>
      </c>
      <c r="J3" s="1999" t="s">
        <v>1942</v>
      </c>
      <c r="K3" s="1116"/>
      <c r="L3" s="2000" t="s">
        <v>1943</v>
      </c>
      <c r="M3" s="861">
        <f>SUMPRODUCT((区片价!B30:B54=I2)*(区片价!C3:G3=E2)*(区片价!C30:G54))</f>
        <v>27210</v>
      </c>
      <c r="N3" s="863">
        <f>SUMPRODUCT((因素修正幅度!B30:B54=I2)*(因素修正幅度!C3:G3=E2)*(因素修正幅度!C30:G54))</f>
        <v>8.2000000000000003E-2</v>
      </c>
      <c r="O3" s="1116"/>
      <c r="P3" s="1116"/>
      <c r="Q3" s="1116"/>
      <c r="R3" s="3510">
        <v>2</v>
      </c>
      <c r="S3" s="3538">
        <f>ROUND(SUMPRODUCT((B106:B110=R3)*(C105:N105=G2)*(C106:N110)),4)</f>
        <v>1.1838</v>
      </c>
      <c r="T3" s="3538">
        <f t="shared" si="0"/>
        <v>26340</v>
      </c>
      <c r="U3" s="3511">
        <f>'数据-取费表'!V20</f>
        <v>3225.25</v>
      </c>
      <c r="V3" s="3538">
        <f t="shared" ref="V3:V16" si="1">ROUND(T3*U3/10000,0)</f>
        <v>8495</v>
      </c>
      <c r="W3" s="3514"/>
      <c r="X3" s="3514"/>
      <c r="Y3" s="3514"/>
      <c r="Z3" s="3514"/>
      <c r="AA3" s="3514"/>
      <c r="AB3" s="3514"/>
      <c r="AC3" s="3515"/>
      <c r="AD3" s="3516"/>
      <c r="AE3" s="3516"/>
      <c r="AF3" s="3516"/>
      <c r="AG3" s="3516"/>
      <c r="AH3" s="3516"/>
      <c r="AI3" s="3516"/>
      <c r="AJ3" s="3517"/>
    </row>
    <row r="4" spans="1:36" ht="15.75">
      <c r="A4" s="3858"/>
      <c r="B4" s="3859"/>
      <c r="C4" s="3859"/>
      <c r="D4" s="3860"/>
      <c r="E4" s="3860"/>
      <c r="F4" s="3860"/>
      <c r="G4" s="3860"/>
      <c r="H4" s="3860"/>
      <c r="I4" s="3860"/>
      <c r="J4" s="3861"/>
      <c r="K4" s="1116"/>
      <c r="L4" s="2000" t="s">
        <v>1944</v>
      </c>
      <c r="M4" s="861">
        <f>SUMPRODUCT((区片价!B55:B86=I2)*(区片价!C3:G3=E2)*(区片价!C55:G86))</f>
        <v>0</v>
      </c>
      <c r="N4" s="863">
        <f>SUMPRODUCT((因素修正幅度!B55:B86=I2)*(因素修正幅度!C3:G3=E2)*(因素修正幅度!C55:G86))</f>
        <v>0</v>
      </c>
      <c r="O4" s="1116"/>
      <c r="P4" s="1116"/>
      <c r="Q4" s="1116"/>
      <c r="R4" s="3510">
        <v>3</v>
      </c>
      <c r="S4" s="3538">
        <f>ROUND(SUMPRODUCT((B106:B110=R4)*(C105:N105=G2)*(C106:N110)),4)</f>
        <v>1.0004999999999999</v>
      </c>
      <c r="T4" s="3538">
        <f t="shared" si="0"/>
        <v>22262</v>
      </c>
      <c r="U4" s="3511">
        <f>'数据-取费表'!V19</f>
        <v>3895.81</v>
      </c>
      <c r="V4" s="3538">
        <f t="shared" si="1"/>
        <v>8673</v>
      </c>
      <c r="W4" s="3514"/>
      <c r="X4" s="3514"/>
      <c r="Y4" s="3514"/>
      <c r="Z4" s="3514"/>
      <c r="AA4" s="3514"/>
      <c r="AB4" s="3514"/>
      <c r="AC4" s="3515"/>
      <c r="AD4" s="3516"/>
      <c r="AE4" s="3516"/>
      <c r="AF4" s="3516"/>
      <c r="AG4" s="3516"/>
      <c r="AH4" s="3516"/>
      <c r="AI4" s="3516"/>
      <c r="AJ4" s="3517"/>
    </row>
    <row r="5" spans="1:36" s="2011" customFormat="1" ht="15.75" thickBot="1">
      <c r="A5" s="2002" t="s">
        <v>361</v>
      </c>
      <c r="B5" s="2003" t="s">
        <v>1945</v>
      </c>
      <c r="C5" s="750">
        <f>ROUND(IF(E2="商业",C6*C7*C17+C20,(IF(E2="住宅",C6*C13*C17+C20,IF(E2="办公",C6*C12*C17+C20,C6+C20)))),0)</f>
        <v>27190</v>
      </c>
      <c r="D5" s="1336">
        <f>ROUND(C6*C17+C20,0)</f>
        <v>27190</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3510">
        <v>4</v>
      </c>
      <c r="S5" s="3538">
        <f>ROUND(SUMPRODUCT((B106:B110=R5)*(C105:N105=G2)*(C106:N110)),4)</f>
        <v>0.88239999999999996</v>
      </c>
      <c r="T5" s="3538">
        <f t="shared" si="0"/>
        <v>19634</v>
      </c>
      <c r="U5" s="3511"/>
      <c r="V5" s="3538">
        <f t="shared" si="1"/>
        <v>0</v>
      </c>
      <c r="W5" s="3514"/>
      <c r="X5" s="3514"/>
      <c r="Y5" s="3514"/>
      <c r="Z5" s="3514"/>
      <c r="AA5" s="3514"/>
      <c r="AB5" s="3514"/>
      <c r="AC5" s="3523"/>
      <c r="AD5" s="3524"/>
      <c r="AE5" s="3524"/>
      <c r="AF5" s="3524"/>
      <c r="AG5" s="3524"/>
      <c r="AH5" s="3524"/>
      <c r="AI5" s="3524"/>
      <c r="AJ5" s="3525"/>
    </row>
    <row r="6" spans="1:36" ht="15.75" thickBot="1">
      <c r="A6" s="2012" t="s">
        <v>1947</v>
      </c>
      <c r="B6" s="2013" t="s">
        <v>1948</v>
      </c>
      <c r="C6" s="751">
        <f>SUMIF(L1:L12,G2,M1:M12)</f>
        <v>27210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3510">
        <v>5</v>
      </c>
      <c r="S6" s="3538">
        <f>ROUND(SUMPRODUCT((B106:B110=R6)*(C105:N105=G2)*(C106:N110)),4)</f>
        <v>0.84799999999999998</v>
      </c>
      <c r="T6" s="3538">
        <f t="shared" si="0"/>
        <v>18869</v>
      </c>
      <c r="U6" s="3511"/>
      <c r="V6" s="3538">
        <f t="shared" si="1"/>
        <v>0</v>
      </c>
      <c r="W6" s="3514"/>
      <c r="X6" s="3514"/>
      <c r="Y6" s="3514"/>
      <c r="Z6" s="3514"/>
      <c r="AA6" s="3514"/>
      <c r="AB6" s="3514"/>
      <c r="AC6" s="3523"/>
      <c r="AD6" s="3524"/>
      <c r="AE6" s="3524"/>
      <c r="AF6" s="3524"/>
      <c r="AG6" s="3524"/>
      <c r="AH6" s="3524"/>
      <c r="AI6" s="3524"/>
      <c r="AJ6" s="3525"/>
    </row>
    <row r="7" spans="1:36" ht="24.75" thickBot="1">
      <c r="A7" s="3301" t="s">
        <v>3238</v>
      </c>
      <c r="B7" s="3484"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3510">
        <v>6</v>
      </c>
      <c r="S7" s="3549"/>
      <c r="T7" s="3538">
        <f t="shared" si="0"/>
        <v>0</v>
      </c>
      <c r="U7" s="3511"/>
      <c r="V7" s="3538">
        <f t="shared" si="1"/>
        <v>0</v>
      </c>
      <c r="W7" s="3519" t="s">
        <v>1953</v>
      </c>
      <c r="X7" s="3512" t="str">
        <f>G2</f>
        <v>三级</v>
      </c>
      <c r="Y7" s="3512" t="s">
        <v>1954</v>
      </c>
      <c r="Z7" s="3513">
        <f>G3</f>
        <v>6.39</v>
      </c>
      <c r="AA7" s="3514"/>
      <c r="AB7" s="3514"/>
      <c r="AC7" s="3515"/>
      <c r="AD7" s="3516"/>
      <c r="AE7" s="3516"/>
      <c r="AF7" s="3516"/>
      <c r="AG7" s="3516"/>
      <c r="AH7" s="3516"/>
      <c r="AI7" s="3516"/>
      <c r="AJ7" s="3517"/>
    </row>
    <row r="8" spans="1:36" ht="25.5">
      <c r="A8" s="3296"/>
      <c r="B8" s="170" t="s">
        <v>1955</v>
      </c>
      <c r="C8" s="2023" t="s">
        <v>3468</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3510">
        <v>7</v>
      </c>
      <c r="S8" s="3511"/>
      <c r="T8" s="3538">
        <f t="shared" si="0"/>
        <v>0</v>
      </c>
      <c r="U8" s="3511"/>
      <c r="V8" s="3538">
        <f t="shared" si="1"/>
        <v>0</v>
      </c>
      <c r="W8" s="3855" t="s">
        <v>1958</v>
      </c>
      <c r="X8" s="3856"/>
      <c r="Y8" s="3518" t="s">
        <v>1959</v>
      </c>
      <c r="Z8" s="3518" t="s">
        <v>1960</v>
      </c>
      <c r="AA8" s="3518" t="s">
        <v>1961</v>
      </c>
      <c r="AB8" s="3518" t="s">
        <v>1962</v>
      </c>
      <c r="AC8" s="3518" t="s">
        <v>1963</v>
      </c>
      <c r="AD8" s="3518" t="s">
        <v>1964</v>
      </c>
      <c r="AE8" s="3518" t="s">
        <v>1965</v>
      </c>
      <c r="AF8" s="3518" t="s">
        <v>1966</v>
      </c>
      <c r="AG8" s="3518" t="s">
        <v>1967</v>
      </c>
      <c r="AH8" s="3518" t="s">
        <v>1968</v>
      </c>
      <c r="AI8" s="3518" t="s">
        <v>1969</v>
      </c>
      <c r="AJ8" s="3518"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3510">
        <v>8</v>
      </c>
      <c r="S9" s="3511"/>
      <c r="T9" s="3538">
        <f t="shared" si="0"/>
        <v>0</v>
      </c>
      <c r="U9" s="3511"/>
      <c r="V9" s="3538">
        <f t="shared" si="1"/>
        <v>0</v>
      </c>
      <c r="W9" s="3857"/>
      <c r="X9" s="3539" t="s">
        <v>3269</v>
      </c>
      <c r="Y9" s="3540">
        <v>6</v>
      </c>
      <c r="Z9" s="3541">
        <f>$Y$9</f>
        <v>6</v>
      </c>
      <c r="AA9" s="3541">
        <f t="shared" ref="AA9:AJ9" si="2">$Y$9</f>
        <v>6</v>
      </c>
      <c r="AB9" s="3541">
        <f t="shared" si="2"/>
        <v>6</v>
      </c>
      <c r="AC9" s="3541">
        <f t="shared" si="2"/>
        <v>6</v>
      </c>
      <c r="AD9" s="3541">
        <f t="shared" si="2"/>
        <v>6</v>
      </c>
      <c r="AE9" s="3541">
        <f t="shared" si="2"/>
        <v>6</v>
      </c>
      <c r="AF9" s="3541">
        <f t="shared" si="2"/>
        <v>6</v>
      </c>
      <c r="AG9" s="3541">
        <f t="shared" si="2"/>
        <v>6</v>
      </c>
      <c r="AH9" s="3541">
        <f t="shared" si="2"/>
        <v>6</v>
      </c>
      <c r="AI9" s="3541">
        <f t="shared" si="2"/>
        <v>6</v>
      </c>
      <c r="AJ9" s="354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3510">
        <v>9</v>
      </c>
      <c r="S10" s="3511"/>
      <c r="T10" s="3538">
        <f t="shared" si="0"/>
        <v>0</v>
      </c>
      <c r="U10" s="3511"/>
      <c r="V10" s="3538">
        <f t="shared" si="1"/>
        <v>0</v>
      </c>
      <c r="W10" s="3857"/>
      <c r="X10" s="3539">
        <v>6</v>
      </c>
      <c r="Y10" s="3542">
        <f>ROUND((-0.5556*(Y9^2)-0.2719*Y9+8944)*(10^(-4)),4)</f>
        <v>0.89219999999999999</v>
      </c>
      <c r="Z10" s="3542">
        <f>ROUND((-0.5556*(Z9^2)-0.2719*Z9+8944)*(10^(-4)),4)</f>
        <v>0.89219999999999999</v>
      </c>
      <c r="AA10" s="3542">
        <f>ROUND((-0.7912*(AA9^2)-11.3794*AA9+8482)*(10^(-4)),4)</f>
        <v>0.83850000000000002</v>
      </c>
      <c r="AB10" s="3542">
        <f>ROUND((-0.7912*(AB9^2)-11.3794*AB9+8482)*(10^(-4)),4)</f>
        <v>0.83850000000000002</v>
      </c>
      <c r="AC10" s="3542">
        <f>ROUND((-0.7912*(AC9^2)-11.3794*AC9+8482)*(10^(-4)),4)</f>
        <v>0.83850000000000002</v>
      </c>
      <c r="AD10" s="3542">
        <f>ROUND((-0.7912*(AD9^2)-11.3794*AD9+8482)*(10^(-4)),4)</f>
        <v>0.83850000000000002</v>
      </c>
      <c r="AE10" s="3542">
        <f>ROUND((-0.7912*(AE9^2)-11.3794*AE9+8482)*(10^(-4)),4)</f>
        <v>0.83850000000000002</v>
      </c>
      <c r="AF10" s="3542">
        <f>ROUND((-0.989*(AF9^2)-63.78*AF9+7771)*(10^(-4)),4)</f>
        <v>0.73529999999999995</v>
      </c>
      <c r="AG10" s="3542">
        <f>ROUND((-0.989*(AG9^2)-63.78*AG9+7771)*(10^(-4)),4)</f>
        <v>0.73529999999999995</v>
      </c>
      <c r="AH10" s="3542">
        <f>ROUND((-0.989*(AH9^2)-63.78*AH9+7771)*(10^(-4)),4)</f>
        <v>0.73529999999999995</v>
      </c>
      <c r="AI10" s="3542">
        <f>ROUND((-0.989*(AI9^2)-63.78*AI9+7771)*(10^(-4)),4)</f>
        <v>0.73529999999999995</v>
      </c>
      <c r="AJ10" s="3542">
        <f>ROUND((-0.989*(AJ9^2)-63.78*AJ9+7771)*(10^(-4)),4)</f>
        <v>0.73529999999999995</v>
      </c>
    </row>
    <row r="11" spans="1:36" ht="15.75"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3510">
        <v>10</v>
      </c>
      <c r="S11" s="3511"/>
      <c r="T11" s="3538">
        <f t="shared" si="0"/>
        <v>0</v>
      </c>
      <c r="U11" s="3511"/>
      <c r="V11" s="3538">
        <f t="shared" si="1"/>
        <v>0</v>
      </c>
      <c r="W11" s="3514"/>
      <c r="X11" s="3514"/>
      <c r="Y11" s="3514"/>
      <c r="Z11" s="3514"/>
      <c r="AA11" s="3514"/>
      <c r="AB11" s="3514"/>
      <c r="AC11" s="3515"/>
      <c r="AD11" s="3535"/>
      <c r="AE11" s="3535"/>
      <c r="AF11" s="3535"/>
      <c r="AG11" s="3535"/>
      <c r="AH11" s="3535"/>
      <c r="AI11" s="3535"/>
      <c r="AJ11" s="3536"/>
    </row>
    <row r="12" spans="1:36" ht="25.5" thickBot="1">
      <c r="A12" s="3301" t="s">
        <v>3239</v>
      </c>
      <c r="B12" s="3302" t="s">
        <v>3240</v>
      </c>
      <c r="C12" s="3303"/>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3510">
        <v>11</v>
      </c>
      <c r="S12" s="3511"/>
      <c r="T12" s="3538">
        <f t="shared" si="0"/>
        <v>0</v>
      </c>
      <c r="U12" s="3511"/>
      <c r="V12" s="3538">
        <f t="shared" si="1"/>
        <v>0</v>
      </c>
      <c r="W12" s="3514"/>
      <c r="X12" s="3514"/>
      <c r="Y12" s="3514"/>
      <c r="Z12" s="3514"/>
      <c r="AA12" s="3514"/>
      <c r="AB12" s="3514"/>
      <c r="AC12" s="3515"/>
      <c r="AD12" s="3535"/>
      <c r="AE12" s="3535"/>
      <c r="AF12" s="3535"/>
      <c r="AG12" s="3535"/>
      <c r="AH12" s="3535"/>
      <c r="AI12" s="3535"/>
      <c r="AJ12" s="3536"/>
    </row>
    <row r="13" spans="1:36" ht="15.75"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3510">
        <v>12</v>
      </c>
      <c r="S13" s="3511"/>
      <c r="T13" s="3538">
        <f t="shared" si="0"/>
        <v>0</v>
      </c>
      <c r="U13" s="3511"/>
      <c r="V13" s="3538">
        <f t="shared" si="1"/>
        <v>0</v>
      </c>
      <c r="W13" s="3514"/>
      <c r="X13" s="3514"/>
      <c r="Y13" s="3514"/>
      <c r="Z13" s="3514"/>
      <c r="AA13" s="3514"/>
      <c r="AB13" s="3514"/>
      <c r="AC13" s="3515"/>
      <c r="AD13" s="3535"/>
      <c r="AE13" s="3535"/>
      <c r="AF13" s="3535"/>
      <c r="AG13" s="3535"/>
      <c r="AH13" s="3535"/>
      <c r="AI13" s="3535"/>
      <c r="AJ13" s="3536"/>
    </row>
    <row r="14" spans="1:36" ht="15">
      <c r="A14" s="3295"/>
      <c r="B14" s="3482"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3510">
        <v>13</v>
      </c>
      <c r="S14" s="3511"/>
      <c r="T14" s="3538">
        <f t="shared" si="0"/>
        <v>0</v>
      </c>
      <c r="U14" s="3511"/>
      <c r="V14" s="3538">
        <f t="shared" si="1"/>
        <v>0</v>
      </c>
      <c r="W14" s="3514"/>
      <c r="X14" s="3514"/>
      <c r="Y14" s="3514"/>
      <c r="Z14" s="3514"/>
      <c r="AA14" s="3514"/>
      <c r="AB14" s="3514"/>
      <c r="AC14" s="3515"/>
      <c r="AD14" s="3535"/>
      <c r="AE14" s="3535"/>
      <c r="AF14" s="3535"/>
      <c r="AG14" s="3535"/>
      <c r="AH14" s="3535"/>
      <c r="AI14" s="3535"/>
      <c r="AJ14" s="3536"/>
    </row>
    <row r="15" spans="1:36" ht="15">
      <c r="A15" s="3295"/>
      <c r="B15" s="3483"/>
      <c r="C15" s="2040"/>
      <c r="D15" s="2041"/>
      <c r="E15" s="2042"/>
      <c r="F15" s="3310" t="s">
        <v>3245</v>
      </c>
      <c r="G15" s="3311"/>
      <c r="H15" s="3312"/>
      <c r="I15" s="3313"/>
      <c r="J15" s="3314"/>
      <c r="K15" s="1116"/>
      <c r="L15" s="1116"/>
      <c r="M15" s="1116"/>
      <c r="N15" s="1116"/>
      <c r="O15" s="1116"/>
      <c r="P15" s="1116"/>
      <c r="Q15" s="1116"/>
      <c r="R15" s="3510">
        <v>14</v>
      </c>
      <c r="S15" s="3511"/>
      <c r="T15" s="3538">
        <f t="shared" si="0"/>
        <v>0</v>
      </c>
      <c r="U15" s="3511"/>
      <c r="V15" s="3538">
        <f t="shared" si="1"/>
        <v>0</v>
      </c>
      <c r="W15" s="3514"/>
      <c r="X15" s="3514"/>
      <c r="Y15" s="3514"/>
      <c r="Z15" s="3514"/>
      <c r="AA15" s="3514"/>
      <c r="AB15" s="3514"/>
      <c r="AC15" s="3515"/>
      <c r="AD15" s="3535"/>
      <c r="AE15" s="3535"/>
      <c r="AF15" s="3535"/>
      <c r="AG15" s="3535"/>
      <c r="AH15" s="3535"/>
      <c r="AI15" s="3535"/>
      <c r="AJ15" s="3536"/>
    </row>
    <row r="16" spans="1:36" ht="15.75"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3510">
        <v>15</v>
      </c>
      <c r="S16" s="3511"/>
      <c r="T16" s="3538">
        <f t="shared" si="0"/>
        <v>0</v>
      </c>
      <c r="U16" s="3511"/>
      <c r="V16" s="3538">
        <f t="shared" si="1"/>
        <v>0</v>
      </c>
      <c r="W16" s="3514"/>
      <c r="X16" s="3514"/>
      <c r="Y16" s="3514"/>
      <c r="Z16" s="3514"/>
      <c r="AA16" s="3514"/>
      <c r="AB16" s="3514"/>
      <c r="AC16" s="3515"/>
      <c r="AD16" s="3535"/>
      <c r="AE16" s="3535"/>
      <c r="AF16" s="3535"/>
      <c r="AG16" s="3535"/>
      <c r="AH16" s="3535"/>
      <c r="AI16" s="3535"/>
      <c r="AJ16" s="3536"/>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481"/>
      <c r="C18" s="3325"/>
      <c r="D18" s="3320" t="s">
        <v>3249</v>
      </c>
      <c r="E18" s="3326"/>
      <c r="F18" s="3321" t="s">
        <v>3252</v>
      </c>
      <c r="G18" s="3325">
        <f>ROUND(1-(1/(POWER(1+G24,E18))),4)</f>
        <v>0</v>
      </c>
      <c r="H18" s="3321" t="s">
        <v>3254</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862" t="s">
        <v>3255</v>
      </c>
      <c r="B20" s="167" t="s">
        <v>1992</v>
      </c>
      <c r="C20" s="3322">
        <f>ROUND(IF(F21="与级别开发程度一致",0,(G21-E21)/C21),0)</f>
        <v>-20</v>
      </c>
      <c r="D20" s="3338" t="s">
        <v>1996</v>
      </c>
      <c r="E20" s="3339"/>
      <c r="F20" s="3868" t="s">
        <v>1993</v>
      </c>
      <c r="G20" s="3869"/>
      <c r="H20" s="3323" t="s">
        <v>3470</v>
      </c>
      <c r="I20" s="3323" t="s">
        <v>3471</v>
      </c>
      <c r="J20" s="3324" t="s">
        <v>3472</v>
      </c>
      <c r="K20" s="2044" t="s">
        <v>3473</v>
      </c>
      <c r="L20" s="2044" t="s">
        <v>3474</v>
      </c>
      <c r="M20" s="2044" t="s">
        <v>3475</v>
      </c>
      <c r="N20" s="2044" t="s">
        <v>3476</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863"/>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3469</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1.0326</v>
      </c>
      <c r="D23" s="2051" t="s">
        <v>2000</v>
      </c>
      <c r="E23" s="758">
        <v>44197</v>
      </c>
      <c r="F23" s="2051" t="s">
        <v>2001</v>
      </c>
      <c r="G23" s="759">
        <f>'数据-取费表'!B2</f>
        <v>44930</v>
      </c>
      <c r="H23" s="3537" t="s">
        <v>3257</v>
      </c>
      <c r="I23" s="3341" t="str">
        <f>IF(H23="季度增幅（自定义）",SUMIF(N25:N28,E2,O25:O28),"")</f>
        <v/>
      </c>
      <c r="J23" s="3443" t="s">
        <v>3256</v>
      </c>
      <c r="K23" s="1122"/>
      <c r="L23" s="2052" t="s">
        <v>2002</v>
      </c>
      <c r="M23" s="1325">
        <f>ROUND(SUMIF(地价!B2:G2,E2,地价!B16:G16),0)</f>
        <v>350</v>
      </c>
      <c r="N23" s="2053" t="s">
        <v>2003</v>
      </c>
      <c r="O23" s="760">
        <f>ROUNDDOWN(DATEDIF(E23,G23,"M")/3,0)</f>
        <v>8</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364</v>
      </c>
      <c r="B24" s="2056" t="s">
        <v>2004</v>
      </c>
      <c r="C24" s="761">
        <f>ROUND(POWER(1+G24,J24-I24)*(POWER(1+G24,I24)-1)/(POWER(1+G24,J24)-1),4)</f>
        <v>0.76100000000000001</v>
      </c>
      <c r="D24" s="2057" t="s">
        <v>2005</v>
      </c>
      <c r="E24" s="1332">
        <f>存贷款利率!E24/100</f>
        <v>4.3499999999999997E-2</v>
      </c>
      <c r="F24" s="2057" t="s">
        <v>1997</v>
      </c>
      <c r="G24" s="765">
        <f>SUMIF(M30:Q30,E2,M33:Q33)</f>
        <v>5.5E-2</v>
      </c>
      <c r="H24" s="2057" t="s">
        <v>2006</v>
      </c>
      <c r="I24" s="766">
        <f>SUMIF('数据-取费表'!C6:C15,E2,'数据-取费表'!F6:F15)/COUNTIF('数据-取费表'!C6:C15,E2)</f>
        <v>20.8</v>
      </c>
      <c r="J24" s="767">
        <f>IF(E2="住宅",70,IF(E2="商业",40,50))</f>
        <v>40</v>
      </c>
      <c r="K24" s="1122"/>
      <c r="L24" s="2058" t="s">
        <v>2007</v>
      </c>
      <c r="M24" s="1326">
        <f>ROUND(SUMPRODUCT((地价!A4:A16=YEAR(G23)&amp;"-"&amp;ROUNDUP(MONTH(G23)/3,0))*(地价!B2:G2=E2)*(地价!B4:G16)),0)</f>
        <v>0</v>
      </c>
      <c r="N24" s="3526" t="s">
        <v>2008</v>
      </c>
      <c r="O24" s="3527" t="s">
        <v>2009</v>
      </c>
      <c r="P24" s="3528"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365</v>
      </c>
      <c r="B25" s="2063" t="s">
        <v>3484</v>
      </c>
      <c r="C25" s="3490">
        <f>IF(B25="容积率修正",IF(G3&lt;10,D26,J26),C27)</f>
        <v>1.0004999999999999</v>
      </c>
      <c r="D25" s="2064"/>
      <c r="E25" s="2064"/>
      <c r="F25" s="2064"/>
      <c r="G25" s="2064"/>
      <c r="H25" s="2064"/>
      <c r="I25" s="2064"/>
      <c r="J25" s="2065"/>
      <c r="K25" s="1122"/>
      <c r="L25" s="2785"/>
      <c r="M25" s="2785"/>
      <c r="N25" s="3529" t="s">
        <v>2011</v>
      </c>
      <c r="O25" s="3506"/>
      <c r="P25" s="3507">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3258</v>
      </c>
      <c r="D26" s="3489">
        <f>IF(E26=G26,F26,IF(G3&lt;10,ROUND(F26+(H26-F26)*(G3-E26)/(G26-E26),4),"——"))</f>
        <v>0.87580000000000002</v>
      </c>
      <c r="E26" s="749">
        <f>ROUNDDOWN(G3,1)</f>
        <v>6.3</v>
      </c>
      <c r="F26" s="34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749">
        <f>ROUNDUP(G3,1)</f>
        <v>6.3999999999999995</v>
      </c>
      <c r="H26" s="34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3342" t="s">
        <v>3259</v>
      </c>
      <c r="J26" s="769" t="str">
        <f>IF(G3&gt;=10,D115,"——")</f>
        <v>——</v>
      </c>
      <c r="K26" s="1122"/>
      <c r="L26" s="2785"/>
      <c r="M26" s="2785"/>
      <c r="N26" s="3529" t="s">
        <v>2014</v>
      </c>
      <c r="O26" s="3506"/>
      <c r="P26" s="3507">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1.0004999999999999</v>
      </c>
      <c r="D27" s="2043"/>
      <c r="E27" s="2043"/>
      <c r="F27" s="2069"/>
      <c r="G27" s="2070"/>
      <c r="H27" s="2071"/>
      <c r="I27" s="2072"/>
      <c r="J27" s="2073"/>
      <c r="K27" s="1116"/>
      <c r="L27" s="1994"/>
      <c r="M27" s="1994"/>
      <c r="N27" s="3529" t="s">
        <v>2017</v>
      </c>
      <c r="O27" s="3506"/>
      <c r="P27" s="3507">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366</v>
      </c>
      <c r="B28" s="2048" t="s">
        <v>2018</v>
      </c>
      <c r="C28" s="757">
        <f>SUMIF(A47:A101,E2,B47:B101)</f>
        <v>1.0414000000000001</v>
      </c>
      <c r="D28" s="2049"/>
      <c r="E28" s="2074"/>
      <c r="F28" s="2074"/>
      <c r="G28" s="2074"/>
      <c r="H28" s="2074"/>
      <c r="I28" s="2074"/>
      <c r="J28" s="2075"/>
      <c r="K28" s="1122"/>
      <c r="L28" s="2785"/>
      <c r="M28" s="2785"/>
      <c r="N28" s="3530" t="s">
        <v>2019</v>
      </c>
      <c r="O28" s="3508"/>
      <c r="P28" s="3509">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367</v>
      </c>
      <c r="B29" s="2077" t="s">
        <v>2020</v>
      </c>
      <c r="C29" s="762"/>
      <c r="D29" s="2021"/>
      <c r="E29" s="2021"/>
      <c r="F29" s="2078"/>
      <c r="G29" s="2021"/>
      <c r="H29" s="2021"/>
      <c r="I29" s="2021"/>
      <c r="J29" s="2022"/>
      <c r="K29" s="1116"/>
      <c r="L29" s="1994"/>
      <c r="M29" s="1994"/>
      <c r="N29" s="3532" t="s">
        <v>2021</v>
      </c>
      <c r="O29" s="3533"/>
      <c r="P29" s="353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48837</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6493</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22262</v>
      </c>
      <c r="D33" s="2095"/>
      <c r="E33" s="770">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t="e">
        <f>ROUND(IF(E2="工业",C33*M42,IF(B25="楼层修正",SUM(V2:V16)*M41*10000/D34,C33*M41)),0)</f>
        <v>#DIV/0!</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6"/>
      <c r="B37" s="2110" t="s">
        <v>2034</v>
      </c>
      <c r="C37" s="175">
        <f>ROUND(D5*C22*C23*C24*C28*F37,0)</f>
        <v>13350</v>
      </c>
      <c r="D37" s="2095">
        <f>'数据-取费表'!V22</f>
        <v>13573.12</v>
      </c>
      <c r="E37" s="171">
        <f>ROUND(C37*D37/10000,0)</f>
        <v>18120</v>
      </c>
      <c r="F37" s="171">
        <f>SUMIF(修正!A57:A68,G2,修正!B57:B68)</f>
        <v>0.6</v>
      </c>
      <c r="G37" s="171">
        <f>ROUND(IF(E2="工业",C37*$M$42,C37*$M$41),0)</f>
        <v>3338</v>
      </c>
      <c r="H37" s="171">
        <f>D37</f>
        <v>13573.12</v>
      </c>
      <c r="I37" s="171">
        <f>ROUND(G37*H37/10000,0)</f>
        <v>4531</v>
      </c>
      <c r="J37" s="3009"/>
      <c r="K37" s="3356" t="s">
        <v>3267</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7"/>
      <c r="B38" s="2038" t="s">
        <v>2035</v>
      </c>
      <c r="C38" s="175">
        <f>ROUND(D5*C22*C23*C24*C28*F38,0)</f>
        <v>6675</v>
      </c>
      <c r="D38" s="2095">
        <f>'数据-取费表'!V23</f>
        <v>11722.93</v>
      </c>
      <c r="E38" s="171">
        <f t="shared" ref="E38:E42" si="4">ROUND(C38*D38/10000,0)</f>
        <v>7825</v>
      </c>
      <c r="F38" s="171">
        <f>SUMIF(修正!A57:A68,G2,修正!C57:C68)</f>
        <v>0.3</v>
      </c>
      <c r="G38" s="171">
        <f>ROUND(IF(E2="工业",C38*$M$42,C38*$M$41),0)</f>
        <v>1669</v>
      </c>
      <c r="H38" s="171">
        <f t="shared" ref="H38:H42" si="5">D38</f>
        <v>11722.93</v>
      </c>
      <c r="I38" s="171">
        <f t="shared" ref="I38:I42" si="6">ROUND(G38*H38/10000,0)</f>
        <v>1957</v>
      </c>
      <c r="J38" s="3496"/>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867"/>
      <c r="B39" s="2038" t="s">
        <v>3260</v>
      </c>
      <c r="C39" s="175">
        <f>ROUND(D5*C22*C23*C24*C28*F39,0)</f>
        <v>5563</v>
      </c>
      <c r="D39" s="2095">
        <f>'数据-取费表'!V24</f>
        <v>37.29</v>
      </c>
      <c r="E39" s="171">
        <f t="shared" si="4"/>
        <v>21</v>
      </c>
      <c r="F39" s="171">
        <f>SUMIF(修正!A57:A68,G2,修正!D57:D68)</f>
        <v>0.25</v>
      </c>
      <c r="G39" s="171">
        <f>ROUND(IF(E2="工业",C39*$M$42,C39*$M$41),0)</f>
        <v>1391</v>
      </c>
      <c r="H39" s="171">
        <f t="shared" si="5"/>
        <v>37.29</v>
      </c>
      <c r="I39" s="171">
        <f t="shared" si="6"/>
        <v>5</v>
      </c>
      <c r="J39" s="349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5563</v>
      </c>
      <c r="D40" s="2095"/>
      <c r="E40" s="171">
        <f t="shared" si="4"/>
        <v>0</v>
      </c>
      <c r="F40" s="175">
        <f>SUMIF(修正!A57:A68,G2,修正!E57:E68)</f>
        <v>0.25</v>
      </c>
      <c r="G40" s="171">
        <f>ROUND(IF(E2="工业",C40*$M$42,C40*$M$41),0)</f>
        <v>1391</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6341</v>
      </c>
      <c r="D41" s="2095"/>
      <c r="E41" s="171">
        <f t="shared" si="4"/>
        <v>0</v>
      </c>
      <c r="F41" s="175">
        <f>SUMIF(修正!A57:A68,G2,修正!F57:F68)</f>
        <v>0.25</v>
      </c>
      <c r="G41" s="171">
        <f>ROUND(IF(E2="工业",C41*$M$42,C41*$M$41),0)</f>
        <v>1585</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3805</v>
      </c>
      <c r="D42" s="2100"/>
      <c r="E42" s="187">
        <f t="shared" si="4"/>
        <v>0</v>
      </c>
      <c r="F42" s="764">
        <f>SUMIF(修正!A57:A68,G2,修正!G57:G68)</f>
        <v>0.15</v>
      </c>
      <c r="G42" s="187">
        <f>ROUND(IF(E2="工业",C42*$M$42,C42*$M$41),0)</f>
        <v>951</v>
      </c>
      <c r="H42" s="187">
        <f t="shared" si="5"/>
        <v>0</v>
      </c>
      <c r="I42" s="187">
        <f t="shared" si="6"/>
        <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2">
        <f>ROUND(POWER(1+E44,H44-G44)*(POWER(1+E44,G44)-1)/(POWER(1+E44,H44)-1),4)</f>
        <v>0.86750000000000005</v>
      </c>
      <c r="D44" s="171" t="s">
        <v>1997</v>
      </c>
      <c r="E44" s="2150">
        <f>G24</f>
        <v>5.5E-2</v>
      </c>
      <c r="F44" s="171" t="s">
        <v>2006</v>
      </c>
      <c r="G44" s="183">
        <f>项目基本情况!F15</f>
        <v>30.81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1.0414000000000001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t="s">
        <v>3477</v>
      </c>
      <c r="D50" s="1062">
        <f t="shared" ref="D50:D58" si="7">SUMIF($J$49:$N$49,C50,J50:N50)</f>
        <v>1.23E-2</v>
      </c>
      <c r="E50" s="741">
        <f>ROUND(SUM(D50:D58),4)</f>
        <v>4.1399999999999999E-2</v>
      </c>
      <c r="F50" s="1811">
        <f>IF(E2="商业",SUMIF(L1:L12,G2,N1:N12),"——")</f>
        <v>8.2000000000000003E-2</v>
      </c>
      <c r="G50" s="1060">
        <v>1.23E-2</v>
      </c>
      <c r="H50" s="1063">
        <f t="shared" ref="H50:H58" si="8">IFERROR(ROUNDDOWN($F$50*I50/2,4),"——")</f>
        <v>1.23E-2</v>
      </c>
      <c r="I50" s="3364">
        <v>0.3</v>
      </c>
      <c r="J50" s="1061">
        <f t="shared" ref="J50:J58" si="9">K50+$G50</f>
        <v>2.46E-2</v>
      </c>
      <c r="K50" s="1061">
        <f t="shared" ref="K50:K58" si="10">$L50+$G50</f>
        <v>1.23E-2</v>
      </c>
      <c r="L50" s="1061">
        <v>0</v>
      </c>
      <c r="M50" s="1061">
        <f t="shared" ref="M50:N58" si="11">L50-$G50</f>
        <v>-1.23E-2</v>
      </c>
      <c r="N50" s="1061">
        <f t="shared" si="11"/>
        <v>-2.46E-2</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t="s">
        <v>3477</v>
      </c>
      <c r="D51" s="1062">
        <f t="shared" si="7"/>
        <v>8.9999999999999993E-3</v>
      </c>
      <c r="E51" s="742"/>
      <c r="F51" s="1811"/>
      <c r="G51" s="1060">
        <v>8.9999999999999993E-3</v>
      </c>
      <c r="H51" s="1063">
        <f t="shared" si="8"/>
        <v>8.9999999999999993E-3</v>
      </c>
      <c r="I51" s="3364">
        <v>0.22</v>
      </c>
      <c r="J51" s="1061">
        <f t="shared" si="9"/>
        <v>1.7999999999999999E-2</v>
      </c>
      <c r="K51" s="1061">
        <f t="shared" si="10"/>
        <v>8.9999999999999993E-3</v>
      </c>
      <c r="L51" s="1061">
        <v>0</v>
      </c>
      <c r="M51" s="1061">
        <f t="shared" si="11"/>
        <v>-8.9999999999999993E-3</v>
      </c>
      <c r="N51" s="1061">
        <f t="shared" si="11"/>
        <v>-1.7999999999999999E-2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3477</v>
      </c>
      <c r="D52" s="1062">
        <f t="shared" si="7"/>
        <v>4.8999999999999998E-3</v>
      </c>
      <c r="E52" s="742"/>
      <c r="F52" s="1811"/>
      <c r="G52" s="1060">
        <v>4.8999999999999998E-3</v>
      </c>
      <c r="H52" s="1063">
        <f t="shared" si="8"/>
        <v>4.8999999999999998E-3</v>
      </c>
      <c r="I52" s="3364">
        <v>0.12</v>
      </c>
      <c r="J52" s="1061">
        <f t="shared" si="9"/>
        <v>9.7999999999999997E-3</v>
      </c>
      <c r="K52" s="1061">
        <f t="shared" si="10"/>
        <v>4.8999999999999998E-3</v>
      </c>
      <c r="L52" s="1061">
        <v>0</v>
      </c>
      <c r="M52" s="1061">
        <f t="shared" si="11"/>
        <v>-4.8999999999999998E-3</v>
      </c>
      <c r="N52" s="1061">
        <f t="shared" si="11"/>
        <v>-9.7999999999999997E-3</v>
      </c>
      <c r="AA52" s="1117"/>
      <c r="AB52" s="1117"/>
      <c r="AC52" s="1117"/>
      <c r="AD52" s="1117"/>
      <c r="AE52" s="1117"/>
      <c r="AF52" s="1117"/>
      <c r="AG52" s="1117"/>
      <c r="AH52" s="1117"/>
      <c r="AI52" s="1117"/>
      <c r="AJ52" s="1117"/>
      <c r="AK52" s="1117"/>
    </row>
    <row r="53" spans="1:37" s="1116" customFormat="1" ht="36.75">
      <c r="A53" s="2127" t="s">
        <v>2052</v>
      </c>
      <c r="B53" s="2132" t="s">
        <v>2053</v>
      </c>
      <c r="C53" s="2041" t="s">
        <v>3477</v>
      </c>
      <c r="D53" s="1062">
        <f t="shared" si="7"/>
        <v>2E-3</v>
      </c>
      <c r="E53" s="742"/>
      <c r="F53" s="1811"/>
      <c r="G53" s="1060">
        <v>2E-3</v>
      </c>
      <c r="H53" s="1063">
        <f t="shared" si="8"/>
        <v>2E-3</v>
      </c>
      <c r="I53" s="3364">
        <v>0.05</v>
      </c>
      <c r="J53" s="1061">
        <f t="shared" si="9"/>
        <v>4.0000000000000001E-3</v>
      </c>
      <c r="K53" s="1061">
        <f t="shared" si="10"/>
        <v>2E-3</v>
      </c>
      <c r="L53" s="1061">
        <v>0</v>
      </c>
      <c r="M53" s="1061">
        <f t="shared" si="11"/>
        <v>-2E-3</v>
      </c>
      <c r="N53" s="1061">
        <f t="shared" si="11"/>
        <v>-4.0000000000000001E-3</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t="s">
        <v>3478</v>
      </c>
      <c r="D54" s="1062">
        <f t="shared" si="7"/>
        <v>-3.2000000000000002E-3</v>
      </c>
      <c r="E54" s="742"/>
      <c r="F54" s="1811"/>
      <c r="G54" s="1060">
        <v>3.2000000000000002E-3</v>
      </c>
      <c r="H54" s="1063">
        <f t="shared" si="8"/>
        <v>3.2000000000000002E-3</v>
      </c>
      <c r="I54" s="3364">
        <v>0.08</v>
      </c>
      <c r="J54" s="1061">
        <f t="shared" si="9"/>
        <v>6.4000000000000003E-3</v>
      </c>
      <c r="K54" s="1061">
        <f t="shared" si="10"/>
        <v>3.2000000000000002E-3</v>
      </c>
      <c r="L54" s="1061">
        <v>0</v>
      </c>
      <c r="M54" s="1061">
        <f t="shared" si="11"/>
        <v>-3.2000000000000002E-3</v>
      </c>
      <c r="N54" s="1061">
        <f t="shared" si="11"/>
        <v>-6.4000000000000003E-3</v>
      </c>
      <c r="AA54" s="1117"/>
      <c r="AB54" s="1117"/>
      <c r="AC54" s="1117"/>
      <c r="AD54" s="1117"/>
      <c r="AE54" s="1117"/>
      <c r="AF54" s="1117"/>
      <c r="AG54" s="1117"/>
      <c r="AH54" s="1117"/>
      <c r="AI54" s="1117"/>
      <c r="AJ54" s="1117"/>
      <c r="AK54" s="1117"/>
    </row>
    <row r="55" spans="1:37" s="1116" customFormat="1" ht="24">
      <c r="A55" s="2127" t="s">
        <v>2055</v>
      </c>
      <c r="B55" s="2133" t="s">
        <v>2056</v>
      </c>
      <c r="C55" s="2041" t="s">
        <v>3477</v>
      </c>
      <c r="D55" s="1062">
        <f t="shared" si="7"/>
        <v>2E-3</v>
      </c>
      <c r="E55" s="742"/>
      <c r="F55" s="1811"/>
      <c r="G55" s="1060">
        <v>2E-3</v>
      </c>
      <c r="H55" s="1063">
        <f t="shared" si="8"/>
        <v>2E-3</v>
      </c>
      <c r="I55" s="3364">
        <v>0.05</v>
      </c>
      <c r="J55" s="1061">
        <f t="shared" si="9"/>
        <v>4.0000000000000001E-3</v>
      </c>
      <c r="K55" s="1061">
        <f t="shared" si="10"/>
        <v>2E-3</v>
      </c>
      <c r="L55" s="1061">
        <v>0</v>
      </c>
      <c r="M55" s="1061">
        <f t="shared" si="11"/>
        <v>-2E-3</v>
      </c>
      <c r="N55" s="1061">
        <f t="shared" si="11"/>
        <v>-4.0000000000000001E-3</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t="s">
        <v>3479</v>
      </c>
      <c r="D56" s="1062">
        <f t="shared" si="7"/>
        <v>4.0000000000000001E-3</v>
      </c>
      <c r="E56" s="742"/>
      <c r="F56" s="1811"/>
      <c r="G56" s="1060">
        <v>2E-3</v>
      </c>
      <c r="H56" s="1063">
        <f t="shared" si="8"/>
        <v>2E-3</v>
      </c>
      <c r="I56" s="3364">
        <v>0.05</v>
      </c>
      <c r="J56" s="1061">
        <f t="shared" si="9"/>
        <v>4.0000000000000001E-3</v>
      </c>
      <c r="K56" s="1061">
        <f t="shared" si="10"/>
        <v>2E-3</v>
      </c>
      <c r="L56" s="1061">
        <v>0</v>
      </c>
      <c r="M56" s="1061">
        <f t="shared" si="11"/>
        <v>-2E-3</v>
      </c>
      <c r="N56" s="1061">
        <f t="shared" si="11"/>
        <v>-4.0000000000000001E-3</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t="s">
        <v>3479</v>
      </c>
      <c r="D57" s="1062">
        <f t="shared" si="7"/>
        <v>6.4000000000000003E-3</v>
      </c>
      <c r="E57" s="742"/>
      <c r="F57" s="1811"/>
      <c r="G57" s="1060">
        <v>3.2000000000000002E-3</v>
      </c>
      <c r="H57" s="1063">
        <f t="shared" si="8"/>
        <v>3.2000000000000002E-3</v>
      </c>
      <c r="I57" s="3364">
        <v>0.08</v>
      </c>
      <c r="J57" s="1061">
        <f t="shared" si="9"/>
        <v>6.4000000000000003E-3</v>
      </c>
      <c r="K57" s="1061">
        <f t="shared" si="10"/>
        <v>3.2000000000000002E-3</v>
      </c>
      <c r="L57" s="1061">
        <v>0</v>
      </c>
      <c r="M57" s="1061">
        <f t="shared" si="11"/>
        <v>-3.2000000000000002E-3</v>
      </c>
      <c r="N57" s="1061">
        <f t="shared" si="11"/>
        <v>-6.4000000000000003E-3</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t="s">
        <v>3479</v>
      </c>
      <c r="D58" s="1062">
        <f t="shared" si="7"/>
        <v>4.0000000000000001E-3</v>
      </c>
      <c r="E58" s="743"/>
      <c r="F58" s="1811"/>
      <c r="G58" s="1060">
        <v>2E-3</v>
      </c>
      <c r="H58" s="1063">
        <f t="shared" si="8"/>
        <v>2E-3</v>
      </c>
      <c r="I58" s="3365">
        <v>0.05</v>
      </c>
      <c r="J58" s="1061">
        <f t="shared" si="9"/>
        <v>4.0000000000000001E-3</v>
      </c>
      <c r="K58" s="1061">
        <f t="shared" si="10"/>
        <v>2E-3</v>
      </c>
      <c r="L58" s="1061">
        <v>0</v>
      </c>
      <c r="M58" s="1061">
        <f t="shared" si="11"/>
        <v>-2E-3</v>
      </c>
      <c r="N58" s="1061">
        <f t="shared" si="11"/>
        <v>-4.0000000000000001E-3</v>
      </c>
      <c r="AA58" s="1117"/>
      <c r="AB58" s="1117"/>
      <c r="AC58" s="1117"/>
      <c r="AD58" s="1117"/>
      <c r="AE58" s="1117"/>
      <c r="AF58" s="1117"/>
      <c r="AG58" s="1117"/>
      <c r="AH58" s="1117"/>
      <c r="AI58" s="1117"/>
      <c r="AJ58" s="1117"/>
      <c r="AK58" s="1117"/>
    </row>
    <row r="59" spans="1:37" s="1116" customFormat="1" ht="15">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3477</v>
      </c>
      <c r="D61" s="1062">
        <f t="shared" ref="D61:D69" si="12">SUMIF($J$60:$N$60,C61,J61:N61)</f>
        <v>1.12E-2</v>
      </c>
      <c r="E61" s="741">
        <f>ROUND(SUM(D61:D69),4)</f>
        <v>5.0099999999999999E-2</v>
      </c>
      <c r="F61" s="1811" t="str">
        <f>IF(E2="办公",SUMIF(L1:L12,G2,N1:N12),"——")</f>
        <v>——</v>
      </c>
      <c r="G61" s="1060">
        <v>1.12E-2</v>
      </c>
      <c r="H61" s="1063" t="str">
        <f t="shared" ref="H61:H69" si="13">IFERROR(ROUNDDOWN($F$61*I61/2,4),"——")</f>
        <v>——</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3477</v>
      </c>
      <c r="D62" s="1062">
        <f t="shared" si="12"/>
        <v>1.17E-2</v>
      </c>
      <c r="E62" s="742"/>
      <c r="F62" s="1811"/>
      <c r="G62" s="1060">
        <v>1.17E-2</v>
      </c>
      <c r="H62" s="1063" t="str">
        <f t="shared" si="13"/>
        <v>——</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t="s">
        <v>3477</v>
      </c>
      <c r="D63" s="1062">
        <f t="shared" si="12"/>
        <v>4.8999999999999998E-3</v>
      </c>
      <c r="E63" s="742"/>
      <c r="F63" s="1811"/>
      <c r="G63" s="1060">
        <v>4.8999999999999998E-3</v>
      </c>
      <c r="H63" s="1063" t="str">
        <f t="shared" si="13"/>
        <v>——</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6.75">
      <c r="A64" s="2127" t="s">
        <v>2052</v>
      </c>
      <c r="B64" s="2132" t="s">
        <v>2053</v>
      </c>
      <c r="C64" s="2041" t="s">
        <v>3477</v>
      </c>
      <c r="D64" s="1062">
        <f t="shared" si="12"/>
        <v>2.2000000000000001E-3</v>
      </c>
      <c r="E64" s="742"/>
      <c r="F64" s="1811"/>
      <c r="G64" s="1060">
        <v>2.2000000000000001E-3</v>
      </c>
      <c r="H64" s="1063" t="str">
        <f t="shared" si="13"/>
        <v>——</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3478</v>
      </c>
      <c r="D65" s="1062">
        <f t="shared" si="12"/>
        <v>-2.2000000000000001E-3</v>
      </c>
      <c r="E65" s="742"/>
      <c r="F65" s="1811"/>
      <c r="G65" s="1060">
        <v>2.2000000000000001E-3</v>
      </c>
      <c r="H65" s="1063" t="str">
        <f t="shared" si="13"/>
        <v>——</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24">
      <c r="A66" s="2127" t="s">
        <v>2055</v>
      </c>
      <c r="B66" s="2133" t="s">
        <v>2056</v>
      </c>
      <c r="C66" s="2041" t="s">
        <v>3477</v>
      </c>
      <c r="D66" s="1062">
        <f t="shared" si="12"/>
        <v>2.7000000000000001E-3</v>
      </c>
      <c r="E66" s="742"/>
      <c r="F66" s="1811"/>
      <c r="G66" s="1060">
        <v>2.7000000000000001E-3</v>
      </c>
      <c r="H66" s="1063" t="str">
        <f t="shared" si="13"/>
        <v>——</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3479</v>
      </c>
      <c r="D67" s="1062">
        <f t="shared" si="12"/>
        <v>5.4000000000000003E-3</v>
      </c>
      <c r="E67" s="742"/>
      <c r="F67" s="1811"/>
      <c r="G67" s="1060">
        <v>2.7000000000000001E-3</v>
      </c>
      <c r="H67" s="1063" t="str">
        <f t="shared" si="13"/>
        <v>——</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3479</v>
      </c>
      <c r="D68" s="1062">
        <f t="shared" si="12"/>
        <v>8.0000000000000002E-3</v>
      </c>
      <c r="E68" s="742"/>
      <c r="F68" s="1811"/>
      <c r="G68" s="1060">
        <v>4.0000000000000001E-3</v>
      </c>
      <c r="H68" s="1063" t="str">
        <f t="shared" si="13"/>
        <v>——</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3479</v>
      </c>
      <c r="D69" s="1062">
        <f t="shared" si="12"/>
        <v>6.1999999999999998E-3</v>
      </c>
      <c r="E69" s="743"/>
      <c r="F69" s="1811"/>
      <c r="G69" s="1060">
        <v>3.0999999999999999E-3</v>
      </c>
      <c r="H69" s="1063" t="str">
        <f t="shared" si="13"/>
        <v>——</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3270</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2613</v>
      </c>
      <c r="B91" s="3375">
        <f>1+E93</f>
        <v>1</v>
      </c>
      <c r="C91" s="3368"/>
      <c r="D91" s="3369"/>
      <c r="E91" s="1811"/>
      <c r="F91" s="1811"/>
      <c r="G91" s="3370"/>
      <c r="H91" s="3371"/>
      <c r="I91" s="3372"/>
      <c r="J91" s="3373"/>
      <c r="K91" s="3373"/>
      <c r="L91" s="3373"/>
      <c r="M91" s="3373"/>
      <c r="N91" s="3373"/>
    </row>
    <row r="92" spans="1:37" ht="24.75">
      <c r="A92" s="3376" t="s">
        <v>2042</v>
      </c>
      <c r="B92" s="3363"/>
      <c r="C92" s="3363" t="s">
        <v>2044</v>
      </c>
      <c r="D92" s="3363" t="s">
        <v>2045</v>
      </c>
      <c r="E92" s="3345" t="s">
        <v>2046</v>
      </c>
      <c r="F92" s="3378" t="s">
        <v>3284</v>
      </c>
      <c r="G92" s="3363" t="s">
        <v>1987</v>
      </c>
      <c r="H92" s="3385" t="s">
        <v>3288</v>
      </c>
      <c r="I92" s="3363" t="s">
        <v>2049</v>
      </c>
      <c r="J92" s="3386" t="s">
        <v>1719</v>
      </c>
      <c r="K92" s="3386" t="s">
        <v>1720</v>
      </c>
      <c r="L92" s="3386" t="s">
        <v>1721</v>
      </c>
      <c r="M92" s="3386" t="s">
        <v>1722</v>
      </c>
      <c r="N92" s="3386" t="s">
        <v>1723</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2051</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2052</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2054</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2055</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2057</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2058</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2059</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4" t="s">
        <v>3295</v>
      </c>
      <c r="B103" s="3864"/>
      <c r="C103" s="3864"/>
      <c r="D103" s="3864"/>
      <c r="E103" s="3864"/>
      <c r="F103" s="3864"/>
      <c r="G103" s="3864"/>
      <c r="H103" s="3864"/>
      <c r="I103" s="3864"/>
      <c r="J103" s="3864"/>
      <c r="K103" s="3494"/>
      <c r="L103" s="3494"/>
      <c r="M103" s="3494"/>
      <c r="N103" s="3494"/>
    </row>
    <row r="104" spans="1:14">
      <c r="A104" s="3865" t="s">
        <v>3296</v>
      </c>
      <c r="B104" s="3865" t="s">
        <v>3297</v>
      </c>
      <c r="C104" s="3388" t="s">
        <v>3298</v>
      </c>
      <c r="D104" s="3389"/>
      <c r="E104" s="3389"/>
      <c r="F104" s="3389"/>
      <c r="G104" s="3389"/>
      <c r="H104" s="3389"/>
      <c r="I104" s="3389"/>
      <c r="J104" s="3390"/>
      <c r="K104" s="3391"/>
      <c r="L104" s="3391"/>
      <c r="M104" s="3391"/>
      <c r="N104" s="3391"/>
    </row>
    <row r="105" spans="1:14">
      <c r="A105" s="3865"/>
      <c r="B105" s="3865"/>
      <c r="C105" s="3495" t="s">
        <v>1959</v>
      </c>
      <c r="D105" s="3495" t="s">
        <v>1960</v>
      </c>
      <c r="E105" s="3495" t="s">
        <v>1961</v>
      </c>
      <c r="F105" s="3495" t="s">
        <v>1962</v>
      </c>
      <c r="G105" s="3495" t="s">
        <v>1963</v>
      </c>
      <c r="H105" s="3495" t="s">
        <v>1964</v>
      </c>
      <c r="I105" s="3495" t="s">
        <v>1965</v>
      </c>
      <c r="J105" s="3495" t="s">
        <v>1966</v>
      </c>
      <c r="K105" s="3495" t="s">
        <v>1967</v>
      </c>
      <c r="L105" s="3495" t="s">
        <v>1968</v>
      </c>
      <c r="M105" s="3495" t="s">
        <v>1969</v>
      </c>
      <c r="N105" s="3495" t="s">
        <v>1970</v>
      </c>
    </row>
    <row r="106" spans="1:14">
      <c r="A106" s="3851" t="s">
        <v>3311</v>
      </c>
      <c r="B106" s="3495">
        <v>1</v>
      </c>
      <c r="C106" s="3495">
        <v>1.5206</v>
      </c>
      <c r="D106" s="3495">
        <v>1.5206</v>
      </c>
      <c r="E106" s="3495">
        <v>1.5019</v>
      </c>
      <c r="F106" s="3495">
        <v>1.5019</v>
      </c>
      <c r="G106" s="3495">
        <v>1.5019</v>
      </c>
      <c r="H106" s="3495">
        <v>1.5019</v>
      </c>
      <c r="I106" s="3495">
        <v>1.5019</v>
      </c>
      <c r="J106" s="3495">
        <v>1.5418000000000001</v>
      </c>
      <c r="K106" s="3495">
        <v>1.5418000000000001</v>
      </c>
      <c r="L106" s="3495">
        <v>1.5418000000000001</v>
      </c>
      <c r="M106" s="3495">
        <v>1.5418000000000001</v>
      </c>
      <c r="N106" s="3495">
        <v>1.5418000000000001</v>
      </c>
    </row>
    <row r="107" spans="1:14">
      <c r="A107" s="3852"/>
      <c r="B107" s="3495">
        <v>2</v>
      </c>
      <c r="C107" s="3495">
        <v>1.2072000000000001</v>
      </c>
      <c r="D107" s="3495">
        <v>1.2072000000000001</v>
      </c>
      <c r="E107" s="3495">
        <v>1.1838</v>
      </c>
      <c r="F107" s="3495">
        <v>1.1838</v>
      </c>
      <c r="G107" s="3495">
        <v>1.1838</v>
      </c>
      <c r="H107" s="3495">
        <v>1.1838</v>
      </c>
      <c r="I107" s="3495">
        <v>1.1838</v>
      </c>
      <c r="J107" s="3495">
        <v>1.1883999999999999</v>
      </c>
      <c r="K107" s="3495">
        <v>1.1883999999999999</v>
      </c>
      <c r="L107" s="3495">
        <v>1.1883999999999999</v>
      </c>
      <c r="M107" s="3495">
        <v>1.1883999999999999</v>
      </c>
      <c r="N107" s="3495">
        <v>1.1883999999999999</v>
      </c>
    </row>
    <row r="108" spans="1:14">
      <c r="A108" s="3852"/>
      <c r="B108" s="3495">
        <v>3</v>
      </c>
      <c r="C108" s="3495">
        <v>1.0430999999999999</v>
      </c>
      <c r="D108" s="3495">
        <v>1.0430999999999999</v>
      </c>
      <c r="E108" s="3495">
        <v>1.0004999999999999</v>
      </c>
      <c r="F108" s="3495">
        <v>1.0004999999999999</v>
      </c>
      <c r="G108" s="3495">
        <v>1.0004999999999999</v>
      </c>
      <c r="H108" s="3495">
        <v>1.0004999999999999</v>
      </c>
      <c r="I108" s="3495">
        <v>1.0004999999999999</v>
      </c>
      <c r="J108" s="3495">
        <v>0.96940000000000004</v>
      </c>
      <c r="K108" s="3495">
        <v>0.96940000000000004</v>
      </c>
      <c r="L108" s="3495">
        <v>0.96940000000000004</v>
      </c>
      <c r="M108" s="3495">
        <v>0.96940000000000004</v>
      </c>
      <c r="N108" s="3495">
        <v>0.96940000000000004</v>
      </c>
    </row>
    <row r="109" spans="1:14">
      <c r="A109" s="3852"/>
      <c r="B109" s="3495">
        <v>4</v>
      </c>
      <c r="C109" s="3495">
        <v>0.94389999999999996</v>
      </c>
      <c r="D109" s="3495">
        <v>0.94389999999999996</v>
      </c>
      <c r="E109" s="3495">
        <v>0.88239999999999996</v>
      </c>
      <c r="F109" s="3495">
        <v>0.88239999999999996</v>
      </c>
      <c r="G109" s="3495">
        <v>0.88239999999999996</v>
      </c>
      <c r="H109" s="3495">
        <v>0.88239999999999996</v>
      </c>
      <c r="I109" s="3495">
        <v>0.88239999999999996</v>
      </c>
      <c r="J109" s="3495">
        <v>0.82299999999999995</v>
      </c>
      <c r="K109" s="3495">
        <v>0.82299999999999995</v>
      </c>
      <c r="L109" s="3495">
        <v>0.82299999999999995</v>
      </c>
      <c r="M109" s="3495">
        <v>0.82299999999999995</v>
      </c>
      <c r="N109" s="3495">
        <v>0.82299999999999995</v>
      </c>
    </row>
    <row r="110" spans="1:14">
      <c r="A110" s="3852"/>
      <c r="B110" s="3495">
        <v>5</v>
      </c>
      <c r="C110" s="3495">
        <v>0.89959999999999996</v>
      </c>
      <c r="D110" s="3495">
        <v>0.89959999999999996</v>
      </c>
      <c r="E110" s="3495">
        <v>0.84799999999999998</v>
      </c>
      <c r="F110" s="3495">
        <v>0.84799999999999998</v>
      </c>
      <c r="G110" s="3495">
        <v>0.84799999999999998</v>
      </c>
      <c r="H110" s="3495">
        <v>0.84799999999999998</v>
      </c>
      <c r="I110" s="3495">
        <v>0.84799999999999998</v>
      </c>
      <c r="J110" s="3495">
        <v>0.74980000000000002</v>
      </c>
      <c r="K110" s="3495">
        <v>0.74980000000000002</v>
      </c>
      <c r="L110" s="3495">
        <v>0.74980000000000002</v>
      </c>
      <c r="M110" s="3495">
        <v>0.74980000000000002</v>
      </c>
      <c r="N110" s="3495">
        <v>0.74980000000000002</v>
      </c>
    </row>
    <row r="111" spans="1:14">
      <c r="A111" s="3852"/>
      <c r="B111" s="3495" t="s">
        <v>3269</v>
      </c>
      <c r="C111" s="3393">
        <f>$I$3</f>
        <v>3</v>
      </c>
      <c r="D111" s="3393">
        <f t="shared" ref="D111:M111" si="32">$I$3</f>
        <v>3</v>
      </c>
      <c r="E111" s="3393">
        <f t="shared" si="32"/>
        <v>3</v>
      </c>
      <c r="F111" s="3393">
        <f t="shared" si="32"/>
        <v>3</v>
      </c>
      <c r="G111" s="3393">
        <f t="shared" si="32"/>
        <v>3</v>
      </c>
      <c r="H111" s="3393">
        <f t="shared" si="32"/>
        <v>3</v>
      </c>
      <c r="I111" s="3393">
        <f t="shared" si="32"/>
        <v>3</v>
      </c>
      <c r="J111" s="3393">
        <f t="shared" si="32"/>
        <v>3</v>
      </c>
      <c r="K111" s="3393">
        <f t="shared" si="32"/>
        <v>3</v>
      </c>
      <c r="L111" s="3393">
        <f t="shared" si="32"/>
        <v>3</v>
      </c>
      <c r="M111" s="3393">
        <f t="shared" si="32"/>
        <v>3</v>
      </c>
      <c r="N111" s="3393">
        <f>$I$3</f>
        <v>3</v>
      </c>
    </row>
    <row r="112" spans="1:14">
      <c r="A112" s="3853"/>
      <c r="B112" s="3495">
        <v>6</v>
      </c>
      <c r="C112" s="3385">
        <f>(-0.5556*(C111^2)-0.2719*C111+8944)*(10^(-4))</f>
        <v>0.89381839000000007</v>
      </c>
      <c r="D112" s="3385">
        <f>(-0.5556*(D111^2)-0.2719*D111+8944)*(10^(-4))</f>
        <v>0.89381839000000007</v>
      </c>
      <c r="E112" s="3385">
        <f>(-0.7912*(E111^2)-11.3794*E111+8482)*(10^(-4))</f>
        <v>0.84407410000000005</v>
      </c>
      <c r="F112" s="3385">
        <f t="shared" ref="F112:I112" si="33">(-0.7912*(F111^2)-11.3794*F111+8482)*(10^(-4))</f>
        <v>0.84407410000000005</v>
      </c>
      <c r="G112" s="3385">
        <f t="shared" si="33"/>
        <v>0.84407410000000005</v>
      </c>
      <c r="H112" s="3385">
        <f t="shared" si="33"/>
        <v>0.84407410000000005</v>
      </c>
      <c r="I112" s="3385">
        <f t="shared" si="33"/>
        <v>0.84407410000000005</v>
      </c>
      <c r="J112" s="3385">
        <f>(-0.989*(J111^2)-63.78*J111+7771)*(10^(-4))</f>
        <v>0.75707590000000002</v>
      </c>
      <c r="K112" s="3385">
        <f t="shared" ref="K112:N112" si="34">(-0.989*(K111^2)-63.78*K111+7771)*(10^(-4))</f>
        <v>0.75707590000000002</v>
      </c>
      <c r="L112" s="3385">
        <f t="shared" si="34"/>
        <v>0.75707590000000002</v>
      </c>
      <c r="M112" s="3385">
        <f t="shared" si="34"/>
        <v>0.75707590000000002</v>
      </c>
      <c r="N112" s="3385">
        <f t="shared" si="34"/>
        <v>0.75707590000000002</v>
      </c>
    </row>
    <row r="113" spans="1:14">
      <c r="A113" s="3854" t="s">
        <v>3312</v>
      </c>
      <c r="B113" s="3854"/>
      <c r="C113" s="3854"/>
      <c r="D113" s="3854"/>
      <c r="E113" s="3854"/>
      <c r="F113" s="3854"/>
      <c r="G113" s="3854"/>
      <c r="H113" s="3854"/>
      <c r="I113" s="3854"/>
      <c r="J113" s="3854"/>
      <c r="K113" s="3493"/>
      <c r="L113" s="3493"/>
      <c r="M113" s="3493"/>
      <c r="N113" s="3493"/>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6.39</v>
      </c>
      <c r="C116" s="3397" t="s">
        <v>3314</v>
      </c>
      <c r="D116" s="3398">
        <f>SUMPRODUCT((A118:A122=F116)*(B117:M117=H116)*B118:M122)</f>
        <v>0.85950000000000004</v>
      </c>
      <c r="E116" s="1997" t="s">
        <v>1934</v>
      </c>
      <c r="F116" s="3543" t="str">
        <f>E2</f>
        <v>商业</v>
      </c>
      <c r="G116" s="1997" t="s">
        <v>1935</v>
      </c>
      <c r="H116" s="3543" t="str">
        <f>G2</f>
        <v>三级</v>
      </c>
      <c r="I116" s="1997"/>
      <c r="J116" s="3400"/>
      <c r="K116" s="3400"/>
      <c r="L116" s="3400"/>
      <c r="M116" s="3400"/>
      <c r="N116" s="3395"/>
    </row>
    <row r="117" spans="1:14">
      <c r="A117" s="3401"/>
      <c r="B117" s="3544" t="s">
        <v>3317</v>
      </c>
      <c r="C117" s="3544" t="s">
        <v>3318</v>
      </c>
      <c r="D117" s="3544" t="s">
        <v>3319</v>
      </c>
      <c r="E117" s="3545" t="s">
        <v>3320</v>
      </c>
      <c r="F117" s="3545" t="s">
        <v>3321</v>
      </c>
      <c r="G117" s="3545" t="s">
        <v>3322</v>
      </c>
      <c r="H117" s="3546" t="s">
        <v>3323</v>
      </c>
      <c r="I117" s="3546" t="s">
        <v>3324</v>
      </c>
      <c r="J117" s="3547" t="s">
        <v>3325</v>
      </c>
      <c r="K117" s="3547" t="s">
        <v>3326</v>
      </c>
      <c r="L117" s="3547" t="s">
        <v>3327</v>
      </c>
      <c r="M117" s="3548" t="s">
        <v>3328</v>
      </c>
      <c r="N117" s="3395"/>
    </row>
    <row r="118" spans="1:14">
      <c r="A118" s="3407" t="s">
        <v>1988</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1989</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1990</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5" thickBot="1">
      <c r="A121" s="3409" t="s">
        <v>1991</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4" sqref="I34"/>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81" t="s">
        <v>948</v>
      </c>
      <c r="B1" s="3581"/>
      <c r="C1" s="3581"/>
      <c r="D1" s="3581"/>
    </row>
    <row r="2" spans="1:4" ht="18">
      <c r="A2" s="3582" t="s">
        <v>932</v>
      </c>
      <c r="B2" s="3582"/>
      <c r="C2" s="3582"/>
      <c r="D2" s="3582"/>
    </row>
    <row r="3" spans="1:4" ht="18.75">
      <c r="A3" s="1506" t="s">
        <v>933</v>
      </c>
      <c r="B3" s="1506" t="s">
        <v>934</v>
      </c>
      <c r="C3" s="1506" t="s">
        <v>935</v>
      </c>
      <c r="D3" s="1506" t="s">
        <v>936</v>
      </c>
    </row>
    <row r="4" spans="1:4" ht="56.25" customHeight="1">
      <c r="A4" s="1507" t="str">
        <f>项目基本情况!B4</f>
        <v>崔锴</v>
      </c>
      <c r="B4" s="1508">
        <f ca="1">项目基本情况!C4</f>
        <v>1120100036</v>
      </c>
      <c r="C4" s="1509"/>
      <c r="D4" s="1510" t="s">
        <v>937</v>
      </c>
    </row>
    <row r="5" spans="1:4" ht="56.25" customHeight="1">
      <c r="A5" s="1507" t="str">
        <f>项目基本情况!D4</f>
        <v>郑燚</v>
      </c>
      <c r="B5" s="1508">
        <f ca="1">项目基本情况!E4</f>
        <v>1120070131</v>
      </c>
      <c r="C5" s="1511"/>
      <c r="D5" s="1510" t="s">
        <v>937</v>
      </c>
    </row>
    <row r="6" spans="1:4" ht="18">
      <c r="A6" s="3582" t="s">
        <v>938</v>
      </c>
      <c r="B6" s="3582"/>
      <c r="C6" s="3582"/>
      <c r="D6" s="3582"/>
    </row>
    <row r="7" spans="1:4" ht="18.75">
      <c r="A7" s="1506" t="s">
        <v>933</v>
      </c>
      <c r="B7" s="1508" t="s">
        <v>939</v>
      </c>
      <c r="C7" s="1506" t="s">
        <v>935</v>
      </c>
      <c r="D7" s="1506" t="s">
        <v>936</v>
      </c>
    </row>
    <row r="8" spans="1:4" ht="56.25" customHeight="1">
      <c r="A8" s="1512" t="s">
        <v>389</v>
      </c>
      <c r="B8" s="1512" t="s">
        <v>0</v>
      </c>
      <c r="C8" s="1509"/>
      <c r="D8" s="1510" t="s">
        <v>937</v>
      </c>
    </row>
    <row r="9" spans="1:4">
      <c r="A9" s="675"/>
      <c r="B9" s="675"/>
      <c r="C9" s="675"/>
      <c r="D9" s="675"/>
    </row>
    <row r="10" spans="1:4" ht="18.75">
      <c r="A10" s="1513" t="s">
        <v>940</v>
      </c>
      <c r="B10" s="675"/>
      <c r="C10" s="675"/>
      <c r="D10" s="675"/>
    </row>
    <row r="11" spans="1:4" ht="30" customHeight="1">
      <c r="A11" s="3583" t="s">
        <v>941</v>
      </c>
      <c r="B11" s="3584"/>
      <c r="C11" s="3584"/>
      <c r="D11" s="3584"/>
    </row>
    <row r="12" spans="1:4" ht="15.75">
      <c r="A12" s="35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5"/>
      <c r="C12" s="3585"/>
      <c r="D12" s="3585"/>
    </row>
    <row r="13" spans="1:4" ht="30" customHeight="1">
      <c r="A13" s="35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5"/>
      <c r="C13" s="3585"/>
      <c r="D13" s="3585"/>
    </row>
    <row r="14" spans="1:4" ht="15.75" customHeight="1">
      <c r="A14" s="3584" t="str">
        <f>IF(项目基本情况!B8="抵押","4.本次评估估价师所知悉的法定优先受偿款情况说明如下：","——")</f>
        <v>4.本次评估估价师所知悉的法定优先受偿款情况说明如下：</v>
      </c>
      <c r="B14" s="3585"/>
      <c r="C14" s="3585"/>
      <c r="D14" s="3585"/>
    </row>
    <row r="15" spans="1:4" ht="42" customHeight="1">
      <c r="A15" s="35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4"/>
      <c r="C15" s="3584"/>
      <c r="D15" s="3584"/>
    </row>
    <row r="16" spans="1:4" ht="30" customHeight="1">
      <c r="A16" s="3587" t="s">
        <v>942</v>
      </c>
      <c r="B16" s="3587"/>
      <c r="C16" s="3587"/>
      <c r="D16" s="3587"/>
    </row>
    <row r="17" spans="1:4" ht="144" customHeight="1">
      <c r="A17" s="3587" t="s">
        <v>943</v>
      </c>
      <c r="B17" s="3587"/>
      <c r="C17" s="3587"/>
      <c r="D17" s="3587"/>
    </row>
    <row r="18" spans="1:4" ht="15.75" customHeight="1">
      <c r="A18" s="3584" t="str">
        <f>IF(项目基本情况!B8="抵押",结果表!K120,"——")</f>
        <v>故，本次评估不存在估价师知悉的法定优先受偿款</v>
      </c>
      <c r="B18" s="3584"/>
      <c r="C18" s="3584"/>
      <c r="D18" s="3584"/>
    </row>
    <row r="19" spans="1:4" ht="46.5" customHeight="1">
      <c r="A19" s="35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4"/>
      <c r="C19" s="3584"/>
      <c r="D19" s="3584"/>
    </row>
    <row r="20" spans="1:4" ht="57.75" customHeight="1">
      <c r="A20" s="35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4"/>
      <c r="C20" s="3584"/>
      <c r="D20" s="3584"/>
    </row>
    <row r="21" spans="1:4" ht="57.75" customHeight="1">
      <c r="A21" s="35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8"/>
      <c r="C21" s="3588"/>
      <c r="D21" s="3588"/>
    </row>
    <row r="22" spans="1:4" ht="18.75" customHeight="1">
      <c r="A22" s="3589" t="s">
        <v>944</v>
      </c>
      <c r="B22" s="3589"/>
      <c r="C22" s="3589"/>
      <c r="D22" s="3589"/>
    </row>
    <row r="23" spans="1:4">
      <c r="A23" s="1514"/>
      <c r="B23" s="1486"/>
      <c r="C23" s="1486"/>
      <c r="D23" s="1486"/>
    </row>
    <row r="24" spans="1:4">
      <c r="A24" s="1514"/>
      <c r="B24" s="1486"/>
      <c r="C24" s="1486"/>
      <c r="D24" s="1486"/>
    </row>
    <row r="25" spans="1:4" ht="18.75">
      <c r="A25" s="1515" t="s">
        <v>945</v>
      </c>
    </row>
    <row r="26" spans="1:4" ht="18">
      <c r="A26" s="1484"/>
    </row>
    <row r="27" spans="1:4" ht="18.75">
      <c r="A27" s="1484" t="s">
        <v>946</v>
      </c>
    </row>
    <row r="30" spans="1:4" ht="18.75">
      <c r="D30" s="1515" t="s">
        <v>947</v>
      </c>
    </row>
    <row r="31" spans="1:4" ht="13.5" customHeight="1">
      <c r="C31" s="3586">
        <v>42551</v>
      </c>
      <c r="D31" s="35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390</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949</v>
      </c>
    </row>
    <row r="3" spans="1:7">
      <c r="A3" s="1520" t="s">
        <v>55</v>
      </c>
      <c r="B3" s="1504" t="s">
        <v>950</v>
      </c>
      <c r="G3" s="1521"/>
    </row>
    <row r="4" spans="1:7">
      <c r="G4" s="1521"/>
    </row>
    <row r="5" spans="1:7">
      <c r="A5" s="1523" t="s">
        <v>46</v>
      </c>
      <c r="B5" s="1504" t="s">
        <v>951</v>
      </c>
      <c r="G5" s="1521"/>
    </row>
    <row r="6" spans="1:7">
      <c r="G6" s="1521"/>
    </row>
    <row r="7" spans="1:7">
      <c r="A7" s="1524" t="s">
        <v>108</v>
      </c>
      <c r="B7" s="1504" t="s">
        <v>952</v>
      </c>
      <c r="G7" s="1521"/>
    </row>
    <row r="8" spans="1:7">
      <c r="G8" s="1521"/>
    </row>
    <row r="9" spans="1:7">
      <c r="A9" s="1525" t="s">
        <v>47</v>
      </c>
      <c r="B9" s="1504" t="s">
        <v>953</v>
      </c>
    </row>
    <row r="11" spans="1:7">
      <c r="A11" s="1526" t="s">
        <v>48</v>
      </c>
      <c r="B11" s="1527" t="s">
        <v>45</v>
      </c>
    </row>
    <row r="13" spans="1:7">
      <c r="A13" s="1528" t="s">
        <v>954</v>
      </c>
    </row>
    <row r="15" spans="1:7" ht="13.5">
      <c r="A15" s="3595" t="s">
        <v>955</v>
      </c>
      <c r="B15" s="3590" t="s">
        <v>109</v>
      </c>
      <c r="C15" s="3591"/>
    </row>
    <row r="16" spans="1:7" ht="13.5">
      <c r="A16" s="3596"/>
      <c r="B16" s="3590" t="s">
        <v>42</v>
      </c>
      <c r="C16" s="3591"/>
    </row>
    <row r="17" spans="1:3" ht="13.5">
      <c r="A17" s="3596"/>
      <c r="B17" s="3593" t="s">
        <v>956</v>
      </c>
      <c r="C17" s="1529" t="s">
        <v>955</v>
      </c>
    </row>
    <row r="18" spans="1:3" ht="13.5">
      <c r="A18" s="3596"/>
      <c r="B18" s="3593"/>
      <c r="C18" s="1529" t="s">
        <v>957</v>
      </c>
    </row>
    <row r="19" spans="1:3" ht="13.5">
      <c r="A19" s="3596"/>
      <c r="B19" s="3593"/>
      <c r="C19" s="1529" t="s">
        <v>958</v>
      </c>
    </row>
    <row r="20" spans="1:3" ht="13.5">
      <c r="A20" s="3597"/>
      <c r="B20" s="3592" t="s">
        <v>959</v>
      </c>
      <c r="C20" s="3591"/>
    </row>
    <row r="21" spans="1:3" ht="13.5">
      <c r="A21" s="1530" t="s">
        <v>960</v>
      </c>
      <c r="B21" s="1531"/>
      <c r="C21" s="1532"/>
    </row>
    <row r="22" spans="1:3" ht="13.5">
      <c r="A22" s="3594" t="s">
        <v>961</v>
      </c>
      <c r="B22" s="3592" t="s">
        <v>962</v>
      </c>
      <c r="C22" s="3591"/>
    </row>
    <row r="23" spans="1:3" ht="13.5">
      <c r="A23" s="3594"/>
      <c r="B23" s="3592" t="s">
        <v>963</v>
      </c>
      <c r="C23" s="3591"/>
    </row>
    <row r="24" spans="1:3" ht="13.5">
      <c r="A24" s="3594"/>
      <c r="B24" s="3592" t="s">
        <v>964</v>
      </c>
      <c r="C24" s="3591"/>
    </row>
    <row r="25" spans="1:3" ht="13.5">
      <c r="A25" s="3594"/>
      <c r="B25" s="3593" t="s">
        <v>965</v>
      </c>
      <c r="C25" s="1529" t="s">
        <v>966</v>
      </c>
    </row>
    <row r="26" spans="1:3" ht="13.5">
      <c r="A26" s="3594"/>
      <c r="B26" s="3593"/>
      <c r="C26" s="1529" t="s">
        <v>967</v>
      </c>
    </row>
    <row r="27" spans="1:3" ht="13.5">
      <c r="A27" s="3594"/>
      <c r="B27" s="3593"/>
      <c r="C27" s="1529" t="s">
        <v>968</v>
      </c>
    </row>
    <row r="28" spans="1:3" ht="13.5">
      <c r="A28" s="3594"/>
      <c r="B28" s="3593"/>
      <c r="C28" s="1529" t="s">
        <v>969</v>
      </c>
    </row>
    <row r="29" spans="1:3" ht="13.5">
      <c r="A29" s="3594"/>
      <c r="B29" s="3593"/>
      <c r="C29" s="1529" t="s">
        <v>970</v>
      </c>
    </row>
    <row r="30" spans="1:3" ht="13.5">
      <c r="A30" s="3594"/>
      <c r="B30" s="3593"/>
      <c r="C30" s="1529" t="s">
        <v>971</v>
      </c>
    </row>
    <row r="31" spans="1:3" ht="13.5">
      <c r="A31" s="3594"/>
      <c r="B31" s="3593"/>
      <c r="C31" s="1529" t="s">
        <v>972</v>
      </c>
    </row>
    <row r="32" spans="1:3" ht="13.5">
      <c r="A32" s="3594"/>
      <c r="B32" s="3593"/>
      <c r="C32" s="1529" t="s">
        <v>973</v>
      </c>
    </row>
    <row r="33" spans="1:3" ht="13.5">
      <c r="A33" s="3594"/>
      <c r="B33" s="3593"/>
      <c r="C33" s="1529" t="s">
        <v>974</v>
      </c>
    </row>
    <row r="34" spans="1:3">
      <c r="A34" s="1533" t="s">
        <v>49</v>
      </c>
    </row>
    <row r="37" spans="1:3">
      <c r="A37" s="1533" t="s">
        <v>975</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45296</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98" t="s">
        <v>2157</v>
      </c>
      <c r="B17" s="3598"/>
      <c r="C17" s="3598"/>
      <c r="D17" s="3598"/>
      <c r="E17" s="3598"/>
      <c r="F17" s="3598"/>
      <c r="G17" s="3598"/>
      <c r="H17" s="3598"/>
    </row>
    <row r="18" spans="1:8" ht="24" customHeight="1">
      <c r="A18" s="3599" t="s">
        <v>2158</v>
      </c>
      <c r="B18" s="3599"/>
      <c r="C18" s="3599"/>
      <c r="D18" s="2340"/>
      <c r="E18" s="3600" t="s">
        <v>2159</v>
      </c>
      <c r="F18" s="3599"/>
      <c r="G18" s="359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面积总表</vt:lpstr>
      <vt:lpstr>抵押物清单</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收益法-库房</vt:lpstr>
      <vt:lpstr>收益法-车库</vt:lpstr>
      <vt:lpstr>收益法-商业</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修正</vt:lpstr>
      <vt:lpstr>容积率修正</vt:lpstr>
      <vt:lpstr>成本法（废）</vt:lpstr>
      <vt:lpstr>区片价</vt:lpstr>
      <vt:lpstr>因素修正幅度</vt:lpstr>
      <vt:lpstr>区片价（范围）</vt:lpstr>
      <vt:lpstr>地价-分区</vt:lpstr>
      <vt:lpstr>地价</vt:lpstr>
      <vt:lpstr>存贷款利率</vt:lpstr>
      <vt:lpstr>基准地价修正-商业</vt:lpstr>
      <vt:lpstr>项目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'收益法-库房'!Print_Area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2024-01-05T02:45:41Z</dcterms:modified>
</cp:coreProperties>
</file>