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22510F64-A93B-487B-AB03-5F92B734A1B1}" xr6:coauthVersionLast="47" xr6:coauthVersionMax="47" xr10:uidLastSave="{00000000-0000-0000-0000-000000000000}"/>
  <bookViews>
    <workbookView xWindow="-108" yWindow="-108" windowWidth="20376" windowHeight="12216"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Sheet1" sheetId="80" r:id="rId36"/>
    <sheet name="办公租金案例" sheetId="81" r:id="rId37"/>
    <sheet name="比较法-商业" sheetId="3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7"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7" i="43"/>
  <c r="S7" i="43"/>
  <c r="J49" i="67"/>
  <c r="Y6" i="1"/>
  <c r="B54" i="1"/>
  <c r="B21" i="1"/>
  <c r="N6" i="1" l="1"/>
  <c r="N20" i="1"/>
  <c r="N18"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6" i="79"/>
  <c r="AD37" i="79"/>
  <c r="AD35" i="79"/>
  <c r="Z3" i="79"/>
  <c r="S34" i="79"/>
  <c r="AG34" i="79" s="1"/>
  <c r="S35" i="79"/>
  <c r="AG35" i="79" s="1"/>
  <c r="S33" i="79"/>
  <c r="AG33" i="79" s="1"/>
  <c r="AA31" i="79"/>
  <c r="AD31" i="79" s="1"/>
  <c r="T40" i="79"/>
  <c r="U46" i="79"/>
  <c r="AI46" i="79" s="1"/>
  <c r="AD47" i="79"/>
  <c r="S48" i="79"/>
  <c r="AG48" i="79" s="1"/>
  <c r="U50" i="79"/>
  <c r="AI50" i="79" s="1"/>
  <c r="AD51" i="79"/>
  <c r="T35" i="79"/>
  <c r="T34" i="79"/>
  <c r="T33" i="79"/>
  <c r="AR19" i="79"/>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49" i="79"/>
  <c r="AK49" i="79" s="1"/>
  <c r="AH49" i="79"/>
  <c r="W38" i="79"/>
  <c r="AK38" i="79" s="1"/>
  <c r="AH38"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D31" i="71" s="1"/>
  <c r="AA35" i="71"/>
  <c r="C38" i="71"/>
  <c r="D38" i="71" s="1"/>
  <c r="X38" i="71"/>
  <c r="X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AA28" i="71"/>
  <c r="N66"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F36" i="34"/>
  <c r="J35" i="34"/>
  <c r="W9" i="34"/>
  <c r="U34" i="34"/>
  <c r="H39" i="33"/>
  <c r="AB39" i="33" s="1"/>
  <c r="F26" i="33"/>
  <c r="AA26" i="33"/>
  <c r="S40" i="33"/>
  <c r="W33" i="33"/>
  <c r="W39" i="33"/>
  <c r="H39" i="37"/>
  <c r="AB39" i="37"/>
  <c r="F11" i="40"/>
  <c r="AA11" i="40" s="1"/>
  <c r="H11" i="40"/>
  <c r="AB11" i="40" s="1"/>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J23" i="34"/>
  <c r="F19" i="34"/>
  <c r="H17" i="34"/>
  <c r="F15" i="34"/>
  <c r="AA15" i="34" s="1"/>
  <c r="J15" i="34"/>
  <c r="H15" i="34"/>
  <c r="AB15" i="34" s="1"/>
  <c r="W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H37" i="33"/>
  <c r="AB37" i="33" s="1"/>
  <c r="H15" i="33"/>
  <c r="AB15" i="33" s="1"/>
  <c r="H11" i="33"/>
  <c r="AB11" i="33" s="1"/>
  <c r="F28" i="40"/>
  <c r="AA28" i="40" s="1"/>
  <c r="S42" i="34"/>
  <c r="AC38" i="34"/>
  <c r="J37" i="34"/>
  <c r="AC37" i="34" s="1"/>
  <c r="J11" i="33"/>
  <c r="W11" i="33" s="1"/>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W28" i="21" s="1"/>
  <c r="H30" i="21"/>
  <c r="AB30" i="21" s="1"/>
  <c r="U30" i="21"/>
  <c r="F30" i="21"/>
  <c r="S30" i="21" s="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AZ520" i="3" s="1"/>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9" i="37"/>
  <c r="U26" i="37"/>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AZ120" i="3" s="1"/>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G189" i="3"/>
  <c r="BA191" i="3"/>
  <c r="BL192" i="3"/>
  <c r="G193" i="3"/>
  <c r="BA195" i="3"/>
  <c r="BL196" i="3"/>
  <c r="G197" i="3"/>
  <c r="BA199" i="3"/>
  <c r="AZ199" i="3" s="1"/>
  <c r="BL200" i="3"/>
  <c r="AZ200" i="3" s="1"/>
  <c r="G201" i="3"/>
  <c r="BA203" i="3"/>
  <c r="BL204" i="3"/>
  <c r="AZ144" i="3"/>
  <c r="AZ168"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AZ362" i="3" s="1"/>
  <c r="G363" i="3"/>
  <c r="BA365" i="3"/>
  <c r="BL366" i="3"/>
  <c r="G367" i="3"/>
  <c r="BA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AZ392" i="3" s="1"/>
  <c r="G393" i="3"/>
  <c r="AZ275"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BA15" i="3"/>
  <c r="BB5" i="3"/>
  <c r="BR5"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1" i="3"/>
  <c r="AZ69" i="3"/>
  <c r="AZ8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Z586" i="3"/>
  <c r="W12" i="33"/>
  <c r="AC12" i="33"/>
  <c r="AA32" i="36"/>
  <c r="S32" i="36"/>
  <c r="AZ473" i="3"/>
  <c r="BL14" i="3"/>
  <c r="U30" i="33"/>
  <c r="AC13" i="34"/>
  <c r="AA47" i="34"/>
  <c r="W28" i="37"/>
  <c r="S19" i="39"/>
  <c r="F12" i="33"/>
  <c r="H12" i="39"/>
  <c r="AB12" i="39"/>
  <c r="F39" i="40"/>
  <c r="BA14" i="3"/>
  <c r="AZ14" i="3" s="1"/>
  <c r="AZ367"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E19" i="69"/>
  <c r="E19" i="68"/>
  <c r="E19" i="11"/>
  <c r="G22" i="69"/>
  <c r="G22" i="68"/>
  <c r="C6" i="43"/>
  <c r="B19" i="53"/>
  <c r="B37" i="72" s="1"/>
  <c r="C7" i="39"/>
  <c r="C67" i="39" s="1"/>
  <c r="C7" i="40"/>
  <c r="C63" i="40"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J23" i="21"/>
  <c r="F85" i="21"/>
  <c r="G85" i="21" s="1"/>
  <c r="H23" i="21"/>
  <c r="S13" i="21"/>
  <c r="AP7" i="1"/>
  <c r="AB45" i="21"/>
  <c r="AB9" i="21"/>
  <c r="U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F6" i="73"/>
  <c r="B13" i="76"/>
  <c r="F5" i="73"/>
  <c r="E12" i="76"/>
  <c r="F20" i="31"/>
  <c r="AO13" i="1"/>
  <c r="E13" i="76"/>
  <c r="E10" i="76"/>
  <c r="F4" i="73"/>
  <c r="E11" i="76"/>
  <c r="F40" i="67"/>
  <c r="F37" i="67"/>
  <c r="L48" i="67"/>
  <c r="F3" i="73"/>
  <c r="E8" i="76"/>
  <c r="E2" i="69"/>
  <c r="B12" i="76"/>
  <c r="B10" i="76"/>
  <c r="B9" i="76"/>
  <c r="B8" i="76"/>
  <c r="E2" i="68"/>
  <c r="F7" i="73"/>
  <c r="B7" i="76"/>
  <c r="F8" i="67"/>
  <c r="E7" i="76"/>
  <c r="F38" i="67"/>
  <c r="B11" i="76"/>
  <c r="L47" i="67"/>
  <c r="D55" i="43" l="1"/>
  <c r="F28" i="15"/>
  <c r="D22" i="15"/>
  <c r="F32" i="67"/>
  <c r="F60" i="67" s="1"/>
  <c r="F28" i="67"/>
  <c r="C28" i="67" s="1"/>
  <c r="D68" i="9"/>
  <c r="F30" i="69"/>
  <c r="F48" i="69" s="1"/>
  <c r="F31" i="12"/>
  <c r="M18" i="15"/>
  <c r="M18" i="67"/>
  <c r="F30" i="11"/>
  <c r="C48" i="11" s="1"/>
  <c r="F54" i="9"/>
  <c r="F32" i="15"/>
  <c r="F60" i="15" s="1"/>
  <c r="F52" i="9"/>
  <c r="F30" i="68"/>
  <c r="F48" i="68" s="1"/>
  <c r="C40" i="68"/>
  <c r="G22" i="11"/>
  <c r="E1" i="73"/>
  <c r="G26" i="12"/>
  <c r="G1" i="15"/>
  <c r="B6" i="1"/>
  <c r="E6" i="1" s="1"/>
  <c r="G1" i="68"/>
  <c r="G1" i="69"/>
  <c r="K1" i="12"/>
  <c r="G23" i="43"/>
  <c r="C23" i="43" s="1"/>
  <c r="C7" i="33"/>
  <c r="C42" i="1"/>
  <c r="C24" i="12" s="1"/>
  <c r="C7" i="34"/>
  <c r="C7" i="21"/>
  <c r="C7" i="36"/>
  <c r="C46" i="36" s="1"/>
  <c r="D46" i="36" s="1"/>
  <c r="E46" i="36" s="1"/>
  <c r="F46" i="36" s="1"/>
  <c r="G46" i="36" s="1"/>
  <c r="H46" i="36" s="1"/>
  <c r="I46" i="36" s="1"/>
  <c r="J1" i="73"/>
  <c r="M47" i="9"/>
  <c r="C7" i="35"/>
  <c r="C48" i="35" s="1"/>
  <c r="D48" i="35" s="1"/>
  <c r="AB19" i="33"/>
  <c r="AB15" i="21"/>
  <c r="AB36" i="33"/>
  <c r="W32" i="39"/>
  <c r="AA23" i="21"/>
  <c r="AA19" i="33"/>
  <c r="AC15" i="21"/>
  <c r="AZ366" i="3"/>
  <c r="S37" i="21"/>
  <c r="AZ355" i="3"/>
  <c r="AZ346" i="3"/>
  <c r="D6" i="52"/>
  <c r="AA23" i="37"/>
  <c r="AZ167" i="3"/>
  <c r="AZ380" i="3"/>
  <c r="AZ306" i="3"/>
  <c r="AB34" i="35"/>
  <c r="U34" i="35"/>
  <c r="AZ390" i="3"/>
  <c r="AZ351" i="3"/>
  <c r="AZ336" i="3"/>
  <c r="AZ308" i="3"/>
  <c r="AZ539" i="3"/>
  <c r="AZ529" i="3"/>
  <c r="AZ518" i="3"/>
  <c r="AZ585" i="3"/>
  <c r="S14" i="37"/>
  <c r="U46" i="34"/>
  <c r="S29" i="35"/>
  <c r="AA29" i="35"/>
  <c r="U17" i="34"/>
  <c r="AB17" i="34"/>
  <c r="AC40" i="33"/>
  <c r="W40" i="33"/>
  <c r="AC22" i="35"/>
  <c r="W22" i="35"/>
  <c r="H23" i="36"/>
  <c r="J23" i="36"/>
  <c r="AC8" i="40"/>
  <c r="W8" i="40"/>
  <c r="J39" i="40"/>
  <c r="H39" i="40"/>
  <c r="AZ513" i="3"/>
  <c r="AZ575" i="3"/>
  <c r="AZ548" i="3"/>
  <c r="AZ502" i="3"/>
  <c r="BL587" i="3"/>
  <c r="AZ587" i="3" s="1"/>
  <c r="F28" i="34"/>
  <c r="J28" i="34"/>
  <c r="U12" i="35"/>
  <c r="AB12" i="35"/>
  <c r="J23" i="35"/>
  <c r="H23" i="35"/>
  <c r="AA40" i="39"/>
  <c r="S40" i="39"/>
  <c r="W31" i="35"/>
  <c r="AC31" i="35"/>
  <c r="AZ322" i="3"/>
  <c r="AZ313" i="3"/>
  <c r="AZ394" i="3"/>
  <c r="W44" i="33"/>
  <c r="AZ519" i="3"/>
  <c r="AZ531" i="3"/>
  <c r="AZ573" i="3"/>
  <c r="AZ583" i="3"/>
  <c r="AZ576" i="3"/>
  <c r="S44" i="34"/>
  <c r="AA41" i="33"/>
  <c r="S41" i="33"/>
  <c r="AB33" i="33"/>
  <c r="U33" i="33"/>
  <c r="J9" i="33"/>
  <c r="H9" i="33"/>
  <c r="H45" i="39"/>
  <c r="J45" i="39"/>
  <c r="W45" i="39" s="1"/>
  <c r="BA551" i="3"/>
  <c r="AZ551" i="3" s="1"/>
  <c r="BA550" i="3"/>
  <c r="BL548" i="3"/>
  <c r="AZ402" i="3"/>
  <c r="AZ406" i="3"/>
  <c r="AZ334" i="3"/>
  <c r="AZ372" i="3"/>
  <c r="AZ347" i="3"/>
  <c r="AZ337" i="3"/>
  <c r="AZ183" i="3"/>
  <c r="AZ376" i="3"/>
  <c r="AZ309" i="3"/>
  <c r="AA11" i="39"/>
  <c r="W47" i="34"/>
  <c r="AZ515" i="3"/>
  <c r="AZ523" i="3"/>
  <c r="AZ547" i="3"/>
  <c r="AZ569" i="3"/>
  <c r="AZ571" i="3"/>
  <c r="AZ579" i="3"/>
  <c r="AZ516" i="3"/>
  <c r="AZ524" i="3"/>
  <c r="AC28" i="21"/>
  <c r="AC11" i="35"/>
  <c r="U23" i="34"/>
  <c r="AB23" i="34"/>
  <c r="S27" i="35"/>
  <c r="G587" i="3"/>
  <c r="B101" i="43"/>
  <c r="B79" i="43"/>
  <c r="F9" i="33"/>
  <c r="AA9" i="33" s="1"/>
  <c r="AA35" i="34"/>
  <c r="S35" i="34"/>
  <c r="AB31" i="35"/>
  <c r="J9" i="36"/>
  <c r="F23" i="36"/>
  <c r="F38" i="40"/>
  <c r="H38" i="40"/>
  <c r="G556" i="3"/>
  <c r="G398" i="3"/>
  <c r="G399" i="3"/>
  <c r="BL400" i="3"/>
  <c r="AZ400" i="3" s="1"/>
  <c r="BL408" i="3"/>
  <c r="AZ408" i="3" s="1"/>
  <c r="BL411" i="3"/>
  <c r="AZ411" i="3" s="1"/>
  <c r="BL413" i="3"/>
  <c r="G415" i="3"/>
  <c r="G416" i="3"/>
  <c r="BL417" i="3"/>
  <c r="BL418" i="3"/>
  <c r="BL420" i="3"/>
  <c r="G422" i="3"/>
  <c r="G423" i="3"/>
  <c r="BL424" i="3"/>
  <c r="G426" i="3"/>
  <c r="G427" i="3"/>
  <c r="BL428" i="3"/>
  <c r="BL429" i="3"/>
  <c r="BL440" i="3"/>
  <c r="G442" i="3"/>
  <c r="BA443" i="3"/>
  <c r="AZ443" i="3" s="1"/>
  <c r="BL447" i="3"/>
  <c r="G448" i="3"/>
  <c r="BL448" i="3"/>
  <c r="AZ448" i="3" s="1"/>
  <c r="G450" i="3"/>
  <c r="BA457" i="3"/>
  <c r="G460" i="3"/>
  <c r="BL465" i="3"/>
  <c r="G466" i="3"/>
  <c r="G323" i="3"/>
  <c r="U35" i="33"/>
  <c r="BL585" i="3"/>
  <c r="B75" i="43"/>
  <c r="H24" i="36"/>
  <c r="G558" i="3"/>
  <c r="BL398" i="3"/>
  <c r="BL403" i="3"/>
  <c r="AZ413" i="3"/>
  <c r="BL415" i="3"/>
  <c r="BA417" i="3"/>
  <c r="BL421" i="3"/>
  <c r="BL422" i="3"/>
  <c r="AZ422" i="3" s="1"/>
  <c r="BL425" i="3"/>
  <c r="BL426" i="3"/>
  <c r="BA428" i="3"/>
  <c r="BA429" i="3"/>
  <c r="AZ429" i="3" s="1"/>
  <c r="BA430" i="3"/>
  <c r="AZ430" i="3" s="1"/>
  <c r="BA432" i="3"/>
  <c r="BA434" i="3"/>
  <c r="BA436" i="3"/>
  <c r="AZ436" i="3" s="1"/>
  <c r="AZ466" i="3"/>
  <c r="BA225" i="3"/>
  <c r="G229" i="3"/>
  <c r="BL252" i="3"/>
  <c r="BA260" i="3"/>
  <c r="AZ260" i="3" s="1"/>
  <c r="BL550"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A441" i="3"/>
  <c r="AZ441" i="3" s="1"/>
  <c r="BL443" i="3"/>
  <c r="G444" i="3"/>
  <c r="BL444" i="3"/>
  <c r="AZ444" i="3" s="1"/>
  <c r="G446" i="3"/>
  <c r="BA454" i="3"/>
  <c r="BA458" i="3"/>
  <c r="AZ458" i="3" s="1"/>
  <c r="BA470" i="3"/>
  <c r="AZ470" i="3" s="1"/>
  <c r="AZ487" i="3"/>
  <c r="BL308" i="3"/>
  <c r="AZ217" i="3"/>
  <c r="BA235" i="3"/>
  <c r="AZ235" i="3" s="1"/>
  <c r="BA270" i="3"/>
  <c r="AZ270" i="3" s="1"/>
  <c r="AZ177" i="3"/>
  <c r="AZ403" i="3"/>
  <c r="BA404" i="3"/>
  <c r="AZ404" i="3" s="1"/>
  <c r="BL410" i="3"/>
  <c r="AZ410" i="3" s="1"/>
  <c r="BL431" i="3"/>
  <c r="BL438" i="3"/>
  <c r="BL439" i="3"/>
  <c r="AZ439" i="3" s="1"/>
  <c r="BA456" i="3"/>
  <c r="BA462" i="3"/>
  <c r="AZ462" i="3" s="1"/>
  <c r="BA464" i="3"/>
  <c r="AZ464" i="3" s="1"/>
  <c r="AZ469" i="3"/>
  <c r="BL488" i="3"/>
  <c r="G489" i="3"/>
  <c r="BL230" i="3"/>
  <c r="BL146" i="3"/>
  <c r="BL154" i="3"/>
  <c r="BL163" i="3"/>
  <c r="AZ163" i="3" s="1"/>
  <c r="Y26" i="71"/>
  <c r="Z26" i="71" s="1"/>
  <c r="Y25" i="71"/>
  <c r="Z25" i="71" s="1"/>
  <c r="AA3" i="71"/>
  <c r="BL432" i="3"/>
  <c r="BL435" i="3"/>
  <c r="BL436" i="3"/>
  <c r="BA439" i="3"/>
  <c r="BA440" i="3"/>
  <c r="AZ440" i="3" s="1"/>
  <c r="BA442" i="3"/>
  <c r="BA445" i="3"/>
  <c r="BA447" i="3"/>
  <c r="BA449" i="3"/>
  <c r="BL453" i="3"/>
  <c r="BL454" i="3"/>
  <c r="G458" i="3"/>
  <c r="BL459" i="3"/>
  <c r="AZ459" i="3" s="1"/>
  <c r="G461" i="3"/>
  <c r="G462" i="3"/>
  <c r="BA465" i="3"/>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AZ290" i="3" s="1"/>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88" i="3"/>
  <c r="AZ188" i="3" s="1"/>
  <c r="BL191" i="3"/>
  <c r="AZ191" i="3" s="1"/>
  <c r="G192" i="3"/>
  <c r="BA193" i="3"/>
  <c r="AZ193" i="3" s="1"/>
  <c r="G20" i="3"/>
  <c r="BL20" i="3"/>
  <c r="AZ20" i="3" s="1"/>
  <c r="BA21" i="3"/>
  <c r="BL25" i="3"/>
  <c r="AZ25" i="3" s="1"/>
  <c r="BL27" i="3"/>
  <c r="G51" i="3"/>
  <c r="BL64" i="3"/>
  <c r="C52" i="71"/>
  <c r="D51" i="71"/>
  <c r="C55" i="71"/>
  <c r="D54" i="71"/>
  <c r="C64" i="71"/>
  <c r="D64" i="71" s="1"/>
  <c r="D63" i="71"/>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BL183" i="3"/>
  <c r="BA186" i="3"/>
  <c r="AZ186" i="3" s="1"/>
  <c r="BL189" i="3"/>
  <c r="AZ189" i="3" s="1"/>
  <c r="BL190" i="3"/>
  <c r="AZ190" i="3" s="1"/>
  <c r="BA192" i="3"/>
  <c r="AZ192" i="3" s="1"/>
  <c r="BL195" i="3"/>
  <c r="AZ195" i="3" s="1"/>
  <c r="BA55" i="3"/>
  <c r="AZ55" i="3" s="1"/>
  <c r="AB21" i="37"/>
  <c r="U21" i="37"/>
  <c r="C34" i="71"/>
  <c r="Y29" i="71"/>
  <c r="Z29" i="71" s="1"/>
  <c r="BL466" i="3"/>
  <c r="G468" i="3"/>
  <c r="BL476" i="3"/>
  <c r="AZ476" i="3" s="1"/>
  <c r="BL477" i="3"/>
  <c r="BL478" i="3"/>
  <c r="G479" i="3"/>
  <c r="G480" i="3"/>
  <c r="BL480" i="3"/>
  <c r="AZ480" i="3" s="1"/>
  <c r="G482" i="3"/>
  <c r="BA483" i="3"/>
  <c r="BL483" i="3"/>
  <c r="BA486" i="3"/>
  <c r="BL489" i="3"/>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G175" i="3"/>
  <c r="G176" i="3"/>
  <c r="BL178" i="3"/>
  <c r="AZ178" i="3" s="1"/>
  <c r="BA180" i="3"/>
  <c r="AZ180" i="3" s="1"/>
  <c r="BL182" i="3"/>
  <c r="G183" i="3"/>
  <c r="BA185" i="3"/>
  <c r="G195" i="3"/>
  <c r="BA196" i="3"/>
  <c r="AZ196" i="3" s="1"/>
  <c r="BA202" i="3"/>
  <c r="BA30" i="3"/>
  <c r="BA40" i="3"/>
  <c r="BL52" i="3"/>
  <c r="AZ64" i="3"/>
  <c r="BL74" i="3"/>
  <c r="AZ74" i="3" s="1"/>
  <c r="BL79" i="3"/>
  <c r="BL93" i="3"/>
  <c r="BA109" i="3"/>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AZ41" i="3" s="1"/>
  <c r="G45" i="3"/>
  <c r="BL45" i="3"/>
  <c r="BA48" i="3"/>
  <c r="AZ48" i="3" s="1"/>
  <c r="BA49" i="3"/>
  <c r="BA51" i="3"/>
  <c r="G54" i="3"/>
  <c r="G55" i="3"/>
  <c r="BL56" i="3"/>
  <c r="BA58" i="3"/>
  <c r="BL59" i="3"/>
  <c r="AZ59" i="3" s="1"/>
  <c r="BL60" i="3"/>
  <c r="BA61" i="3"/>
  <c r="AZ61" i="3" s="1"/>
  <c r="BA68" i="3"/>
  <c r="BA73" i="3"/>
  <c r="BA80" i="3"/>
  <c r="G84" i="3"/>
  <c r="BL84" i="3"/>
  <c r="BA89" i="3"/>
  <c r="BL92" i="3"/>
  <c r="AZ92" i="3" s="1"/>
  <c r="BL96" i="3"/>
  <c r="BL97" i="3"/>
  <c r="AZ97" i="3" s="1"/>
  <c r="BL101" i="3"/>
  <c r="AZ101" i="3" s="1"/>
  <c r="BL102" i="3"/>
  <c r="BA104" i="3"/>
  <c r="G109" i="3"/>
  <c r="AC25" i="40"/>
  <c r="U21" i="33"/>
  <c r="AB21" i="33"/>
  <c r="C32" i="71"/>
  <c r="C23" i="71"/>
  <c r="B22" i="71"/>
  <c r="B21" i="71" s="1"/>
  <c r="B20" i="71" s="1"/>
  <c r="G196" i="3"/>
  <c r="BA197" i="3"/>
  <c r="AZ197" i="3" s="1"/>
  <c r="BL201" i="3"/>
  <c r="AZ201" i="3" s="1"/>
  <c r="BL203" i="3"/>
  <c r="AZ203" i="3" s="1"/>
  <c r="BA204" i="3"/>
  <c r="AZ204" i="3" s="1"/>
  <c r="BA18" i="3"/>
  <c r="G21" i="3"/>
  <c r="BL21" i="3"/>
  <c r="G29" i="3"/>
  <c r="BL29" i="3"/>
  <c r="BA37" i="3"/>
  <c r="G39" i="3"/>
  <c r="BL39" i="3"/>
  <c r="BA45" i="3"/>
  <c r="BA46" i="3"/>
  <c r="BL49" i="3"/>
  <c r="BL50" i="3"/>
  <c r="AZ50" i="3" s="1"/>
  <c r="BL51" i="3"/>
  <c r="G53" i="3"/>
  <c r="BL53" i="3"/>
  <c r="BA56" i="3"/>
  <c r="BA57" i="3"/>
  <c r="BL58" i="3"/>
  <c r="BA60" i="3"/>
  <c r="AZ60" i="3" s="1"/>
  <c r="BA63" i="3"/>
  <c r="BA66" i="3"/>
  <c r="BA71" i="3"/>
  <c r="G76" i="3"/>
  <c r="BL77" i="3"/>
  <c r="AZ77" i="3" s="1"/>
  <c r="BA79" i="3"/>
  <c r="G82" i="3"/>
  <c r="G83" i="3"/>
  <c r="BA84" i="3"/>
  <c r="AZ84" i="3" s="1"/>
  <c r="BL88" i="3"/>
  <c r="AZ88" i="3" s="1"/>
  <c r="G90" i="3"/>
  <c r="BL90" i="3"/>
  <c r="AZ90" i="3" s="1"/>
  <c r="G95" i="3"/>
  <c r="G96" i="3"/>
  <c r="G99" i="3"/>
  <c r="BA103" i="3"/>
  <c r="AZ103" i="3" s="1"/>
  <c r="F3" i="35"/>
  <c r="F40" i="69"/>
  <c r="C40" i="69"/>
  <c r="C86" i="71"/>
  <c r="D86" i="71" s="1"/>
  <c r="D87" i="71"/>
  <c r="AB25" i="71"/>
  <c r="AB28" i="71"/>
  <c r="AB26" i="71"/>
  <c r="B27" i="71"/>
  <c r="B26" i="71" s="1"/>
  <c r="S28" i="71"/>
  <c r="Y30" i="71"/>
  <c r="Z30" i="71" s="1"/>
  <c r="AB34" i="71"/>
  <c r="AA38" i="71"/>
  <c r="AA37" i="71"/>
  <c r="C47" i="71"/>
  <c r="D47" i="71" s="1"/>
  <c r="D46" i="71"/>
  <c r="E59" i="71"/>
  <c r="E60" i="71" s="1"/>
  <c r="U60" i="71" s="1"/>
  <c r="C67" i="71"/>
  <c r="T68" i="71"/>
  <c r="O68" i="71"/>
  <c r="T76" i="71"/>
  <c r="D76" i="71"/>
  <c r="C75" i="71"/>
  <c r="S80" i="71"/>
  <c r="B79" i="71"/>
  <c r="B78" i="71" s="1"/>
  <c r="BL28" i="3"/>
  <c r="AZ28" i="3" s="1"/>
  <c r="BA29" i="3"/>
  <c r="AZ29" i="3" s="1"/>
  <c r="BA36" i="3"/>
  <c r="BL38" i="3"/>
  <c r="AZ38" i="3" s="1"/>
  <c r="BA39" i="3"/>
  <c r="AZ39" i="3" s="1"/>
  <c r="BL47" i="3"/>
  <c r="AZ47" i="3" s="1"/>
  <c r="G49" i="3"/>
  <c r="BA52" i="3"/>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A92" i="3"/>
  <c r="G106" i="3"/>
  <c r="BL106" i="3"/>
  <c r="BA108" i="3"/>
  <c r="AZ108" i="3" s="1"/>
  <c r="BA110" i="3"/>
  <c r="AZ110" i="3" s="1"/>
  <c r="B13" i="1"/>
  <c r="E13" i="1" s="1"/>
  <c r="K13" i="1"/>
  <c r="M13" i="1" s="1"/>
  <c r="O13" i="1" s="1"/>
  <c r="P13" i="1" s="1"/>
  <c r="P65" i="71"/>
  <c r="P66" i="71"/>
  <c r="T28" i="71"/>
  <c r="D28" i="71"/>
  <c r="U28" i="71" s="1"/>
  <c r="C27" i="71"/>
  <c r="X33" i="71"/>
  <c r="X31" i="71"/>
  <c r="X34" i="71"/>
  <c r="X36" i="71"/>
  <c r="X35" i="71"/>
  <c r="AB37" i="71"/>
  <c r="AB35" i="71"/>
  <c r="F38" i="71"/>
  <c r="F39" i="71" s="1"/>
  <c r="F40" i="71" s="1"/>
  <c r="V40" i="71" s="1"/>
  <c r="X25" i="71"/>
  <c r="V24" i="71"/>
  <c r="E23" i="71"/>
  <c r="E22" i="71" s="1"/>
  <c r="E21" i="71" s="1"/>
  <c r="E20" i="71" s="1"/>
  <c r="E19" i="71" s="1"/>
  <c r="E18" i="71" s="1"/>
  <c r="E17" i="71" s="1"/>
  <c r="E16" i="71" s="1"/>
  <c r="AA27" i="71"/>
  <c r="C83" i="71"/>
  <c r="C79" i="71"/>
  <c r="C71" i="71"/>
  <c r="C39" i="71"/>
  <c r="Y28" i="71"/>
  <c r="Z28" i="71" s="1"/>
  <c r="X28" i="71"/>
  <c r="X32" i="71"/>
  <c r="BL112" i="3"/>
  <c r="W18" i="35"/>
  <c r="U25" i="40"/>
  <c r="B68" i="43"/>
  <c r="F35" i="71"/>
  <c r="F36" i="71" s="1"/>
  <c r="V36" i="71" s="1"/>
  <c r="AA34" i="71"/>
  <c r="BL94" i="3"/>
  <c r="AZ94" i="3" s="1"/>
  <c r="BA100" i="3"/>
  <c r="AZ100" i="3" s="1"/>
  <c r="BA102" i="3"/>
  <c r="BL105" i="3"/>
  <c r="AZ105" i="3" s="1"/>
  <c r="G107" i="3"/>
  <c r="BL107" i="3"/>
  <c r="BA111" i="3"/>
  <c r="AZ111" i="3" s="1"/>
  <c r="AC21" i="37"/>
  <c r="U21" i="34"/>
  <c r="W18" i="36"/>
  <c r="S18" i="36"/>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56" i="3"/>
  <c r="AZ467"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AZ221" i="3"/>
  <c r="AZ225" i="3"/>
  <c r="G230" i="3"/>
  <c r="BA232" i="3"/>
  <c r="AZ232" i="3" s="1"/>
  <c r="BA234" i="3"/>
  <c r="AZ234" i="3" s="1"/>
  <c r="AZ236" i="3"/>
  <c r="G248" i="3"/>
  <c r="AZ258"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87" i="3"/>
  <c r="BL202" i="3"/>
  <c r="AZ202" i="3" s="1"/>
  <c r="AZ30" i="3"/>
  <c r="BL36" i="3"/>
  <c r="AZ40"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N59" i="67"/>
  <c r="L59" i="67"/>
  <c r="L58" i="67"/>
  <c r="M59" i="67"/>
  <c r="B13" i="70"/>
  <c r="F68" i="67"/>
  <c r="C36" i="68"/>
  <c r="D9" i="68"/>
  <c r="D9" i="69"/>
  <c r="C36" i="69"/>
  <c r="C76" i="15"/>
  <c r="F7" i="15"/>
  <c r="M6" i="15"/>
  <c r="M9" i="15"/>
  <c r="F38" i="15"/>
  <c r="F40" i="15"/>
  <c r="M28" i="15"/>
  <c r="F36" i="15"/>
  <c r="F37" i="15"/>
  <c r="J15" i="15"/>
  <c r="F26" i="15"/>
  <c r="F42" i="15"/>
  <c r="L47" i="15"/>
  <c r="F8" i="15"/>
  <c r="M24" i="15"/>
  <c r="M22" i="15"/>
  <c r="F13" i="15"/>
  <c r="F6" i="15"/>
  <c r="F16" i="15"/>
  <c r="F43" i="15"/>
  <c r="M29" i="15"/>
  <c r="M23" i="15"/>
  <c r="F9" i="15"/>
  <c r="L48" i="15"/>
  <c r="M8" i="15"/>
  <c r="M26" i="15"/>
  <c r="D6" i="73"/>
  <c r="F26" i="67"/>
  <c r="M6" i="67"/>
  <c r="F42" i="67"/>
  <c r="F43" i="67"/>
  <c r="D4" i="73"/>
  <c r="F36" i="67"/>
  <c r="F6" i="67"/>
  <c r="C76" i="67"/>
  <c r="M28" i="67"/>
  <c r="F9" i="67"/>
  <c r="C16" i="15"/>
  <c r="M22" i="67"/>
  <c r="J15" i="67"/>
  <c r="M24" i="67"/>
  <c r="M29" i="67"/>
  <c r="F7" i="67"/>
  <c r="F16" i="67"/>
  <c r="D3" i="73"/>
  <c r="M26" i="67"/>
  <c r="M9" i="67"/>
  <c r="M8" i="67"/>
  <c r="M23" i="67"/>
  <c r="F13" i="67"/>
  <c r="D5" i="73"/>
  <c r="D7" i="73"/>
  <c r="J53" i="15" l="1"/>
  <c r="L56" i="15" s="1"/>
  <c r="J57" i="15"/>
  <c r="J55" i="15" s="1"/>
  <c r="J58" i="15" s="1"/>
  <c r="Q50" i="15" s="1"/>
  <c r="I54" i="15"/>
  <c r="F71" i="15"/>
  <c r="C6" i="15"/>
  <c r="C32" i="15" s="1"/>
  <c r="F51" i="15"/>
  <c r="M59" i="15"/>
  <c r="L59" i="15"/>
  <c r="Q74" i="15" s="1"/>
  <c r="N59" i="15"/>
  <c r="L58" i="15"/>
  <c r="Q60" i="15" s="1"/>
  <c r="C27" i="15"/>
  <c r="F65" i="15"/>
  <c r="F64" i="15"/>
  <c r="F68" i="15"/>
  <c r="F66" i="15"/>
  <c r="F50" i="15"/>
  <c r="M7" i="15"/>
  <c r="J6" i="15" s="1"/>
  <c r="Q71" i="15"/>
  <c r="E26" i="43"/>
  <c r="Q16" i="1"/>
  <c r="K16" i="1"/>
  <c r="H16" i="1"/>
  <c r="M7" i="67"/>
  <c r="J6" i="67" s="1"/>
  <c r="J18" i="67" s="1"/>
  <c r="F50" i="67"/>
  <c r="C49" i="67" s="1"/>
  <c r="Q71" i="67"/>
  <c r="F31" i="67"/>
  <c r="C6" i="67"/>
  <c r="C32" i="67" s="1"/>
  <c r="F64" i="67"/>
  <c r="F71" i="67"/>
  <c r="C27" i="67"/>
  <c r="C70" i="71"/>
  <c r="D70" i="71" s="1"/>
  <c r="D71" i="71"/>
  <c r="AZ52" i="3"/>
  <c r="AZ63" i="3"/>
  <c r="AZ49" i="3"/>
  <c r="AZ483" i="3"/>
  <c r="D34" i="71"/>
  <c r="C35" i="71"/>
  <c r="AZ27" i="3"/>
  <c r="AZ454" i="3"/>
  <c r="AZ457" i="3"/>
  <c r="S38" i="40"/>
  <c r="AA38" i="40"/>
  <c r="AZ550" i="3"/>
  <c r="AB9" i="33"/>
  <c r="U9" i="33"/>
  <c r="D79" i="71"/>
  <c r="C78" i="71"/>
  <c r="D78" i="71" s="1"/>
  <c r="B19" i="71"/>
  <c r="B18" i="71" s="1"/>
  <c r="B17" i="71" s="1"/>
  <c r="B16" i="71" s="1"/>
  <c r="B15" i="71" s="1"/>
  <c r="B14" i="71" s="1"/>
  <c r="B13" i="71" s="1"/>
  <c r="B12" i="71" s="1"/>
  <c r="S20" i="71"/>
  <c r="T52" i="71"/>
  <c r="D52" i="71"/>
  <c r="AZ491" i="3"/>
  <c r="AZ435" i="3"/>
  <c r="AA23" i="36"/>
  <c r="S23" i="36"/>
  <c r="AC9" i="33"/>
  <c r="W9" i="33"/>
  <c r="U23" i="35"/>
  <c r="AB23" i="35"/>
  <c r="W28" i="34"/>
  <c r="AC28" i="34"/>
  <c r="U39" i="40"/>
  <c r="AB39" i="40"/>
  <c r="AC23" i="36"/>
  <c r="W23" i="36"/>
  <c r="T64" i="71"/>
  <c r="G5" i="3"/>
  <c r="B3" i="3" s="1"/>
  <c r="E536" i="3" s="1"/>
  <c r="AZ36" i="3"/>
  <c r="AZ348" i="3"/>
  <c r="D83" i="71"/>
  <c r="C82" i="71"/>
  <c r="D82" i="71" s="1"/>
  <c r="D75" i="71"/>
  <c r="C74" i="71"/>
  <c r="D74" i="71" s="1"/>
  <c r="AZ71" i="3"/>
  <c r="C22" i="71"/>
  <c r="D23" i="71"/>
  <c r="AZ182" i="3"/>
  <c r="AZ121" i="3"/>
  <c r="AZ274" i="3"/>
  <c r="AZ21" i="3"/>
  <c r="AZ5" i="3" s="1"/>
  <c r="AZ302" i="3"/>
  <c r="AZ284" i="3"/>
  <c r="AZ277" i="3"/>
  <c r="AZ256" i="3"/>
  <c r="AZ397" i="3"/>
  <c r="AZ428" i="3"/>
  <c r="AB24" i="36"/>
  <c r="U24" i="36"/>
  <c r="AC9" i="36"/>
  <c r="W9" i="36"/>
  <c r="AC23" i="35"/>
  <c r="W23" i="35"/>
  <c r="AA28" i="34"/>
  <c r="S28" i="34"/>
  <c r="AC39" i="40"/>
  <c r="W39" i="40"/>
  <c r="AB23" i="36"/>
  <c r="U23" i="36"/>
  <c r="J7" i="36"/>
  <c r="AZ165" i="3"/>
  <c r="AZ292" i="3"/>
  <c r="AZ246" i="3"/>
  <c r="AZ268" i="3"/>
  <c r="AZ213" i="3"/>
  <c r="G16" i="1"/>
  <c r="F10" i="39" s="1"/>
  <c r="AA10" i="39" s="1"/>
  <c r="AZ102" i="3"/>
  <c r="C40" i="71"/>
  <c r="D39" i="71"/>
  <c r="C26" i="71"/>
  <c r="D26" i="71" s="1"/>
  <c r="D27" i="71"/>
  <c r="AZ53" i="3"/>
  <c r="D67" i="71"/>
  <c r="C66" i="71"/>
  <c r="O67" i="71"/>
  <c r="AZ79" i="3"/>
  <c r="AZ66" i="3"/>
  <c r="AZ57" i="3"/>
  <c r="AZ45" i="3"/>
  <c r="T32" i="71"/>
  <c r="D32" i="71"/>
  <c r="AZ58" i="3"/>
  <c r="AZ51" i="3"/>
  <c r="C56" i="71"/>
  <c r="D55" i="71"/>
  <c r="AZ130" i="3"/>
  <c r="AZ244" i="3"/>
  <c r="AZ239" i="3"/>
  <c r="AZ465" i="3"/>
  <c r="AZ447" i="3"/>
  <c r="AZ421" i="3"/>
  <c r="AZ432" i="3"/>
  <c r="AZ417" i="3"/>
  <c r="AB38" i="40"/>
  <c r="U38" i="40"/>
  <c r="AB45" i="39"/>
  <c r="U45" i="39"/>
  <c r="J7" i="37"/>
  <c r="K1" i="73"/>
  <c r="E510" i="3"/>
  <c r="R6" i="3"/>
  <c r="I3" i="6"/>
  <c r="E56" i="3"/>
  <c r="E363" i="3"/>
  <c r="E425" i="3"/>
  <c r="E300" i="3"/>
  <c r="E144" i="3"/>
  <c r="E264" i="3"/>
  <c r="E332" i="3"/>
  <c r="E129" i="3"/>
  <c r="E251" i="3"/>
  <c r="E308" i="3"/>
  <c r="E534" i="3"/>
  <c r="E469" i="3"/>
  <c r="E556" i="3"/>
  <c r="E104" i="3"/>
  <c r="E243" i="3"/>
  <c r="E190" i="3"/>
  <c r="E370" i="3"/>
  <c r="E83" i="3"/>
  <c r="E116" i="3"/>
  <c r="E486" i="3"/>
  <c r="E490" i="3"/>
  <c r="E419" i="3"/>
  <c r="E202" i="3"/>
  <c r="E333" i="3"/>
  <c r="E540" i="3"/>
  <c r="E137" i="3"/>
  <c r="E339" i="3"/>
  <c r="E36" i="3"/>
  <c r="E50" i="3"/>
  <c r="E218" i="3"/>
  <c r="E165" i="3"/>
  <c r="E155" i="3"/>
  <c r="E65" i="3"/>
  <c r="E222" i="3"/>
  <c r="E57" i="3"/>
  <c r="E209" i="3"/>
  <c r="E323" i="3"/>
  <c r="E47" i="3"/>
  <c r="E266" i="3"/>
  <c r="E373" i="3"/>
  <c r="E462" i="3"/>
  <c r="Y6" i="3"/>
  <c r="E179" i="3"/>
  <c r="E195" i="3"/>
  <c r="E167" i="3"/>
  <c r="E413" i="3"/>
  <c r="E307" i="3"/>
  <c r="E122" i="3"/>
  <c r="E461" i="3"/>
  <c r="E157" i="3"/>
  <c r="E532" i="3"/>
  <c r="E529" i="3"/>
  <c r="W6" i="3"/>
  <c r="E475" i="3"/>
  <c r="E54" i="3"/>
  <c r="E357" i="3"/>
  <c r="E397" i="3"/>
  <c r="E196" i="3"/>
  <c r="U6" i="3"/>
  <c r="E432" i="3"/>
  <c r="E367" i="3"/>
  <c r="E71" i="3"/>
  <c r="E272" i="3"/>
  <c r="E291" i="3"/>
  <c r="E53" i="3"/>
  <c r="E153" i="3"/>
  <c r="E426" i="3"/>
  <c r="E359" i="3"/>
  <c r="E390" i="3"/>
  <c r="S6" i="3"/>
  <c r="E338" i="3"/>
  <c r="E169" i="3"/>
  <c r="E237" i="3"/>
  <c r="E17" i="3"/>
  <c r="E254" i="3"/>
  <c r="E159" i="3"/>
  <c r="E353" i="3"/>
  <c r="E156" i="3"/>
  <c r="E238" i="3"/>
  <c r="E120" i="3"/>
  <c r="Q6" i="3"/>
  <c r="E437" i="3"/>
  <c r="AE6" i="3"/>
  <c r="E55" i="3"/>
  <c r="E73" i="3"/>
  <c r="E394" i="3"/>
  <c r="I6" i="3"/>
  <c r="E236" i="3"/>
  <c r="AG6" i="3"/>
  <c r="E443" i="3"/>
  <c r="E558" i="3"/>
  <c r="E88" i="3"/>
  <c r="E295" i="3"/>
  <c r="E316" i="3"/>
  <c r="E125" i="3"/>
  <c r="E282" i="3"/>
  <c r="N6" i="3"/>
  <c r="E396" i="3"/>
  <c r="E358" i="3"/>
  <c r="E559" i="3"/>
  <c r="E320" i="3"/>
  <c r="E130" i="3"/>
  <c r="E114" i="3"/>
  <c r="E550" i="3"/>
  <c r="E61" i="3"/>
  <c r="E245" i="3"/>
  <c r="E293" i="3"/>
  <c r="E253" i="3"/>
  <c r="E453" i="3"/>
  <c r="E99" i="3"/>
  <c r="E519" i="3"/>
  <c r="E573" i="3"/>
  <c r="E562" i="3"/>
  <c r="E433" i="3"/>
  <c r="E72" i="3"/>
  <c r="E351" i="3"/>
  <c r="E567" i="3"/>
  <c r="E549" i="3"/>
  <c r="E585" i="3"/>
  <c r="E414" i="3"/>
  <c r="E477" i="3"/>
  <c r="E447" i="3"/>
  <c r="E186" i="3"/>
  <c r="E210" i="3"/>
  <c r="E441" i="3"/>
  <c r="E343" i="3"/>
  <c r="E305" i="3"/>
  <c r="E410" i="3"/>
  <c r="E270" i="3"/>
  <c r="E533" i="3"/>
  <c r="E439" i="3"/>
  <c r="E216" i="3"/>
  <c r="E185" i="3"/>
  <c r="E361" i="3"/>
  <c r="E91" i="3"/>
  <c r="E134" i="3"/>
  <c r="E495" i="3"/>
  <c r="E347" i="3"/>
  <c r="E77" i="3"/>
  <c r="AK6" i="3"/>
  <c r="E133" i="3"/>
  <c r="K6" i="3"/>
  <c r="E465" i="3"/>
  <c r="E468" i="3"/>
  <c r="E454" i="3"/>
  <c r="E214" i="3"/>
  <c r="E74" i="3"/>
  <c r="E227" i="3"/>
  <c r="E327" i="3"/>
  <c r="E485" i="3"/>
  <c r="E400" i="3"/>
  <c r="E489" i="3"/>
  <c r="E182" i="3"/>
  <c r="E211" i="3"/>
  <c r="E109" i="3"/>
  <c r="E268" i="3"/>
  <c r="E322" i="3"/>
  <c r="E431" i="3"/>
  <c r="E311" i="3"/>
  <c r="E514" i="3"/>
  <c r="E387" i="3"/>
  <c r="E189" i="3"/>
  <c r="E69" i="3"/>
  <c r="E445" i="3"/>
  <c r="E135" i="3"/>
  <c r="E191" i="3"/>
  <c r="E385" i="3"/>
  <c r="E100" i="3"/>
  <c r="E200" i="3"/>
  <c r="E296" i="3"/>
  <c r="E483" i="3"/>
  <c r="AA26" i="37"/>
  <c r="S26" i="37"/>
  <c r="BA5" i="3"/>
  <c r="E27" i="6" s="1"/>
  <c r="K26" i="6" s="1"/>
  <c r="M26" i="6" s="1"/>
  <c r="I26" i="6" s="1"/>
  <c r="S26" i="6" s="1"/>
  <c r="E240" i="3"/>
  <c r="E487" i="3"/>
  <c r="W40" i="40"/>
  <c r="AC40" i="40"/>
  <c r="AC12" i="21"/>
  <c r="W12" i="21"/>
  <c r="AB12" i="21"/>
  <c r="U12" i="21"/>
  <c r="AA27" i="34"/>
  <c r="S27" i="34"/>
  <c r="AC26" i="37"/>
  <c r="W26" i="37"/>
  <c r="BL5" i="3"/>
  <c r="F7" i="36"/>
  <c r="H7" i="36"/>
  <c r="AB7" i="36" s="1"/>
  <c r="T36" i="36" s="1"/>
  <c r="G36" i="36" s="1"/>
  <c r="E142" i="3"/>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U7" i="36"/>
  <c r="F7" i="33"/>
  <c r="E58" i="21"/>
  <c r="AC7" i="36"/>
  <c r="W7" i="36"/>
  <c r="F7" i="37"/>
  <c r="M17" i="67"/>
  <c r="M17" i="15"/>
  <c r="F59" i="15"/>
  <c r="P28" i="43"/>
  <c r="B66" i="40" s="1"/>
  <c r="P25" i="43"/>
  <c r="P29" i="43"/>
  <c r="P27" i="43"/>
  <c r="B70" i="39" s="1"/>
  <c r="J18" i="15"/>
  <c r="Q60" i="67"/>
  <c r="Q73" i="67"/>
  <c r="M11" i="67"/>
  <c r="J10" i="67" s="1"/>
  <c r="F11" i="15"/>
  <c r="M11" i="15"/>
  <c r="J10" i="15" s="1"/>
  <c r="F11" i="67"/>
  <c r="F1" i="15"/>
  <c r="F1" i="67"/>
  <c r="Q52" i="67"/>
  <c r="Q61" i="67"/>
  <c r="Q74" i="67"/>
  <c r="AE11" i="1"/>
  <c r="AE9" i="1"/>
  <c r="F27" i="68"/>
  <c r="AE7" i="1"/>
  <c r="AE8" i="1"/>
  <c r="AE12" i="1"/>
  <c r="AE10" i="1"/>
  <c r="F27" i="69"/>
  <c r="AE6" i="1"/>
  <c r="G1" i="73"/>
  <c r="C16" i="67"/>
  <c r="F41" i="67"/>
  <c r="C47" i="69" l="1"/>
  <c r="D45" i="69" s="1"/>
  <c r="C49" i="15"/>
  <c r="J5" i="15"/>
  <c r="J24" i="15" s="1"/>
  <c r="Q52" i="15"/>
  <c r="Q73" i="15"/>
  <c r="J5" i="67"/>
  <c r="J24" i="67" s="1"/>
  <c r="Q61" i="15"/>
  <c r="F45" i="69"/>
  <c r="C29" i="69"/>
  <c r="D27" i="69" s="1"/>
  <c r="H10" i="39"/>
  <c r="U10" i="39" s="1"/>
  <c r="E19" i="3"/>
  <c r="E421" i="3"/>
  <c r="E348" i="3"/>
  <c r="E101" i="3"/>
  <c r="E147" i="3"/>
  <c r="E194" i="3"/>
  <c r="E43" i="3"/>
  <c r="E40" i="3"/>
  <c r="E507" i="3"/>
  <c r="E223" i="3"/>
  <c r="E342" i="3"/>
  <c r="E41" i="3"/>
  <c r="E360" i="3"/>
  <c r="E140" i="3"/>
  <c r="E522" i="3"/>
  <c r="E21" i="3"/>
  <c r="E23" i="3"/>
  <c r="E76" i="3"/>
  <c r="E435" i="3"/>
  <c r="E199" i="3"/>
  <c r="H10" i="40"/>
  <c r="AB10" i="40" s="1"/>
  <c r="J10" i="40"/>
  <c r="AC10" i="40" s="1"/>
  <c r="J10" i="39"/>
  <c r="W10" i="39" s="1"/>
  <c r="F10" i="40"/>
  <c r="S10" i="40" s="1"/>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582" i="3"/>
  <c r="E110" i="3"/>
  <c r="E51" i="3"/>
  <c r="E398" i="3"/>
  <c r="E20" i="3"/>
  <c r="E52" i="3"/>
  <c r="E455" i="3"/>
  <c r="E226" i="3"/>
  <c r="E498" i="3"/>
  <c r="E493" i="3"/>
  <c r="E80" i="3"/>
  <c r="E78" i="3"/>
  <c r="E452" i="3"/>
  <c r="T6" i="3"/>
  <c r="E287" i="3"/>
  <c r="E75" i="3"/>
  <c r="E381" i="3"/>
  <c r="E103" i="3"/>
  <c r="E192" i="3"/>
  <c r="E541"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E86" i="3"/>
  <c r="E482" i="3"/>
  <c r="E494" i="3"/>
  <c r="E68" i="3"/>
  <c r="E84" i="3"/>
  <c r="E160" i="3"/>
  <c r="E59" i="3"/>
  <c r="E258" i="3"/>
  <c r="E491" i="3"/>
  <c r="E430" i="3"/>
  <c r="E286" i="3"/>
  <c r="AY6" i="3"/>
  <c r="E3" i="6"/>
  <c r="V36" i="36"/>
  <c r="I36" i="36" s="1"/>
  <c r="G41" i="36" s="1"/>
  <c r="H41" i="36" s="1"/>
  <c r="D56" i="71"/>
  <c r="T56" i="71"/>
  <c r="T40" i="71"/>
  <c r="D40" i="71"/>
  <c r="E378" i="3"/>
  <c r="E248" i="3"/>
  <c r="E131" i="3"/>
  <c r="S16"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22" i="71"/>
  <c r="C21"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O65" i="71"/>
  <c r="D66" i="71"/>
  <c r="O6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V7" i="43" l="1"/>
  <c r="C6" i="69"/>
  <c r="C7" i="69" s="1"/>
  <c r="F25" i="12"/>
  <c r="C26" i="12" s="1"/>
  <c r="D25" i="12" s="1"/>
  <c r="AC10" i="39"/>
  <c r="E6" i="3"/>
  <c r="D116" i="43"/>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8"/>
  <c r="C34" i="69"/>
  <c r="D10" i="69"/>
  <c r="C17" i="67"/>
  <c r="C17" i="15"/>
  <c r="C14" i="67"/>
  <c r="C26" i="68" l="1"/>
  <c r="D22" i="68" s="1"/>
  <c r="C23" i="68"/>
  <c r="F41" i="68"/>
  <c r="C26" i="11"/>
  <c r="D22" i="11" s="1"/>
  <c r="C44" i="11"/>
  <c r="D41" i="11" s="1"/>
  <c r="D20" i="71"/>
  <c r="U20" i="71" s="1"/>
  <c r="C19" i="71"/>
  <c r="T20" i="7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20" i="9" s="1"/>
  <c r="C103" i="9" l="1"/>
  <c r="C102" i="9"/>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7"/>
  <c r="D2" i="36"/>
  <c r="D2" i="35"/>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1" i="1"/>
  <c r="AO12" i="1"/>
  <c r="AO9" i="1"/>
  <c r="AO6" i="1"/>
  <c r="AO8" i="1"/>
  <c r="AO10"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I118" i="9"/>
  <c r="I4" i="52" s="1"/>
  <c r="H102" i="9" l="1"/>
  <c r="E14" i="74" s="1"/>
  <c r="H118" i="9"/>
  <c r="H119" i="9" s="1"/>
  <c r="H5" i="52" s="1"/>
  <c r="G4" i="52"/>
  <c r="B52" i="72" s="1"/>
  <c r="F119" i="9"/>
  <c r="F5" i="52" s="1"/>
  <c r="B53" i="72" s="1"/>
  <c r="F4" i="52"/>
  <c r="B51" i="72" s="1"/>
  <c r="E118" i="9"/>
  <c r="C105" i="9"/>
  <c r="D7" i="53"/>
  <c r="B21" i="72" s="1"/>
  <c r="H4" i="52" l="1"/>
  <c r="H101" i="9"/>
  <c r="C104" i="9"/>
  <c r="D118" i="9"/>
  <c r="E4" i="52"/>
  <c r="B48" i="72" s="1"/>
  <c r="H107" i="9"/>
  <c r="G14" i="74" s="1"/>
  <c r="B6" i="74" s="1"/>
  <c r="D6" i="74" s="1"/>
  <c r="M48" i="9"/>
  <c r="D45" i="9" l="1"/>
  <c r="C93" i="9" s="1"/>
  <c r="C86" i="9" s="1"/>
  <c r="D14" i="74"/>
  <c r="D5" i="53"/>
  <c r="D6" i="53" s="1"/>
  <c r="B22" i="72" s="1"/>
  <c r="D52" i="9"/>
  <c r="C64" i="9"/>
  <c r="C63" i="9" s="1"/>
  <c r="C67" i="9" s="1"/>
  <c r="D55" i="9"/>
  <c r="M53" i="9" s="1"/>
  <c r="C78" i="9"/>
  <c r="C73" i="9" s="1"/>
  <c r="C72" i="9"/>
  <c r="D53" i="9"/>
  <c r="D13" i="53"/>
  <c r="H108" i="9"/>
  <c r="M49" i="9"/>
  <c r="D122" i="9"/>
  <c r="D4" i="52"/>
  <c r="B47" i="72" s="1"/>
  <c r="D119" i="9"/>
  <c r="D5" i="52" s="1"/>
  <c r="B49" i="72" s="1"/>
  <c r="B20" i="72" l="1"/>
  <c r="C85" i="9"/>
  <c r="C95" i="9"/>
  <c r="B5" i="74"/>
  <c r="F14" i="74"/>
  <c r="D15" i="53"/>
  <c r="B31" i="72" s="1"/>
  <c r="C6" i="74"/>
  <c r="B30" i="72"/>
  <c r="D14" i="53"/>
  <c r="B32" i="72" s="1"/>
  <c r="D123" i="9"/>
  <c r="D9" i="52" s="1"/>
  <c r="D8" i="52"/>
  <c r="L63" i="9"/>
  <c r="M63" i="9" s="1"/>
  <c r="L64" i="9"/>
  <c r="M64" i="9" s="1"/>
  <c r="L66" i="9"/>
  <c r="M66" i="9" s="1"/>
  <c r="L67" i="9"/>
  <c r="M67" i="9" s="1"/>
  <c r="L68" i="9"/>
  <c r="M68" i="9" s="1"/>
  <c r="L65" i="9"/>
  <c r="M65" i="9" s="1"/>
  <c r="C79" i="9"/>
  <c r="C68" i="9"/>
  <c r="D54" i="9" s="1"/>
  <c r="D59" i="9"/>
  <c r="M55" i="9" s="1"/>
  <c r="C96" i="9"/>
  <c r="E96" i="9" s="1"/>
  <c r="E97" i="9" s="1"/>
  <c r="D5" i="74" l="1"/>
  <c r="C5" i="74"/>
  <c r="M69" i="9"/>
  <c r="N69" i="9" s="1"/>
  <c r="C97" i="9"/>
  <c r="D58" i="9" s="1"/>
  <c r="D56" i="9" s="1"/>
  <c r="M54" i="9" s="1"/>
  <c r="N57" i="9" s="1"/>
  <c r="P57" i="9" s="1"/>
  <c r="C80" i="9"/>
  <c r="E80" i="9" s="1"/>
  <c r="E81" i="9" s="1"/>
  <c r="C81" i="9" l="1"/>
  <c r="N58" i="9"/>
  <c r="N59" i="9"/>
  <c r="N60" i="9" s="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<sst xmlns="http://schemas.openxmlformats.org/spreadsheetml/2006/main" count="7913" uniqueCount="3458">
  <si>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</si>
  <si>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</si>
  <si>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</si>
  <si>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</si>
  <si>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</si>
  <si>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</si>
  <si>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</si>
  <si>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</si>
  <si>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</si>
  <si>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</si>
  <si>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</si>
  <si>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</si>
  <si>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</si>
  <si>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</si>
  <si>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</si>
  <si>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</si>
  <si>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</si>
  <si>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</si>
  <si>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</si>
  <si>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</si>
  <si>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</si>
  <si>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</si>
  <si>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</si>
  <si>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</si>
  <si>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</si>
  <si>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</si>
  <si>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</si>
  <si>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</si>
  <si>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</si>
  <si>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</si>
  <si>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</si>
  <si>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</si>
  <si>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</si>
  <si>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</si>
  <si>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</si>
  <si>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</si>
  <si>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</si>
  <si>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</si>
  <si>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</si>
  <si>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</si>
  <si>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</si>
  <si>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</si>
  <si>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</si>
  <si>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</si>
  <si>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</si>
  <si>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</si>
  <si>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</si>
  <si>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</si>
  <si>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</si>
  <si>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</si>
  <si>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</si>
  <si>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</si>
  <si>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</si>
  <si>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</si>
  <si>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</si>
  <si>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</si>
  <si>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</si>
  <si>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</si>
  <si>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</si>
  <si>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</si>
  <si>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</si>
  <si>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</si>
  <si>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</si>
  <si>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</si>
  <si>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</si>
  <si>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</si>
  <si>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</si>
  <si>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</si>
  <si>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</si>
  <si>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</si>
  <si>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</si>
  <si>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</si>
  <si>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</si>
  <si>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</si>
  <si>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</si>
  <si>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</si>
  <si>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</si>
  <si>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</si>
  <si>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</si>
  <si>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</si>
  <si>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</si>
  <si>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</si>
  <si>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</si>
  <si>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</si>
  <si>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</si>
  <si>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</si>
  <si>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</si>
  <si>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</si>
  <si>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</si>
  <si>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</si>
  <si>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</si>
  <si>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</si>
  <si>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</si>
  <si>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</si>
  <si>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</si>
  <si>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</si>
  <si>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</si>
  <si>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</si>
  <si>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</si>
  <si>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</si>
  <si>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</si>
  <si>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</si>
  <si>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</si>
  <si>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</si>
  <si>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</si>
  <si>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</si>
  <si>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</si>
  <si>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</si>
  <si>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</si>
  <si>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</si>
  <si>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</si>
  <si>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</si>
  <si>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</si>
  <si>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</si>
  <si>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</si>
  <si>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</si>
  <si>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</si>
  <si>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</si>
  <si>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</si>
  <si>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</si>
  <si>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</si>
  <si>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</si>
  <si>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</si>
  <si>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</si>
  <si>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</si>
  <si>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</si>
  <si>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</si>
  <si>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</si>
  <si>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</si>
  <si>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</si>
  <si>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</si>
  <si>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</si>
  <si>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</si>
  <si>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</si>
  <si>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</si>
  <si>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</si>
  <si>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</si>
  <si>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</si>
  <si>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</si>
  <si>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</si>
  <si>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</si>
  <si>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</si>
  <si>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</si>
  <si>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</si>
  <si>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</si>
  <si>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</si>
  <si>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</si>
  <si>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</si>
  <si>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</si>
  <si>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</si>
  <si>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</si>
  <si>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</si>
  <si>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</si>
  <si>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</si>
  <si>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</si>
  <si>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</si>
  <si>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</si>
  <si>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</si>
  <si>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</si>
  <si>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</si>
  <si>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</si>
  <si>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</si>
  <si>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</si>
  <si>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</si>
  <si>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</si>
  <si>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</si>
  <si>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</si>
  <si>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</si>
  <si>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</si>
  <si>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</si>
  <si>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</si>
  <si>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</si>
  <si>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</si>
  <si>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</si>
  <si>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</si>
  <si>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</si>
  <si>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</si>
  <si>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</si>
  <si>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</si>
  <si>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</si>
  <si>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</si>
  <si>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</si>
  <si>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</si>
  <si>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</si>
  <si>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</si>
  <si>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</si>
  <si>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</si>
  <si>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</si>
  <si>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</si>
  <si>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</si>
  <si>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</si>
  <si>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</si>
  <si>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</si>
  <si>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</si>
  <si>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</si>
  <si>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</si>
  <si>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</si>
  <si>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</si>
  <si>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</si>
  <si>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</si>
  <si>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</si>
  <si>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</si>
  <si>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</si>
  <si>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</si>
  <si>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</si>
  <si>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</si>
  <si>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</si>
  <si>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</si>
  <si>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</si>
  <si>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</si>
  <si>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</si>
  <si>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</si>
  <si>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</si>
  <si>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</si>
  <si>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</si>
  <si>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</si>
  <si>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</si>
  <si>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</si>
  <si>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</si>
  <si>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</si>
  <si>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</si>
  <si>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</si>
  <si>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</si>
  <si>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</si>
  <si>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</si>
  <si>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</si>
  <si>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</si>
  <si>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</si>
  <si>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</si>
  <si>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</si>
  <si>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</si>
  <si>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</si>
  <si>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</si>
  <si>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</si>
  <si>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</si>
  <si>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</si>
  <si>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</si>
  <si>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</si>
  <si>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</si>
  <si>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</si>
  <si>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</si>
  <si>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</si>
  <si>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</si>
  <si>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</si>
  <si>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</si>
  <si>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</si>
  <si>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</si>
  <si>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</si>
  <si>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</si>
  <si>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</si>
  <si>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</si>
  <si>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</si>
  <si>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</si>
  <si>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</si>
  <si>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</si>
  <si>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</si>
  <si>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</si>
  <si>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</si>
  <si>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</si>
  <si>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</si>
  <si>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</si>
  <si>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</si>
  <si>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</si>
  <si>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</si>
  <si>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</si>
  <si>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</si>
  <si>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</si>
  <si>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</si>
  <si>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</si>
  <si>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</si>
  <si>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</si>
  <si>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</si>
  <si>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</si>
  <si>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</si>
  <si>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</si>
  <si>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</si>
  <si>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</si>
  <si>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</si>
  <si>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</si>
  <si>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</si>
  <si>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</si>
  <si>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</si>
  <si>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</si>
  <si>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</si>
  <si>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</si>
  <si>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</si>
  <si>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</si>
  <si>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</si>
  <si>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</si>
  <si>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</si>
  <si>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</si>
  <si>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</si>
  <si>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</si>
  <si>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</si>
  <si>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</si>
  <si>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</si>
  <si>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</si>
  <si>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</si>
  <si>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</si>
  <si>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</si>
  <si>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</si>
  <si>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</si>
  <si>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</si>
  <si>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</si>
  <si>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</si>
  <si>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</si>
  <si>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</si>
  <si>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</si>
  <si>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</si>
  <si>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</si>
  <si>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</si>
  <si>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</si>
  <si>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</si>
  <si>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</si>
  <si>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</si>
  <si>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</si>
  <si>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</si>
  <si>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</si>
  <si>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</si>
  <si>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</si>
  <si>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</si>
  <si>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</si>
  <si>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</si>
  <si>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</si>
  <si>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</si>
  <si>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</si>
  <si>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</si>
  <si>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</si>
  <si>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</si>
  <si>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</si>
  <si>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</si>
  <si>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</si>
  <si>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</si>
  <si>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</si>
  <si>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</si>
  <si>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</si>
  <si>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</si>
  <si>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</si>
  <si>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</si>
  <si>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</si>
  <si>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</si>
  <si>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</si>
  <si>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</si>
  <si>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</si>
  <si>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</si>
  <si>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</si>
  <si>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</si>
  <si>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</si>
  <si>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</si>
  <si>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</si>
  <si>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</si>
  <si>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</si>
  <si>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</si>
  <si>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</si>
  <si>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</si>
  <si>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</si>
  <si>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</si>
  <si>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</si>
  <si>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</si>
  <si>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</si>
  <si>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</si>
  <si>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</si>
  <si>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</si>
  <si>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</si>
  <si>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</si>
  <si>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</si>
  <si>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</si>
  <si>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</si>
  <si>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</si>
  <si>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</si>
  <si>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</si>
  <si>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</si>
  <si>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</si>
  <si>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</si>
  <si>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</si>
  <si>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</si>
  <si>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</si>
  <si>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</si>
  <si>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</si>
  <si>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</si>
  <si>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</si>
  <si>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</si>
  <si>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</si>
  <si>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</si>
  <si>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</si>
  <si>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</si>
  <si>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</si>
  <si>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</si>
  <si>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</si>
  <si>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</si>
  <si>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</si>
  <si>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</si>
  <si>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</si>
  <si>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</si>
  <si>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</si>
  <si>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</si>
  <si>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</si>
  <si>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</si>
  <si>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</si>
  <si>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</si>
  <si>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</si>
  <si>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</si>
  <si>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</si>
  <si>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</si>
  <si>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</si>
  <si>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</si>
  <si>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</si>
  <si>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</si>
  <si>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</si>
  <si>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</si>
  <si>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</si>
  <si>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</si>
  <si>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</si>
  <si>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</si>
  <si>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</si>
  <si>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</si>
  <si>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</si>
  <si>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</si>
  <si>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</si>
  <si>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</si>
  <si>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</si>
  <si>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</si>
  <si>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</si>
  <si>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</si>
  <si>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</si>
  <si>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</si>
  <si>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</si>
  <si>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</si>
  <si>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</si>
  <si>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</si>
  <si>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</si>
  <si>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</si>
  <si>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</si>
  <si>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</si>
  <si>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</si>
  <si>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</si>
  <si>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</si>
  <si>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</si>
  <si>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</si>
  <si>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</si>
  <si>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</si>
  <si>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</si>
  <si>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</si>
  <si>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</si>
  <si>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</si>
  <si>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</si>
  <si>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</si>
  <si>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</si>
  <si>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</si>
  <si>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</si>
  <si>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</si>
  <si>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</si>
  <si>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</si>
  <si>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</si>
  <si>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</si>
  <si>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</si>
  <si>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</si>
  <si>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</si>
  <si>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</si>
  <si>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</si>
  <si>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</si>
  <si>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</si>
  <si>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</si>
  <si>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</si>
  <si>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</si>
  <si>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</si>
  <si>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</si>
  <si>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</si>
  <si>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</si>
  <si>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</si>
  <si>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</si>
  <si>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</si>
  <si>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</si>
  <si>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</si>
  <si>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</si>
  <si>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</si>
  <si>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</si>
  <si>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</si>
  <si>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</si>
  <si>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</si>
  <si>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</si>
  <si>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</si>
  <si>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</si>
  <si>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</si>
  <si>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</si>
  <si>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</si>
  <si>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</si>
  <si>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</si>
  <si>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</si>
  <si>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</si>
  <si>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</si>
  <si>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</si>
  <si>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</si>
  <si>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</si>
  <si>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</si>
  <si>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</si>
  <si>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</si>
  <si>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</si>
  <si>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</si>
  <si>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</si>
  <si>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</si>
  <si>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</si>
  <si>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</si>
  <si>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</si>
  <si>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</si>
  <si>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</si>
  <si>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</si>
  <si>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</si>
  <si>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</si>
  <si>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</si>
  <si>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</si>
  <si>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</si>
  <si>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</si>
  <si>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</si>
  <si>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</si>
  <si>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</si>
  <si>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</si>
  <si>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</si>
  <si>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</si>
  <si>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</si>
  <si>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</si>
  <si>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</si>
  <si>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</si>
  <si>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</si>
  <si>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</si>
  <si>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</si>
  <si>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</si>
  <si>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</si>
  <si>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</si>
  <si>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</si>
  <si>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</si>
  <si>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</si>
  <si>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</si>
  <si>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</si>
  <si>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</si>
  <si>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</si>
  <si>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</si>
  <si>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</si>
  <si>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</si>
  <si>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</si>
  <si>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</si>
  <si>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</si>
  <si>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</si>
  <si>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</si>
  <si>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</si>
  <si>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</si>
  <si>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</si>
  <si>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</si>
  <si>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</si>
  <si>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</si>
  <si>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</si>
  <si>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</si>
  <si>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</si>
  <si>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</si>
  <si>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</si>
  <si>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</si>
  <si>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</si>
  <si>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</si>
  <si>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</si>
  <si>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</si>
  <si>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</si>
  <si>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</si>
  <si>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</si>
  <si>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</si>
  <si>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</si>
  <si>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</si>
  <si>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</si>
  <si>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</si>
  <si>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</si>
  <si>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</si>
  <si>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</si>
  <si>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</si>
  <si>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</si>
  <si>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</si>
  <si>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</si>
  <si>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</si>
  <si>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</si>
  <si>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</si>
  <si>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</si>
  <si>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</si>
  <si>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</si>
  <si>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</si>
  <si>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</si>
  <si>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</si>
  <si>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</si>
  <si>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</si>
  <si>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</si>
  <si>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</si>
  <si>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</si>
  <si>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</si>
  <si>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</si>
  <si>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</si>
  <si>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</si>
  <si>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</si>
  <si>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</si>
  <si>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</si>
  <si>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</si>
  <si>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</si>
  <si>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</si>
  <si>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</si>
  <si>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</si>
  <si>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</si>
  <si>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</si>
  <si>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</si>
  <si>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</si>
  <si>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</si>
  <si>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</si>
  <si>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</si>
  <si>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</si>
  <si>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</si>
  <si>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</si>
  <si>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</si>
  <si>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</si>
  <si>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</si>
  <si>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</si>
  <si>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</si>
  <si>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</si>
  <si>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</si>
  <si>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</si>
  <si>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</si>
  <si>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</si>
  <si>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</si>
  <si>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</si>
  <si>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</si>
  <si>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</si>
  <si>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</si>
  <si>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</si>
  <si>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</si>
  <si>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</si>
  <si>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</si>
  <si>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</si>
  <si>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</si>
  <si>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</si>
  <si>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</si>
  <si>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</si>
  <si>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</si>
  <si>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</si>
  <si>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</si>
  <si>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</si>
  <si>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</si>
  <si>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</si>
  <si>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</si>
  <si>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</si>
  <si>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</si>
  <si>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</si>
  <si>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</si>
  <si>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</si>
  <si>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</si>
  <si>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</si>
  <si>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</si>
  <si>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</si>
  <si>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</si>
  <si>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</si>
  <si>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</si>
  <si>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</si>
  <si>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</si>
  <si>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</si>
  <si>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</si>
  <si>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</si>
  <si>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</si>
  <si>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</si>
  <si>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</si>
  <si>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</si>
  <si>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</si>
  <si>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</si>
  <si>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</si>
  <si>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</si>
  <si>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</si>
  <si>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</si>
  <si>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</si>
  <si>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</si>
  <si>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</si>
  <si>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</si>
  <si>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</si>
  <si>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</si>
  <si>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</si>
  <si>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</si>
  <si>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</si>
  <si>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</si>
  <si>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</si>
  <si>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</si>
  <si>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</si>
  <si>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</si>
  <si>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</si>
  <si>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</si>
  <si>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</si>
  <si>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</si>
  <si>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</si>
  <si>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</si>
  <si>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</si>
  <si>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</si>
  <si>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</si>
  <si>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</si>
  <si>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</si>
  <si>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</si>
  <si>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</si>
  <si>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</si>
  <si>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</si>
  <si>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</si>
  <si>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</si>
  <si>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</si>
  <si>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</si>
  <si>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</si>
  <si>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</si>
  <si>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</si>
  <si>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</si>
  <si>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</si>
  <si>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</si>
  <si>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</si>
  <si>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</si>
  <si>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</si>
  <si>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</si>
  <si>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</si>
  <si>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</si>
  <si>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</si>
  <si>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</si>
  <si>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</si>
  <si>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</si>
  <si>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</si>
  <si>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</si>
  <si>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</si>
  <si>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</si>
  <si>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</si>
  <si>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</si>
  <si>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</si>
  <si>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</si>
  <si>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</si>
  <si>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</si>
  <si>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</si>
  <si>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</si>
  <si>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</si>
  <si>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</si>
  <si>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</si>
  <si>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</si>
  <si>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</si>
  <si>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</si>
  <si>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</si>
  <si>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</si>
  <si>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</si>
  <si>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</si>
  <si>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</si>
  <si>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</si>
  <si>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</si>
  <si>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</si>
  <si>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</si>
  <si>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</si>
  <si>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</si>
  <si>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</si>
  <si>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</si>
  <si>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</si>
  <si>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</si>
  <si>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</si>
  <si>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</si>
  <si>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</si>
  <si>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</si>
  <si>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</si>
  <si>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</si>
  <si>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</si>
  <si>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</si>
  <si>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</si>
  <si>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</si>
  <si>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</si>
  <si>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</si>
  <si>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</si>
  <si>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</si>
  <si>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</si>
  <si>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</si>
  <si>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</si>
  <si>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</si>
  <si>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</si>
  <si>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</si>
  <si>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</si>
  <si>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</si>
  <si>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</si>
  <si>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</si>
  <si>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</si>
  <si>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</si>
  <si>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</si>
  <si>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</si>
  <si>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</si>
  <si>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</si>
  <si>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</si>
  <si>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</si>
  <si>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</si>
  <si>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</si>
  <si>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</si>
  <si>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</si>
  <si>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</si>
  <si>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</si>
  <si>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</si>
  <si>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</si>
  <si>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</si>
  <si>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</si>
  <si>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</si>
  <si>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</si>
  <si>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</si>
  <si>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</si>
  <si>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</si>
  <si>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</si>
  <si>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</si>
  <si>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</si>
  <si>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</si>
  <si>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</si>
  <si>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</si>
  <si>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</si>
  <si>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</si>
  <si>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</si>
  <si>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</si>
  <si>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</si>
  <si>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</si>
  <si>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</si>
  <si>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</si>
  <si>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</si>
  <si>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</si>
  <si>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</si>
  <si>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</si>
  <si>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</si>
  <si>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</si>
  <si>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</si>
  <si>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</si>
  <si>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</si>
  <si>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</si>
  <si>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</si>
  <si>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</si>
  <si>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</si>
  <si>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</si>
  <si>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</si>
  <si>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</si>
  <si>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</si>
  <si>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</si>
  <si>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</si>
  <si>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</si>
  <si>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</si>
  <si>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</si>
  <si>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</si>
  <si>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</si>
  <si>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</si>
  <si>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</si>
  <si>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</si>
  <si>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</si>
  <si>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</si>
  <si>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</si>
  <si>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</si>
  <si>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</si>
  <si>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</si>
  <si>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</si>
  <si>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</si>
  <si>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</si>
  <si>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</si>
  <si>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</si>
  <si>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</si>
  <si>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</si>
  <si>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</si>
  <si>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</si>
  <si>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</si>
  <si>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</si>
  <si>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</si>
  <si>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</si>
  <si>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</si>
  <si>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</si>
  <si>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</si>
  <si>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</si>
  <si>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</si>
  <si>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</si>
  <si>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</si>
  <si>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</si>
  <si>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</si>
  <si>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</si>
  <si>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</si>
  <si>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</si>
  <si>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</si>
  <si>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</si>
  <si>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</si>
  <si>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</si>
  <si>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</si>
  <si>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</si>
  <si>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</si>
  <si>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</si>
  <si>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</si>
  <si>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</si>
  <si>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</si>
  <si>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</si>
  <si>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</si>
  <si>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</si>
  <si>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</si>
  <si>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</si>
  <si>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</si>
  <si>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</si>
  <si>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</si>
  <si>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</si>
  <si>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</si>
  <si>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</si>
  <si>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</si>
  <si>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</si>
  <si>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</si>
  <si>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</si>
  <si>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</si>
  <si>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</si>
  <si>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</si>
  <si>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</si>
  <si>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</si>
  <si>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</si>
  <si>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</si>
  <si>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</si>
  <si>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</si>
  <si>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</si>
  <si>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</si>
  <si>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</si>
  <si>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</si>
  <si>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</si>
  <si>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</si>
  <si>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</si>
  <si>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</si>
  <si>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</si>
  <si>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</si>
  <si>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</si>
  <si>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</si>
  <si>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</si>
  <si>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</si>
  <si>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</si>
  <si>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</si>
  <si>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</si>
  <si>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</si>
  <si>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</si>
  <si>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</si>
  <si>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</si>
  <si>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</si>
  <si>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</si>
  <si>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</si>
  <si>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</si>
  <si>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</si>
  <si>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</si>
  <si>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</si>
  <si>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</si>
  <si>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</si>
  <si>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</si>
  <si>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</si>
  <si>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</si>
  <si>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</si>
  <si>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</si>
  <si>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</si>
  <si>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</si>
  <si>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</si>
  <si>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</si>
  <si>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</si>
  <si>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</si>
  <si>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</si>
  <si>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</si>
  <si>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</si>
  <si>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</si>
  <si>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</si>
  <si>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</si>
  <si>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</si>
  <si>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</si>
  <si>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</si>
  <si>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</si>
  <si>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</si>
  <si>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</si>
  <si>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</si>
  <si>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</si>
  <si>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</si>
  <si>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</si>
  <si>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</si>
  <si>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</si>
  <si>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</si>
  <si>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</si>
  <si>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</si>
  <si>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</si>
  <si>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</si>
  <si>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</si>
  <si>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</si>
  <si>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</si>
  <si>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</si>
  <si>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</si>
  <si>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</si>
  <si>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</si>
  <si>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</si>
  <si>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</si>
  <si>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</si>
  <si>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</si>
  <si>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</si>
  <si>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</si>
  <si>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</si>
  <si>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</si>
  <si>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</si>
  <si>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</si>
  <si>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</si>
  <si>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</si>
  <si>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</si>
  <si>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</si>
  <si>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</si>
  <si>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</si>
  <si>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</si>
  <si>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</si>
  <si>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</si>
  <si>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</si>
  <si>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</si>
  <si>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</si>
  <si>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</si>
  <si>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</si>
  <si>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</si>
  <si>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</si>
  <si>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</si>
  <si>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</si>
  <si>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</si>
  <si>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</si>
  <si>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</si>
  <si>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</si>
  <si>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</si>
  <si>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</si>
  <si>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</si>
  <si>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</si>
  <si>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</si>
  <si>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</si>
  <si>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</si>
  <si>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</si>
  <si>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</si>
  <si>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</si>
  <si>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</si>
  <si>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</si>
  <si>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</si>
  <si>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</si>
  <si>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</si>
  <si>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</si>
  <si>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</si>
  <si>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</si>
  <si>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</si>
  <si>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</si>
  <si>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</si>
  <si>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</si>
  <si>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</si>
  <si>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</si>
  <si>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</si>
  <si>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</si>
  <si>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</si>
  <si>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</si>
  <si>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</si>
  <si>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</si>
  <si>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</si>
  <si>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</si>
  <si>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</si>
  <si>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</si>
  <si>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</si>
  <si>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</si>
  <si>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</si>
  <si>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</si>
  <si>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</si>
  <si>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</si>
  <si>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</si>
  <si>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</si>
  <si>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</si>
  <si>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</si>
  <si>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</si>
  <si>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</si>
  <si>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</si>
  <si>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</si>
  <si>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</si>
  <si>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</si>
  <si>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</si>
  <si>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</si>
  <si>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</si>
  <si>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</si>
  <si>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</si>
  <si>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</si>
  <si>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</si>
  <si>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</si>
  <si>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</si>
  <si>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</si>
  <si>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</si>
  <si>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</si>
  <si>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</si>
  <si>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</si>
  <si>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</si>
  <si>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</si>
  <si>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</si>
  <si>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</si>
  <si>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</si>
  <si>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</si>
  <si>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</si>
  <si>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</si>
  <si>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</si>
  <si>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</si>
  <si>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</si>
  <si>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</si>
  <si>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</si>
  <si>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</si>
  <si>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</si>
  <si>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</si>
  <si>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</si>
  <si>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</si>
  <si>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</si>
  <si>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</si>
  <si>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</si>
  <si>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</si>
  <si>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</si>
  <si>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</si>
  <si>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</si>
  <si>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</si>
  <si>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</si>
  <si>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</si>
  <si>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</si>
  <si>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</si>
  <si>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</si>
  <si>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</si>
  <si>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</si>
  <si>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</si>
  <si>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</si>
  <si>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</si>
  <si>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</si>
  <si>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</si>
  <si>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</si>
  <si>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</si>
  <si>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</si>
  <si>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</si>
  <si>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</si>
  <si>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</si>
  <si>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</si>
  <si>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</si>
  <si>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</si>
  <si>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</si>
  <si>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</si>
  <si>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</si>
  <si>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</si>
  <si>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</si>
  <si>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</si>
  <si>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</si>
  <si>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</si>
  <si>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</si>
  <si>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</si>
  <si>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</si>
  <si>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</si>
  <si>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</si>
  <si>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</si>
  <si>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</si>
  <si>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</si>
  <si>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</si>
  <si>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</si>
  <si>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</si>
  <si>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</si>
  <si>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</si>
  <si>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</si>
  <si>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</si>
  <si>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</si>
  <si>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</si>
  <si>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</si>
  <si>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</si>
  <si>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</si>
  <si>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</si>
  <si>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</si>
  <si>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</si>
  <si>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</si>
  <si>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</si>
  <si>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</si>
  <si>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</si>
  <si>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</si>
  <si>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</si>
  <si>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</si>
  <si>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</si>
  <si>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</si>
  <si>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</si>
  <si>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</si>
  <si>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</si>
  <si>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</si>
  <si>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</si>
  <si>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</si>
  <si>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</si>
  <si>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</si>
  <si>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</si>
  <si>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</si>
  <si>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</si>
  <si>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</si>
  <si>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</si>
  <si>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</si>
  <si>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</si>
  <si>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</si>
  <si>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</si>
  <si>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</si>
  <si>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</si>
  <si>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</si>
  <si>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</si>
  <si>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</si>
  <si>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</si>
  <si>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</si>
  <si>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</si>
  <si>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</si>
  <si>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</si>
  <si>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</si>
  <si>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</si>
  <si>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</si>
  <si>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</si>
  <si>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</si>
  <si>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</si>
  <si>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</si>
  <si>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</si>
  <si>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</si>
  <si>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</si>
  <si>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</si>
  <si>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</si>
  <si>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</si>
  <si>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</si>
  <si>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</si>
  <si>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</si>
  <si>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</si>
  <si>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</si>
  <si>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</si>
  <si>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</si>
  <si>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</si>
  <si>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</si>
  <si>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</si>
  <si>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</si>
  <si>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</si>
  <si>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</si>
  <si>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</si>
  <si>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</si>
  <si>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</si>
  <si>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</si>
  <si>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</si>
  <si>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</si>
  <si>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</si>
  <si>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</si>
  <si>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</si>
  <si>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</si>
  <si>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</si>
  <si>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</si>
  <si>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</si>
  <si>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</si>
  <si>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</si>
  <si>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</si>
  <si>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</si>
  <si>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</si>
  <si>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</si>
  <si>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</si>
  <si>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</si>
  <si>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</si>
  <si>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</si>
  <si>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</si>
  <si>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</si>
  <si>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</si>
  <si>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</si>
  <si>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</si>
  <si>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</si>
  <si>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</si>
  <si>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</si>
  <si>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</si>
  <si>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</si>
  <si>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</si>
  <si>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</si>
  <si>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</si>
  <si>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</si>
  <si>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</si>
  <si>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</si>
  <si>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</si>
  <si>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</si>
  <si>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</si>
  <si>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</si>
  <si>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</si>
  <si>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</si>
  <si>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</si>
  <si>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</si>
  <si>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</si>
  <si>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</si>
  <si>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</si>
  <si>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</si>
  <si>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</si>
  <si>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</si>
  <si>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</si>
  <si>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</si>
  <si>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</si>
  <si>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</si>
  <si>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</si>
  <si>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</si>
  <si>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</si>
  <si>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</si>
  <si>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</si>
  <si>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</si>
  <si>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</si>
  <si>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</si>
  <si>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</si>
  <si>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</si>
  <si>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</si>
  <si>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</si>
  <si>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</si>
  <si>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</si>
  <si>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</si>
  <si>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</si>
  <si>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</si>
  <si>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</si>
  <si>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</si>
  <si>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</si>
  <si>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</si>
  <si>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</si>
  <si>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</si>
  <si>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</si>
  <si>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</si>
  <si>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</si>
  <si>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</si>
  <si>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</si>
  <si>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</si>
  <si>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</si>
  <si>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</si>
  <si>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</si>
  <si>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</si>
  <si>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</si>
  <si>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</si>
  <si>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</si>
  <si>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</si>
  <si>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</si>
  <si>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</si>
  <si>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</si>
  <si>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</si>
  <si>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</si>
  <si>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</si>
  <si>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</si>
  <si>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</si>
  <si>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</si>
  <si>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</si>
  <si>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</si>
  <si>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</si>
  <si>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</si>
  <si>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</si>
  <si>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</si>
  <si>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</si>
  <si>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</si>
  <si>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</si>
  <si>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</si>
  <si>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</si>
  <si>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</si>
  <si>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</si>
  <si>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</si>
  <si>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</si>
  <si>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</si>
  <si>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</si>
  <si>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</si>
  <si>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</si>
  <si>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</si>
  <si>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</si>
  <si>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</si>
  <si>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</si>
  <si>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</si>
  <si>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</si>
  <si>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</si>
  <si>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</si>
  <si>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</si>
  <si>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</si>
  <si>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</si>
  <si>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</si>
  <si>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</si>
  <si>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</si>
  <si>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</si>
  <si>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</si>
  <si>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</si>
  <si>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</si>
  <si>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</si>
  <si>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</si>
  <si>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</si>
  <si>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</si>
  <si>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</si>
  <si>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</si>
  <si>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</si>
  <si>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</si>
  <si>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</si>
  <si>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</si>
  <si>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</si>
  <si>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</si>
  <si>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</si>
  <si>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</si>
  <si>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</si>
  <si>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</si>
  <si>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</si>
  <si>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</si>
  <si>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</si>
  <si>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</si>
  <si>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</si>
  <si>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</si>
  <si>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</si>
  <si>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</si>
  <si>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</si>
  <si>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</si>
  <si>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</si>
  <si>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</si>
  <si>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</si>
  <si>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</si>
  <si>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</si>
  <si>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</si>
  <si>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</si>
  <si>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</si>
  <si>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</si>
  <si>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</si>
  <si>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</si>
  <si>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</si>
  <si>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</si>
  <si>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</si>
  <si>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</si>
  <si>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</si>
  <si>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</si>
  <si>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</si>
  <si>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</si>
  <si>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</si>
  <si>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</si>
  <si>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</si>
  <si>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</si>
  <si>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</si>
  <si>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</si>
  <si>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</si>
  <si>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</si>
  <si>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</si>
  <si>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</si>
  <si>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</si>
  <si>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</si>
  <si>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</si>
  <si>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</si>
  <si>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</si>
  <si>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</si>
  <si>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</si>
  <si>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</si>
  <si>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</si>
  <si>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</si>
  <si>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</si>
  <si>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</si>
  <si>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</si>
  <si>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</si>
  <si>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</si>
  <si>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</si>
  <si>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</si>
  <si>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</si>
  <si>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</si>
  <si>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</si>
  <si>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</si>
  <si>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</si>
  <si>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</si>
  <si>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</si>
  <si>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</si>
  <si>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</si>
  <si>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</si>
  <si>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</si>
  <si>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</si>
  <si>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</si>
  <si>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</si>
  <si>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</si>
  <si>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</si>
  <si>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</si>
  <si>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</si>
  <si>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</si>
  <si>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</si>
  <si>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</si>
  <si>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</si>
  <si>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</si>
  <si>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</si>
  <si>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</si>
  <si>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</si>
  <si>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</si>
  <si>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</si>
  <si>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</si>
  <si>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</si>
  <si>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</si>
  <si>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</si>
  <si>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</si>
  <si>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</si>
  <si>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</si>
  <si>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</si>
  <si>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</si>
  <si>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</si>
  <si>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</si>
  <si>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</si>
  <si>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</si>
  <si>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</si>
  <si>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</si>
  <si>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</si>
  <si>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</si>
  <si>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</si>
  <si>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</si>
  <si>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</si>
  <si>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</si>
  <si>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</si>
  <si>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</si>
  <si>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</si>
  <si>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</si>
  <si>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</si>
  <si>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</si>
  <si>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</si>
  <si>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</si>
  <si>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</si>
  <si>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</si>
  <si>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</si>
  <si>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</si>
  <si>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</si>
  <si>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</si>
  <si>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</si>
  <si>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</si>
  <si>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</si>
  <si>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</si>
  <si>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</si>
  <si>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</si>
  <si>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</si>
  <si>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</si>
  <si>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</si>
  <si>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</si>
  <si>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</si>
  <si>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</si>
  <si>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</si>
  <si>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</si>
  <si>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</si>
  <si>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</si>
  <si>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</si>
  <si>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</si>
  <si>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</si>
  <si>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</si>
  <si>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</si>
  <si>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</si>
  <si>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</si>
  <si>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</si>
  <si>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</si>
  <si>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</si>
  <si>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</si>
  <si>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</si>
  <si>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</si>
  <si>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</si>
  <si>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</si>
  <si>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</si>
  <si>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</si>
  <si>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</si>
  <si>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</si>
  <si>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</si>
  <si>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</si>
  <si>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</si>
  <si>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</si>
  <si>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</si>
  <si>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</si>
  <si>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</si>
  <si>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</si>
  <si>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</si>
  <si>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</si>
  <si>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</si>
  <si>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</si>
  <si>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</si>
  <si>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</si>
  <si>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</si>
  <si>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</si>
  <si>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</si>
  <si>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</si>
  <si>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</si>
  <si>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</si>
  <si>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</si>
  <si>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</si>
  <si>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</si>
  <si>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</si>
  <si>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</si>
  <si>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</si>
  <si>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</si>
  <si>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</si>
  <si>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</si>
  <si>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</si>
  <si>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</si>
  <si>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</si>
  <si>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</si>
  <si>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</si>
  <si>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</si>
  <si>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</si>
  <si>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</si>
  <si>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</si>
  <si>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</si>
  <si>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</si>
  <si>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</si>
  <si>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</si>
  <si>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</si>
  <si>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</si>
  <si>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</si>
  <si>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</si>
  <si>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</si>
  <si>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</si>
  <si>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</si>
  <si>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</si>
  <si>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</si>
  <si>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</si>
  <si>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</si>
  <si>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</si>
  <si>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</si>
  <si>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</si>
  <si>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</si>
  <si>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</si>
  <si>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</si>
  <si>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</si>
  <si>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</si>
  <si>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</si>
  <si>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</si>
  <si>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</si>
  <si>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</si>
  <si>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</si>
  <si>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</si>
  <si>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</si>
  <si>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</si>
  <si>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</si>
  <si>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</si>
  <si>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</si>
  <si>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</si>
  <si>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</si>
  <si>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</si>
  <si>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</si>
  <si>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</si>
  <si>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</si>
  <si>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</si>
  <si>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</si>
  <si>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</si>
  <si>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</si>
  <si>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</si>
  <si>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</si>
  <si>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</si>
  <si>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</si>
  <si>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</si>
  <si>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</si>
  <si>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</si>
  <si>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</si>
  <si>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</si>
  <si>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</si>
  <si>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</si>
  <si>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</si>
  <si>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</si>
  <si>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</si>
  <si>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</si>
  <si>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</si>
  <si>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</si>
  <si>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</si>
  <si>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</si>
  <si>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</si>
  <si>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</si>
  <si>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</si>
  <si>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</si>
  <si>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</si>
  <si>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</si>
  <si>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</si>
  <si>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</si>
  <si>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</si>
  <si>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</si>
  <si>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</si>
  <si>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</si>
  <si>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</si>
  <si>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</si>
  <si>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</si>
  <si>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</si>
  <si>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</si>
  <si>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</si>
  <si>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</si>
  <si>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</si>
  <si>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</si>
  <si>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</si>
  <si>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</si>
  <si>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</si>
  <si>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</si>
  <si>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</si>
  <si>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</si>
  <si>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</si>
  <si>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</si>
  <si>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</si>
  <si>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</si>
  <si>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</si>
  <si>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</si>
  <si>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</si>
  <si>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</si>
  <si>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</si>
  <si>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</si>
  <si>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</si>
  <si>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</si>
  <si>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</si>
  <si>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</si>
  <si>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</si>
  <si>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</si>
  <si>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</si>
  <si>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</si>
  <si>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</si>
  <si>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</si>
  <si>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</si>
  <si>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</si>
  <si>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</si>
  <si>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</si>
  <si>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</si>
  <si>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</si>
  <si>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</si>
  <si>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</si>
  <si>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</si>
  <si>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</si>
  <si>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</si>
  <si>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</si>
  <si>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</si>
  <si>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</si>
  <si>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</si>
  <si>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</si>
  <si>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</si>
  <si>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</si>
  <si>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</si>
  <si>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</si>
  <si>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</si>
  <si>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</si>
  <si>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</si>
  <si>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</si>
  <si>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</si>
  <si>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</si>
  <si>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</si>
  <si>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</si>
  <si>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</si>
  <si>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</si>
  <si>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</si>
  <si>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</si>
  <si>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</si>
  <si>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</si>
  <si>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</si>
  <si>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</si>
  <si>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</si>
  <si>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</si>
  <si>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</si>
  <si>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</si>
  <si>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</si>
  <si>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</si>
  <si>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</si>
  <si>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</si>
  <si>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</si>
  <si>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</si>
  <si>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</si>
  <si>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</si>
  <si>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</si>
  <si>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</si>
  <si>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</si>
  <si>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</si>
  <si>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</si>
  <si>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</si>
  <si>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</si>
  <si>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</si>
  <si>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</si>
  <si>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</si>
  <si>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</si>
  <si>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</si>
  <si>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</si>
  <si>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</si>
  <si>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</si>
  <si>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</si>
  <si>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</si>
  <si>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</si>
  <si>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</si>
  <si>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</si>
  <si>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</si>
  <si>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</si>
  <si>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</si>
  <si>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</si>
  <si>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</si>
  <si>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</si>
  <si>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</si>
  <si>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</si>
  <si>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</si>
  <si>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</si>
  <si>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</si>
  <si>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</si>
  <si>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</si>
  <si>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</si>
  <si>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</si>
  <si>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</si>
  <si>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</si>
  <si>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</si>
  <si>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</si>
  <si>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</si>
  <si>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</si>
  <si>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</si>
  <si>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</si>
  <si>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</si>
  <si>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</si>
  <si>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</si>
  <si>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</si>
  <si>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</si>
  <si>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</si>
  <si>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</si>
  <si>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</si>
  <si>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</si>
  <si>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</si>
  <si>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</si>
  <si>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</si>
  <si>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</si>
  <si>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</si>
  <si>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</si>
  <si>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</si>
  <si>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</si>
  <si>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</si>
  <si>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</si>
  <si>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</si>
  <si>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</si>
  <si>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</si>
  <si>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</si>
  <si>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</si>
  <si>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</si>
  <si>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</si>
  <si>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</si>
  <si>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</si>
  <si>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</si>
  <si>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</si>
  <si>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</si>
  <si>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</si>
  <si>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</si>
  <si>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</si>
  <si>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</si>
  <si>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</si>
  <si>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</si>
  <si>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</si>
  <si>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</si>
  <si>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</si>
  <si>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</si>
  <si>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</si>
  <si>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</si>
  <si>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</si>
  <si>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</si>
  <si>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</si>
  <si>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</si>
  <si>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</si>
  <si>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</si>
  <si>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</si>
  <si>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</si>
  <si>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</si>
  <si>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</si>
  <si>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</si>
  <si>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</si>
  <si>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</si>
  <si>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</si>
  <si>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</si>
  <si>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</si>
  <si>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</si>
  <si>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</si>
  <si>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</si>
  <si>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</si>
  <si>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</si>
  <si>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</si>
  <si>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</si>
  <si>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</si>
  <si>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</si>
  <si>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</si>
  <si>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</si>
  <si>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</si>
  <si>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</si>
  <si>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</si>
  <si>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</si>
  <si>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</si>
  <si>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</si>
  <si>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</si>
  <si>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</si>
  <si>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</si>
  <si>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</si>
  <si>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</si>
  <si>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</si>
  <si>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</si>
  <si>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</si>
  <si>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</si>
  <si>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</si>
  <si>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</si>
  <si>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</si>
  <si>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</si>
  <si>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</si>
  <si>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</si>
  <si>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</si>
  <si>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</si>
  <si>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</si>
  <si>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</si>
  <si>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</si>
  <si>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</si>
  <si>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</si>
  <si>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</si>
  <si>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</si>
  <si>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</si>
  <si>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</si>
  <si>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</si>
  <si>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</si>
  <si>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</si>
  <si>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</si>
  <si>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</si>
  <si>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</si>
  <si>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</si>
  <si>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</si>
  <si>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</si>
  <si>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</si>
  <si>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</si>
  <si>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</si>
  <si>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</si>
  <si>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</si>
  <si>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</si>
  <si>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</si>
  <si>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</si>
  <si>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</si>
  <si>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</si>
  <si>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</si>
  <si>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</si>
  <si>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</si>
  <si>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</si>
  <si>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</si>
  <si>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</si>
  <si>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</si>
  <si>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</si>
  <si>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</si>
  <si>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</si>
  <si>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</si>
  <si>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</si>
  <si>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</si>
  <si>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</si>
  <si>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</si>
  <si>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</si>
  <si>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</si>
  <si>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</si>
  <si>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</si>
  <si>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</si>
  <si>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</si>
  <si>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</si>
  <si>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</si>
  <si>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</si>
  <si>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</si>
  <si>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</si>
  <si>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</si>
  <si>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</si>
  <si>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</si>
  <si>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</si>
  <si>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</si>
  <si>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</si>
  <si>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</si>
  <si>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</si>
  <si>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</si>
  <si>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</si>
  <si>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</si>
  <si>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</si>
  <si>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</si>
  <si>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</si>
  <si>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</si>
  <si>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</si>
  <si>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</si>
  <si>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</si>
  <si>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</si>
  <si>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</si>
  <si>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</si>
  <si>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</si>
  <si>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</si>
  <si>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</si>
  <si>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</si>
  <si>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</si>
  <si>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</si>
  <si>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</si>
  <si>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</si>
  <si>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</si>
  <si>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</si>
  <si>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</si>
  <si>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</si>
  <si>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</si>
  <si>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</si>
  <si>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</si>
  <si>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</si>
  <si>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</si>
  <si>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</si>
  <si>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</si>
  <si>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</si>
  <si>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</si>
  <si>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</si>
  <si>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</si>
  <si>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</si>
  <si>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</si>
  <si>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</si>
  <si>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</si>
  <si>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</si>
  <si>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</si>
  <si>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</si>
  <si>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</si>
  <si>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</si>
  <si>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</si>
  <si>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</si>
  <si>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</si>
  <si>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</si>
  <si>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</si>
  <si>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</si>
  <si>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</si>
  <si>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</si>
  <si>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</si>
  <si>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</si>
  <si>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</si>
  <si>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</si>
  <si>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</si>
  <si>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</si>
  <si>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</si>
  <si>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</si>
  <si>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</si>
  <si>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</si>
  <si>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</si>
  <si>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</si>
  <si>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</si>
  <si>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</si>
  <si>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</si>
  <si>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</si>
  <si>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</si>
  <si>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</si>
  <si>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</si>
  <si>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</si>
  <si>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</si>
  <si>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</si>
  <si>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</si>
  <si>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</si>
  <si>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</si>
  <si>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</si>
  <si>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</si>
  <si>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</si>
  <si>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</si>
  <si>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</si>
  <si>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</si>
  <si>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</si>
  <si>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</si>
  <si>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</si>
  <si>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</si>
  <si>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</si>
  <si>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</si>
  <si>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</si>
  <si>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</si>
  <si>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</si>
  <si>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</si>
  <si>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</si>
  <si>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</si>
  <si>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</si>
  <si>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</si>
  <si>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</si>
  <si>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</si>
  <si>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</si>
  <si>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</si>
  <si>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</si>
  <si>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</si>
  <si>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</si>
  <si>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</si>
  <si>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</si>
  <si>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</si>
  <si>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</si>
  <si>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</si>
  <si>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</si>
  <si>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</si>
  <si>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</si>
  <si>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</si>
  <si>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</si>
  <si>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</si>
  <si>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</si>
  <si>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</si>
  <si>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</si>
  <si>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</si>
  <si>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</si>
  <si>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</si>
  <si>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</si>
  <si>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</si>
  <si>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</si>
  <si>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</si>
  <si>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</si>
  <si>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</si>
  <si>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</si>
  <si>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</si>
  <si>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</si>
  <si>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</si>
  <si>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</si>
  <si>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</si>
  <si>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</si>
  <si>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</si>
  <si>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</si>
  <si>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</si>
  <si>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</si>
  <si>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</si>
  <si>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</si>
  <si>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</si>
  <si>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</si>
  <si>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</si>
  <si>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</si>
  <si>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</si>
  <si>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</si>
  <si>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</si>
  <si>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</si>
  <si>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</si>
  <si>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</si>
  <si>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</si>
  <si>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</si>
  <si>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</si>
  <si>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</si>
  <si>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</si>
  <si>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</si>
  <si>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</si>
  <si>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</si>
  <si>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</si>
  <si>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</si>
  <si>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</si>
  <si>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</si>
  <si>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</si>
  <si>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</si>
  <si>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</si>
  <si>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</si>
  <si>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</si>
  <si>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</si>
  <si>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</si>
  <si>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</si>
  <si>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</si>
  <si>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</si>
  <si>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</si>
  <si>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</si>
  <si>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</si>
  <si>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</si>
  <si>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</si>
  <si>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</si>
  <si>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</si>
  <si>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</si>
  <si>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</si>
  <si>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</si>
  <si>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</si>
  <si>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</si>
  <si>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</si>
  <si>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</si>
  <si>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</si>
  <si>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</si>
  <si>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</si>
  <si>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</si>
  <si>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</si>
  <si>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</si>
  <si>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</si>
  <si>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</si>
  <si>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</si>
  <si>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</si>
  <si>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</si>
  <si>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</si>
  <si>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</si>
  <si>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</si>
  <si>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</si>
  <si>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</si>
  <si>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</si>
  <si>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</si>
  <si>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</si>
  <si>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</si>
  <si>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</si>
  <si>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</si>
  <si>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</si>
  <si>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</si>
  <si>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</si>
  <si>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</si>
  <si>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</si>
  <si>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</si>
  <si>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</si>
  <si>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</si>
  <si>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</si>
  <si>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</si>
  <si>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</si>
  <si>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</si>
  <si>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</si>
  <si>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</si>
  <si>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</si>
  <si>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</si>
  <si>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</si>
  <si>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</si>
  <si>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</si>
  <si>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</si>
  <si>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</si>
  <si>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</si>
  <si>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</si>
  <si>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</si>
  <si>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</si>
  <si>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</si>
  <si>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</si>
  <si>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</si>
  <si>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</si>
  <si>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</si>
  <si>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</si>
  <si>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</si>
  <si>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</si>
  <si>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</si>
  <si>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</si>
  <si>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</si>
  <si>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</si>
  <si>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</si>
  <si>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</si>
  <si>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</si>
  <si>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</si>
  <si>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</si>
  <si>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</si>
  <si>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</si>
  <si>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</si>
  <si>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</si>
  <si>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</si>
  <si>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</si>
  <si>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</si>
  <si>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</si>
  <si>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</si>
  <si>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</si>
  <si>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</si>
  <si>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</si>
  <si>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</si>
  <si>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</si>
  <si>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</si>
  <si>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</si>
  <si>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</si>
  <si>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</si>
  <si>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</si>
  <si>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</si>
  <si>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</si>
  <si>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</si>
  <si>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</si>
  <si>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</si>
  <si>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</si>
  <si>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</si>
  <si>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</si>
  <si>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</si>
  <si>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</si>
  <si>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</si>
  <si>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</si>
  <si>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</si>
  <si>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</si>
  <si>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</si>
  <si>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</si>
  <si>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</si>
  <si>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</si>
  <si>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</si>
  <si>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</si>
  <si>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</si>
  <si>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</si>
  <si>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</si>
  <si>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</si>
  <si>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</si>
  <si>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</si>
  <si>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</si>
  <si>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</si>
  <si>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</si>
  <si>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</si>
  <si>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</si>
  <si>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</si>
  <si>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</si>
  <si>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</si>
  <si>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</si>
  <si>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</si>
  <si>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</si>
  <si>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</si>
  <si>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</si>
  <si>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</si>
  <si>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</si>
  <si>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</si>
  <si>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</si>
  <si>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</si>
  <si>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</si>
  <si>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</si>
  <si>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</si>
  <si>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</si>
  <si>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</si>
  <si>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</si>
  <si>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</si>
  <si>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</si>
  <si>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</si>
  <si>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</si>
  <si>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</si>
  <si>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</si>
  <si>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</si>
  <si>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</si>
  <si>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</si>
  <si>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</si>
  <si>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</si>
  <si>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</si>
  <si>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</si>
  <si>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</si>
  <si>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</si>
  <si>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</si>
  <si>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</si>
  <si>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</si>
  <si>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</si>
  <si>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</si>
  <si>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</si>
  <si>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</si>
  <si>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</si>
  <si>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</si>
  <si>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</si>
  <si>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</si>
  <si>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</si>
  <si>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</si>
  <si>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</si>
  <si>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</si>
  <si>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</si>
  <si>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</si>
  <si>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</si>
  <si>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</si>
  <si>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</si>
  <si>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</si>
  <si>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</si>
  <si>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</si>
  <si>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</si>
  <si>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</si>
  <si>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</si>
  <si>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</si>
  <si>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</si>
  <si>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</si>
  <si>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</si>
  <si>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</si>
  <si>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</si>
  <si>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</si>
  <si>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</si>
  <si>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</si>
  <si>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</si>
  <si>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</si>
  <si>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</si>
  <si>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</si>
  <si>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</si>
  <si>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</si>
  <si>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</si>
  <si>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</si>
  <si>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</si>
  <si>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</si>
  <si>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</si>
  <si>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</si>
  <si>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</si>
  <si>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</si>
  <si>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</si>
  <si>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</si>
  <si>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</si>
  <si>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</si>
  <si>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</si>
  <si>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</si>
  <si>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</si>
  <si>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</si>
  <si>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</si>
  <si>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</si>
  <si>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</si>
  <si>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</si>
  <si>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</si>
  <si>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</si>
  <si>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</si>
  <si>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</si>
  <si>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</si>
  <si>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</si>
  <si>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</si>
  <si>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</si>
  <si>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</si>
  <si>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</si>
  <si>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</si>
  <si>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</si>
  <si>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</si>
  <si>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</si>
  <si>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</si>
  <si>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</si>
  <si>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</si>
  <si>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</si>
  <si>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</si>
  <si>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</si>
  <si>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</si>
  <si>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</si>
  <si>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</si>
  <si>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</si>
  <si>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</si>
  <si>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</si>
  <si>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</si>
  <si>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</si>
  <si>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</si>
  <si>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</si>
  <si>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</si>
  <si>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</si>
  <si>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</si>
  <si>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</si>
  <si>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</si>
  <si>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</si>
  <si>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</si>
  <si>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</si>
  <si>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</si>
  <si>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</si>
  <si>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</si>
  <si>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</si>
  <si>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</si>
  <si>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</si>
  <si>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</si>
  <si>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</si>
  <si>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</si>
  <si>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</si>
  <si>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</si>
  <si>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</si>
  <si>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</si>
  <si>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</si>
  <si>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</si>
  <si>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</si>
  <si>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</si>
  <si>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</si>
  <si>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</si>
  <si>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</si>
  <si>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</si>
  <si>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</si>
  <si>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</si>
  <si>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</si>
  <si>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</si>
  <si>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</si>
  <si>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</si>
  <si>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</si>
  <si>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</si>
  <si>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</si>
  <si>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</si>
  <si>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</si>
  <si>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</si>
  <si>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</si>
  <si>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</si>
  <si>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</si>
  <si>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</si>
  <si>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</si>
  <si>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</si>
  <si>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</si>
  <si>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</si>
  <si>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</si>
  <si>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</si>
  <si>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</si>
  <si>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</si>
  <si>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</si>
  <si>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</si>
  <si>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</si>
  <si>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</si>
  <si>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</si>
  <si>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</si>
  <si>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</si>
  <si>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</si>
  <si>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</si>
  <si>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</si>
  <si>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</si>
  <si>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</si>
  <si>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</si>
  <si>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</si>
  <si>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</si>
  <si>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</si>
  <si>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</si>
  <si>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</si>
  <si>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</si>
  <si>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</si>
  <si>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</si>
  <si>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</si>
  <si>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</si>
  <si>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</si>
  <si>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</si>
  <si>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</si>
  <si>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</si>
  <si>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</si>
  <si>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</si>
  <si>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</si>
  <si>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</si>
  <si>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</si>
  <si>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</si>
  <si>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</si>
  <si>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</si>
  <si>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</si>
  <si>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</si>
  <si>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</si>
  <si>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</si>
  <si>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</si>
  <si>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</si>
  <si>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</si>
  <si>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</si>
  <si>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</si>
  <si>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</si>
  <si>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</si>
  <si>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</si>
  <si>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</si>
  <si>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</si>
  <si>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</si>
  <si>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</si>
  <si>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</si>
  <si>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</si>
  <si>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</si>
  <si>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</si>
  <si>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</si>
  <si>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</si>
  <si>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</si>
  <si>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</si>
  <si>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</si>
  <si>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</si>
  <si>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</si>
  <si>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</si>
  <si>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</si>
  <si>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</si>
  <si>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</si>
  <si>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</si>
  <si>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</si>
  <si>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</si>
  <si>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</si>
  <si>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</si>
  <si>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</si>
  <si>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</si>
  <si>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</si>
  <si>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</si>
  <si>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</si>
  <si>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</si>
  <si>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</si>
  <si>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</si>
  <si>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</si>
  <si>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</si>
  <si>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</si>
  <si>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</si>
  <si>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</si>
  <si>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</si>
  <si>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</si>
  <si>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</si>
  <si>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</si>
  <si>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</si>
  <si>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</si>
  <si>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</si>
  <si>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</si>
  <si>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</si>
  <si>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</si>
  <si>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</si>
  <si>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</si>
  <si>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</si>
  <si>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</si>
  <si>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</si>
  <si>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</si>
  <si>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</si>
  <si>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</si>
  <si>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</si>
  <si>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</si>
  <si>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</si>
  <si>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</si>
  <si>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</si>
  <si>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</si>
  <si>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</si>
  <si>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</si>
  <si>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</si>
  <si>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</si>
  <si>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</si>
  <si>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</si>
  <si>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</si>
  <si>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</si>
  <si>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</si>
  <si>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</si>
  <si>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</si>
  <si>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</si>
  <si>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</si>
  <si>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</si>
  <si>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</si>
  <si>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</si>
  <si>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</si>
  <si>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</si>
  <si>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</si>
  <si>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</si>
  <si>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</si>
  <si>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</si>
  <si>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</si>
  <si>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</si>
  <si>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</si>
  <si>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</si>
  <si>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</si>
  <si>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</si>
  <si>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</si>
  <si>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</si>
  <si>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</si>
  <si>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</si>
  <si>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</si>
  <si>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</si>
  <si>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</si>
  <si>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</si>
  <si>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</si>
  <si>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</si>
  <si>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</si>
  <si>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</si>
  <si>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</si>
  <si>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</si>
  <si>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</si>
  <si>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</si>
  <si>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</si>
  <si>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</si>
  <si>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</si>
  <si>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</si>
  <si>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</si>
  <si>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</si>
  <si>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</si>
  <si>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</si>
  <si>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</si>
  <si>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</si>
  <si>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</si>
  <si>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</si>
  <si>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</si>
  <si>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</si>
  <si>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</si>
  <si>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</si>
  <si>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</si>
  <si>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</si>
  <si>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</si>
  <si>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</si>
  <si>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</si>
  <si>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</si>
  <si>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</si>
  <si>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</si>
  <si>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</si>
  <si>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</si>
  <si>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</si>
  <si>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</si>
  <si>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</si>
  <si>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</si>
  <si>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</si>
  <si>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</si>
  <si>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</si>
  <si>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</si>
  <si>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</si>
  <si>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</si>
  <si>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</si>
  <si>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</si>
  <si>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</si>
  <si>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</si>
  <si>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</si>
  <si>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</si>
  <si>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</si>
  <si>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</si>
  <si>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</si>
  <si>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</si>
  <si>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</si>
  <si>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</si>
  <si>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</si>
  <si>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</si>
  <si>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</si>
  <si>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</si>
  <si>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</si>
  <si>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</si>
  <si>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</si>
  <si>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</si>
  <si>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</si>
  <si>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</si>
  <si>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</si>
  <si>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</si>
  <si>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</si>
  <si>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</si>
  <si>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</si>
  <si>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</si>
  <si>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</si>
  <si>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</si>
  <si>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</si>
  <si>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</si>
  <si>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</si>
  <si>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</si>
  <si>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</si>
  <si>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</si>
  <si>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</si>
  <si>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</si>
  <si>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</si>
  <si>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</si>
  <si>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</si>
  <si>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</si>
  <si>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</si>
  <si>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</si>
  <si>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</si>
  <si>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</si>
  <si>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</si>
  <si>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</si>
  <si>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</si>
  <si>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</si>
  <si>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</si>
  <si>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</si>
  <si>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</si>
  <si>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</si>
  <si>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</si>
  <si>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</si>
  <si>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</si>
  <si>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</si>
  <si>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</si>
  <si>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</si>
  <si>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</si>
  <si>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</si>
  <si>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</si>
  <si>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</si>
  <si>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</si>
  <si>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</si>
  <si>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</si>
  <si>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</si>
  <si>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</si>
  <si>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</si>
  <si>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</si>
  <si>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</si>
  <si>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</si>
  <si>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</si>
  <si>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</si>
  <si>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</si>
  <si>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</si>
  <si>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</si>
  <si>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</si>
  <si>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</si>
  <si>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</si>
  <si>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</si>
  <si>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</si>
  <si>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</si>
  <si>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</si>
  <si>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</si>
  <si>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</si>
  <si>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</si>
  <si>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</si>
  <si>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</si>
  <si>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</si>
  <si>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</si>
  <si>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</si>
  <si>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</si>
  <si>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</si>
  <si>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</si>
  <si>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</si>
  <si>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</si>
  <si>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</si>
  <si>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</si>
  <si>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</si>
  <si>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</si>
  <si>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</si>
  <si>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</si>
  <si>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</si>
  <si>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</si>
  <si>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</si>
  <si>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</si>
  <si>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</si>
  <si>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</si>
  <si>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</si>
  <si>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</si>
  <si>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</si>
  <si>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</si>
  <si>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</si>
  <si>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</si>
  <si>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</si>
  <si>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</si>
  <si>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</si>
  <si>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</si>
  <si>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</si>
  <si>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</si>
  <si>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</si>
  <si>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</si>
  <si>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</si>
  <si>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</si>
  <si>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</si>
  <si>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</si>
  <si>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</si>
  <si>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</si>
  <si>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</si>
  <si>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</si>
  <si>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</si>
  <si>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</si>
  <si>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</si>
  <si>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</si>
  <si>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</si>
  <si>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</si>
  <si>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</si>
  <si>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</si>
  <si>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</si>
  <si>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</si>
  <si>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</si>
  <si>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</si>
  <si>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</si>
  <si>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</si>
  <si>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</si>
  <si>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</si>
  <si>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</si>
  <si>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</si>
  <si>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</si>
  <si>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</si>
  <si>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</si>
  <si>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</si>
  <si>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</si>
  <si>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</si>
  <si>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</si>
  <si>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</si>
  <si>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</si>
  <si>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</si>
  <si>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</si>
  <si>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</si>
  <si>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</si>
  <si>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</si>
  <si>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</si>
  <si>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</si>
  <si>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</si>
  <si>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</si>
  <si>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</si>
  <si>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</si>
  <si>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</si>
  <si>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</si>
  <si>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</si>
  <si>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</si>
  <si>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</si>
  <si>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</si>
  <si>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</si>
  <si>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</si>
  <si>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</si>
  <si>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</si>
  <si>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</si>
  <si>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</si>
  <si>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</si>
  <si>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</si>
  <si>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</si>
  <si>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</si>
  <si>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</si>
  <si>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</si>
  <si>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</si>
  <si>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</si>
  <si>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</si>
  <si>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</si>
  <si>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</si>
  <si>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</si>
  <si>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</si>
  <si>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</si>
  <si>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</si>
  <si>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</si>
  <si>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</si>
  <si>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</si>
  <si>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</si>
  <si>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</si>
  <si>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</si>
  <si>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</si>
  <si>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</si>
  <si>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</si>
  <si>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</si>
  <si>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</si>
  <si>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</si>
  <si>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</si>
  <si>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</si>
  <si>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</si>
  <si>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</si>
  <si>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</si>
  <si>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</si>
  <si>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</si>
  <si>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</si>
  <si>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</si>
  <si>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</si>
  <si>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</si>
  <si>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</si>
  <si>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</si>
  <si>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</si>
  <si>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</si>
  <si>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</si>
  <si>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</si>
  <si>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</si>
  <si>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</si>
  <si>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</si>
  <si>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</si>
  <si>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</si>
  <si>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</si>
  <si>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</si>
  <si>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</si>
  <si>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</si>
  <si>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</si>
  <si>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</si>
  <si>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</si>
  <si>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</si>
  <si>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</si>
  <si>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</si>
  <si>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</si>
  <si>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</si>
  <si>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</si>
  <si>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</si>
  <si>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</si>
  <si>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</si>
  <si>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</si>
  <si>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</si>
  <si>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</si>
  <si>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</si>
  <si>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</si>
  <si>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</si>
  <si>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</si>
  <si>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</si>
  <si>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</si>
  <si>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</si>
  <si>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</si>
  <si>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</si>
  <si>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</si>
  <si>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</si>
  <si>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</si>
  <si>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</si>
  <si>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</si>
  <si>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</si>
  <si>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</si>
  <si>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</si>
  <si>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</si>
  <si>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</si>
  <si>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</si>
  <si>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</si>
  <si>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</si>
  <si>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</si>
  <si>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</si>
  <si>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</si>
  <si>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</si>
  <si>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</si>
  <si>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</si>
  <si>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</si>
  <si>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</si>
  <si>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</si>
  <si>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</si>
  <si>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</si>
  <si>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</si>
  <si>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</si>
  <si>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</si>
  <si>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</si>
  <si>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</si>
  <si>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</si>
  <si>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</si>
  <si>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</si>
  <si>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</si>
  <si>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</si>
  <si>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</si>
  <si>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</si>
  <si>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</si>
  <si>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</si>
  <si>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</si>
  <si>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</si>
  <si>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</si>
  <si>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</si>
  <si>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</si>
  <si>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</si>
  <si>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</si>
  <si>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</si>
  <si>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</si>
  <si>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</si>
  <si>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</si>
  <si>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</si>
  <si>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</si>
  <si>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</si>
  <si>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</si>
  <si>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</si>
  <si>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</si>
  <si>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</si>
  <si>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</si>
  <si>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</si>
  <si>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</si>
  <si>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</si>
  <si>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</si>
  <si>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</si>
  <si>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</si>
  <si>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</si>
  <si>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</si>
  <si>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</si>
  <si>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</si>
  <si>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</si>
  <si>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</si>
  <si>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</si>
  <si>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</si>
  <si>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</si>
  <si>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</si>
  <si>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</si>
  <si>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</si>
  <si>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</si>
  <si>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</si>
  <si>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</si>
  <si>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</si>
  <si>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</si>
  <si>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</si>
  <si>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</si>
  <si>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</si>
  <si>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</si>
  <si>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</si>
  <si>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</si>
  <si>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</si>
  <si>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</si>
  <si>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</si>
  <si>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</si>
  <si>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</si>
  <si>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</si>
  <si>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</si>
  <si>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</si>
  <si>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</si>
  <si>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</si>
  <si>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</si>
  <si>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</si>
  <si>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</si>
  <si>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</si>
  <si>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</si>
  <si>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</si>
  <si>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</si>
  <si>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</si>
  <si>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</si>
  <si>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</si>
  <si>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</si>
  <si>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</si>
  <si>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</si>
  <si>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</si>
  <si>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</si>
  <si>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</si>
  <si>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</si>
  <si>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</si>
  <si>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</si>
  <si>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</si>
  <si>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</si>
  <si>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</si>
  <si>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</si>
  <si>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</si>
  <si>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</si>
  <si>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</si>
  <si>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</si>
  <si>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</si>
  <si>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</si>
  <si>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</si>
  <si>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</si>
  <si>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</si>
  <si>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</si>
  <si>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</si>
  <si>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</si>
  <si>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</si>
  <si>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</si>
  <si>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</si>
  <si>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</si>
  <si>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</si>
  <si>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</si>
  <si>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</si>
  <si>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</si>
  <si>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</si>
  <si>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</si>
  <si>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</si>
  <si>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</si>
  <si>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</si>
  <si>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</si>
  <si>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</si>
  <si>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</si>
  <si>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</si>
  <si>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</si>
  <si>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</si>
  <si>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</si>
  <si>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</si>
  <si>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</si>
  <si>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</si>
  <si>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</si>
  <si>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</si>
  <si>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</si>
  <si>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</si>
  <si>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</si>
  <si>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</si>
  <si>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</si>
  <si>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</si>
  <si>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</si>
  <si>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</si>
  <si>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</si>
  <si>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</si>
  <si>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</si>
  <si>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</si>
  <si>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</si>
  <si>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</si>
  <si>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</si>
  <si>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</si>
  <si>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</si>
  <si>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</si>
  <si>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</si>
  <si>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</si>
  <si>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</si>
  <si>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</si>
  <si>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</si>
  <si>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</si>
  <si>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</si>
  <si>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</si>
  <si>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</si>
  <si>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</si>
  <si>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</si>
  <si>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</si>
  <si>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</si>
  <si>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</si>
  <si>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</si>
  <si>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</si>
  <si>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</si>
  <si>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</si>
  <si>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</si>
  <si>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</si>
  <si>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</si>
  <si>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</si>
  <si>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</si>
  <si>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</si>
  <si>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</si>
  <si>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</si>
  <si>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</si>
  <si>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</si>
  <si>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</si>
  <si>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</si>
  <si>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</si>
  <si>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</si>
  <si>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</si>
  <si>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</si>
  <si>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</si>
  <si>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</si>
  <si>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</si>
  <si>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</si>
  <si>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</si>
  <si>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</si>
  <si>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</si>
  <si>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</si>
  <si>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</si>
  <si>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</si>
  <si>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</si>
  <si>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</si>
  <si>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</si>
  <si>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</si>
  <si>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</si>
  <si>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</si>
  <si>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</si>
  <si>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</si>
  <si>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</si>
  <si>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</si>
  <si>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</si>
  <si>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</si>
  <si>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</si>
  <si>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</si>
  <si>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</si>
  <si>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</si>
  <si>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</si>
  <si>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</si>
  <si>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</si>
  <si>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</si>
  <si>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</si>
  <si>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</si>
  <si>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</si>
  <si>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</si>
  <si>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</si>
  <si>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</si>
  <si>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</si>
  <si>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</si>
  <si>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</si>
  <si>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</si>
  <si>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</si>
  <si>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</si>
  <si>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</si>
  <si>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</si>
  <si>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</si>
  <si>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</si>
  <si>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</si>
  <si>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</si>
  <si>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</si>
  <si>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</si>
  <si>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</si>
  <si>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</si>
  <si>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</si>
  <si>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</si>
  <si>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</si>
  <si>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</si>
  <si>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</si>
  <si>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</si>
  <si>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</si>
  <si>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</si>
  <si>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</si>
  <si>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</si>
  <si>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</si>
  <si>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</si>
  <si>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</si>
  <si>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</si>
  <si>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</si>
  <si>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</si>
  <si>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</si>
  <si>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</si>
  <si>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</si>
  <si>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</si>
  <si>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</si>
  <si>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</si>
  <si>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</si>
  <si>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</si>
  <si>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</si>
  <si>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</si>
  <si>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</si>
  <si>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</si>
  <si>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</si>
  <si>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</si>
  <si>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</si>
  <si>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</si>
  <si>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</si>
  <si>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</si>
  <si>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</si>
  <si>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</si>
  <si>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</si>
  <si>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</si>
  <si>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</si>
  <si>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</si>
  <si>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</si>
  <si>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</si>
  <si>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</si>
  <si>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</si>
  <si>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</si>
  <si>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</si>
  <si>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</si>
  <si>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</si>
  <si>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</si>
  <si>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</si>
  <si>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</si>
  <si>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</si>
  <si>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</si>
  <si>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</si>
  <si>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</si>
  <si>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</si>
  <si>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</si>
  <si>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</si>
  <si>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</si>
  <si>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</si>
  <si>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</si>
  <si>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</si>
  <si>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</si>
  <si>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</si>
  <si>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</si>
  <si>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</si>
  <si>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</si>
  <si>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</si>
  <si>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</si>
  <si>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</si>
  <si>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</si>
  <si>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</si>
  <si>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</si>
  <si>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</si>
  <si>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</si>
  <si>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</si>
  <si>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</si>
  <si>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</si>
  <si>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</si>
  <si>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</si>
  <si>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</si>
  <si>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</si>
  <si>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</si>
  <si>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</si>
  <si>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</si>
  <si>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</si>
  <si>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</si>
  <si>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</si>
  <si>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</si>
  <si>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</si>
  <si>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</si>
  <si>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</si>
  <si>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</si>
  <si>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</si>
  <si>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</si>
  <si>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</si>
  <si>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</si>
  <si>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</si>
  <si>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</si>
  <si>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</si>
  <si>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</si>
  <si>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</si>
  <si>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</si>
  <si>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</si>
  <si>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</si>
  <si>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</si>
  <si>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</si>
  <si>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</si>
  <si>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</si>
  <si>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</si>
  <si>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</si>
  <si>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</si>
  <si>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</si>
  <si>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</si>
  <si>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</si>
  <si>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</si>
  <si>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</si>
  <si>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</si>
  <si>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</si>
  <si>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</si>
  <si>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</si>
  <si>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</si>
  <si>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</si>
  <si>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</si>
  <si>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</si>
  <si>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</si>
  <si>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</si>
  <si>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</si>
  <si>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</si>
  <si>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</si>
  <si>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</si>
  <si>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</si>
  <si>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</si>
  <si>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</si>
  <si>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</si>
  <si>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</si>
  <si>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</si>
  <si>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</si>
  <si>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</si>
  <si>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</si>
  <si>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</si>
  <si>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</si>
  <si>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</si>
  <si>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</si>
  <si>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</si>
  <si>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</si>
  <si>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</si>
  <si>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</si>
  <si>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</si>
  <si>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</si>
  <si>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</si>
  <si>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</si>
  <si>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</si>
  <si>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</si>
  <si>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</si>
  <si>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</si>
  <si>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</si>
  <si>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</si>
  <si>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</si>
  <si>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</si>
  <si>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</si>
  <si>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</si>
  <si>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</si>
  <si>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</si>
  <si>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</si>
  <si>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</si>
  <si>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</si>
  <si>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</si>
  <si>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</si>
  <si>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</si>
  <si>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</si>
  <si>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</si>
  <si>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</si>
  <si>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</si>
  <si>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</si>
  <si>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</si>
  <si>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</si>
  <si>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</si>
  <si>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</si>
  <si>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</si>
  <si>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</si>
  <si>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</si>
  <si>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</si>
  <si>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</si>
  <si>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</si>
  <si>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</si>
  <si>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</si>
  <si>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</si>
  <si>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</si>
  <si>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</si>
  <si>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</si>
  <si>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</si>
  <si>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</si>
  <si>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</si>
  <si>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</si>
  <si>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</si>
  <si>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</si>
  <si>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</si>
  <si>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</si>
  <si>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</si>
  <si>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</si>
  <si>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</si>
  <si>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</si>
  <si>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</si>
  <si>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</si>
  <si>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</si>
  <si>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</si>
  <si>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</si>
  <si>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</si>
  <si>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</si>
  <si>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</si>
  <si>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</si>
  <si>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</si>
  <si>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</si>
  <si>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</si>
  <si>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</si>
  <si>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</si>
  <si>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</si>
  <si>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</si>
  <si>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</si>
  <si>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</si>
  <si>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</si>
  <si>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</si>
  <si>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</si>
  <si>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</si>
  <si>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</si>
  <si>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</si>
  <si>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</si>
  <si>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</si>
  <si>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</si>
  <si>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</si>
  <si>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</si>
  <si>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</si>
  <si>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</si>
  <si>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</si>
  <si>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</si>
  <si>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</si>
  <si>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</si>
  <si>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</si>
  <si>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</si>
  <si>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</si>
  <si>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</si>
  <si>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</si>
  <si>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</si>
  <si>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</si>
  <si>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</si>
  <si>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</si>
  <si>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</si>
  <si>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</si>
  <si>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</si>
  <si>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</si>
  <si>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</si>
  <si>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</si>
  <si>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</si>
  <si>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</si>
  <si>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</si>
  <si>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</si>
  <si>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</si>
  <si>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</si>
  <si>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</si>
  <si>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</si>
  <si>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</si>
  <si>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</si>
  <si>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</si>
  <si>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</si>
  <si>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</si>
  <si>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</si>
  <si>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</si>
  <si>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</si>
  <si>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</si>
  <si>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</si>
  <si>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</si>
  <si>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</si>
  <si>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</si>
  <si>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</si>
  <si>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</si>
  <si>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</si>
  <si>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</si>
  <si>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</si>
  <si>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</si>
  <si>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</si>
  <si>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</si>
  <si>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</si>
  <si>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</si>
  <si>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</si>
  <si>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</si>
  <si>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</si>
  <si>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</si>
  <si>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</si>
  <si>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</si>
  <si>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</si>
  <si>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</si>
  <si>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</si>
  <si>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</si>
  <si>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</si>
  <si>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</si>
  <si>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</si>
  <si>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</si>
  <si>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</si>
  <si>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</si>
  <si>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</si>
  <si>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</si>
  <si>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</si>
  <si>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</si>
  <si>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</si>
  <si>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</si>
  <si>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</si>
  <si>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</si>
  <si>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</si>
  <si>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</si>
  <si>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</si>
  <si>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</si>
  <si>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</si>
  <si>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</si>
  <si>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</si>
  <si>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</si>
  <si>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</si>
  <si>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</si>
  <si>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</si>
  <si>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</si>
  <si>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东城区王府井大街</t>
    </r>
    <r>
      <rPr>
        <sz val="10"/>
        <color theme="9" tint="-0.249977111117893"/>
        <rFont val="Arial"/>
        <family val="2"/>
      </rPr>
      <t>201</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phoneticPr fontId="6" type="noConversion"/>
  </si>
  <si>
    <t>地上</t>
  </si>
  <si>
    <t>是</t>
  </si>
  <si>
    <t>商业</t>
    <phoneticPr fontId="7" type="noConversion"/>
  </si>
  <si>
    <t>Ⅰ—01</t>
  </si>
  <si>
    <t>现房</t>
  </si>
  <si>
    <t>商业项目</t>
  </si>
  <si>
    <t>否</t>
  </si>
  <si>
    <t>成新度</t>
  </si>
  <si>
    <t>建成年代</t>
    <phoneticPr fontId="3" type="noConversion"/>
  </si>
  <si>
    <t>全装修百货大楼</t>
  </si>
  <si>
    <t>购物中心</t>
  </si>
  <si>
    <t>大型商超</t>
  </si>
  <si>
    <t>高层</t>
  </si>
  <si>
    <t>多层</t>
  </si>
  <si>
    <t>低层</t>
  </si>
  <si>
    <t>-</t>
  </si>
  <si>
    <r>
      <rPr>
        <sz val="10"/>
        <color indexed="8"/>
        <rFont val="宋体"/>
        <family val="3"/>
        <charset val="134"/>
      </rPr>
      <t>地上</t>
    </r>
    <r>
      <rPr>
        <sz val="10"/>
        <color indexed="8"/>
        <rFont val="Arial"/>
        <family val="2"/>
      </rPr>
      <t>9</t>
    </r>
    <r>
      <rPr>
        <sz val="10"/>
        <color indexed="8"/>
        <rFont val="宋体"/>
        <family val="3"/>
        <charset val="134"/>
      </rPr>
      <t>层地下</t>
    </r>
    <r>
      <rPr>
        <sz val="10"/>
        <color indexed="8"/>
        <rFont val="Arial"/>
        <family val="2"/>
      </rPr>
      <t>4</t>
    </r>
    <r>
      <rPr>
        <sz val="10"/>
        <color indexed="8"/>
        <rFont val="宋体"/>
        <family val="3"/>
        <charset val="134"/>
      </rPr>
      <t>层</t>
    </r>
    <phoneticPr fontId="3" type="noConversion"/>
  </si>
  <si>
    <t>不动产查询</t>
    <phoneticPr fontId="6" type="noConversion"/>
  </si>
  <si>
    <t>东华门街道</t>
    <phoneticPr fontId="3" type="noConversion"/>
  </si>
  <si>
    <t>收益法 (元)</t>
  </si>
  <si>
    <t>租金根据委托方给的信息取</t>
    <phoneticPr fontId="3" type="noConversion"/>
  </si>
  <si>
    <t>押一</t>
  </si>
  <si>
    <t>钢混</t>
  </si>
  <si>
    <t>非生产用房</t>
  </si>
  <si>
    <t>王府井商业街（王府井大街）</t>
  </si>
  <si>
    <t>与级别开发程度一致</t>
  </si>
  <si>
    <t>楼层修正</t>
  </si>
  <si>
    <t>好</t>
  </si>
  <si>
    <t>较好</t>
  </si>
  <si>
    <t>一般</t>
  </si>
  <si>
    <t>未包含在土地购买价格中</t>
  </si>
  <si>
    <t>已包含在土地取得成本中</t>
  </si>
  <si>
    <t>楼面单价</t>
  </si>
  <si>
    <t>自定义</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</si>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</sst>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10" fontId="44" fillId="12" borderId="0" xfId="0" applyNumberFormat="1" applyFont="1" applyFill="1" applyProtection="1">
      <alignment vertical="center"/>
      <protection locked="0"/>
    </xf>
    <xf numFmtId="0" fontId="273" fillId="12" borderId="0" xfId="0" applyFont="1" applyFill="1" applyAlignment="1" applyProtection="1">
      <alignment horizontal="center"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179" fontId="128" fillId="0" borderId="23" xfId="0" applyNumberFormat="1" applyFont="1" applyBorder="1" applyAlignment="1" applyProtection="1">
      <alignment horizontal="center" vertical="center"/>
      <protection locked="0"/>
    </xf>
    <xf numFmtId="0" fontId="113" fillId="5" borderId="32" xfId="0" applyFont="1" applyFill="1" applyBorder="1" applyAlignment="1" applyProtection="1">
      <alignment horizontal="right" vertical="center" wrapText="1"/>
      <protection locked="0"/>
    </xf>
    <xf numFmtId="0" fontId="170" fillId="0" borderId="1" xfId="8" applyFont="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18</xdr:row>
      <xdr:rowOff>0</xdr:rowOff>
    </xdr:from>
    <xdr:to>
      <xdr:col>31</xdr:col>
      <xdr:colOff>377820</xdr:colOff>
      <xdr:row>25</xdr:row>
      <xdr:rowOff>140791</xdr:rowOff>
    </xdr:to>
    <xdr:pic>
      <xdr:nvPicPr>
        <xdr:cNvPr id="2" name="图片 1">
          <a:extLst>
            <a:ext uri="{FF2B5EF4-FFF2-40B4-BE49-F238E27FC236}">
              <a16:creationId xmlns:a16="http://schemas.microsoft.com/office/drawing/2014/main" id="{3D36E651-5BA7-5835-601F-78070DC1E13C}"/>
            </a:ext>
          </a:extLst>
        </xdr:cNvPr>
        <xdr:cNvPicPr>
          <a:picLocks noChangeAspect="1"/>
        </xdr:cNvPicPr>
      </xdr:nvPicPr>
      <xdr:blipFill>
        <a:blip xmlns:r="http://schemas.openxmlformats.org/officeDocument/2006/relationships" r:embed="rId1"/>
        <a:stretch>
          <a:fillRect/>
        </a:stretch>
      </xdr:blipFill>
      <xdr:spPr>
        <a:xfrm>
          <a:off x="10934700" y="4030980"/>
          <a:ext cx="10200000" cy="1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451787</xdr:colOff>
      <xdr:row>25</xdr:row>
      <xdr:rowOff>18114</xdr:rowOff>
    </xdr:to>
    <xdr:pic>
      <xdr:nvPicPr>
        <xdr:cNvPr id="2" name="图片 1">
          <a:extLst>
            <a:ext uri="{FF2B5EF4-FFF2-40B4-BE49-F238E27FC236}">
              <a16:creationId xmlns:a16="http://schemas.microsoft.com/office/drawing/2014/main" id="{E18A4CEF-0CD9-3A69-6E1E-DE09CADADB33}"/>
            </a:ext>
          </a:extLst>
        </xdr:cNvPr>
        <xdr:cNvPicPr>
          <a:picLocks noChangeAspect="1"/>
        </xdr:cNvPicPr>
      </xdr:nvPicPr>
      <xdr:blipFill>
        <a:blip xmlns:r="http://schemas.openxmlformats.org/officeDocument/2006/relationships" r:embed="rId1"/>
        <a:stretch>
          <a:fillRect/>
        </a:stretch>
      </xdr:blipFill>
      <xdr:spPr>
        <a:xfrm>
          <a:off x="0" y="0"/>
          <a:ext cx="7766987" cy="45901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158437</xdr:colOff>
      <xdr:row>28</xdr:row>
      <xdr:rowOff>75362</xdr:rowOff>
    </xdr:to>
    <xdr:pic>
      <xdr:nvPicPr>
        <xdr:cNvPr id="2" name="图片 1">
          <a:extLst>
            <a:ext uri="{FF2B5EF4-FFF2-40B4-BE49-F238E27FC236}">
              <a16:creationId xmlns:a16="http://schemas.microsoft.com/office/drawing/2014/main" id="{936939C8-E268-DC34-48F5-8C09979C5222}"/>
            </a:ext>
          </a:extLst>
        </xdr:cNvPr>
        <xdr:cNvPicPr>
          <a:picLocks noChangeAspect="1"/>
        </xdr:cNvPicPr>
      </xdr:nvPicPr>
      <xdr:blipFill>
        <a:blip xmlns:r="http://schemas.openxmlformats.org/officeDocument/2006/relationships" r:embed="rId1"/>
        <a:stretch>
          <a:fillRect/>
        </a:stretch>
      </xdr:blipFill>
      <xdr:spPr>
        <a:xfrm>
          <a:off x="0" y="0"/>
          <a:ext cx="6864037" cy="5196002"/>
        </a:xfrm>
        <a:prstGeom prst="rect">
          <a:avLst/>
        </a:prstGeom>
      </xdr:spPr>
    </xdr:pic>
    <xdr:clientData/>
  </xdr:twoCellAnchor>
  <xdr:twoCellAnchor editAs="oneCell">
    <xdr:from>
      <xdr:col>0</xdr:col>
      <xdr:colOff>114300</xdr:colOff>
      <xdr:row>28</xdr:row>
      <xdr:rowOff>106680</xdr:rowOff>
    </xdr:from>
    <xdr:to>
      <xdr:col>11</xdr:col>
      <xdr:colOff>154974</xdr:colOff>
      <xdr:row>57</xdr:row>
      <xdr:rowOff>73453</xdr:rowOff>
    </xdr:to>
    <xdr:pic>
      <xdr:nvPicPr>
        <xdr:cNvPr id="3" name="图片 2">
          <a:extLst>
            <a:ext uri="{FF2B5EF4-FFF2-40B4-BE49-F238E27FC236}">
              <a16:creationId xmlns:a16="http://schemas.microsoft.com/office/drawing/2014/main" id="{EAC93D95-ECC9-F91E-F504-A35D679C9A05}"/>
            </a:ext>
          </a:extLst>
        </xdr:cNvPr>
        <xdr:cNvPicPr>
          <a:picLocks noChangeAspect="1"/>
        </xdr:cNvPicPr>
      </xdr:nvPicPr>
      <xdr:blipFill>
        <a:blip xmlns:r="http://schemas.openxmlformats.org/officeDocument/2006/relationships" r:embed="rId2"/>
        <a:stretch>
          <a:fillRect/>
        </a:stretch>
      </xdr:blipFill>
      <xdr:spPr>
        <a:xfrm>
          <a:off x="114300" y="5227320"/>
          <a:ext cx="6746274" cy="5270293"/>
        </a:xfrm>
        <a:prstGeom prst="rect">
          <a:avLst/>
        </a:prstGeom>
      </xdr:spPr>
    </xdr:pic>
    <xdr:clientData/>
  </xdr:twoCellAnchor>
  <xdr:twoCellAnchor editAs="oneCell">
    <xdr:from>
      <xdr:col>11</xdr:col>
      <xdr:colOff>412722</xdr:colOff>
      <xdr:row>0</xdr:row>
      <xdr:rowOff>0</xdr:rowOff>
    </xdr:from>
    <xdr:to>
      <xdr:col>21</xdr:col>
      <xdr:colOff>577972</xdr:colOff>
      <xdr:row>25</xdr:row>
      <xdr:rowOff>52492</xdr:rowOff>
    </xdr:to>
    <xdr:pic>
      <xdr:nvPicPr>
        <xdr:cNvPr id="4" name="图片 3">
          <a:extLst>
            <a:ext uri="{FF2B5EF4-FFF2-40B4-BE49-F238E27FC236}">
              <a16:creationId xmlns:a16="http://schemas.microsoft.com/office/drawing/2014/main" id="{D5AA853D-057F-67C5-AF2F-E0F544D69492}"/>
            </a:ext>
          </a:extLst>
        </xdr:cNvPr>
        <xdr:cNvPicPr>
          <a:picLocks noChangeAspect="1"/>
        </xdr:cNvPicPr>
      </xdr:nvPicPr>
      <xdr:blipFill>
        <a:blip xmlns:r="http://schemas.openxmlformats.org/officeDocument/2006/relationships" r:embed="rId3"/>
        <a:stretch>
          <a:fillRect/>
        </a:stretch>
      </xdr:blipFill>
      <xdr:spPr>
        <a:xfrm>
          <a:off x="7118322" y="0"/>
          <a:ext cx="6261250" cy="46244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北京市东城区王府井大街201号6层601房地产抵押价值预评估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受贵公司委托，我公司对北京市东城区王府井大街201号6层601房地产抵押价值进行了预评估。</v>
      </c>
    </row>
    <row r="7" spans="1:2">
      <c r="A7" s="1119" t="s">
        <v>566</v>
      </c>
      <c r="B7" s="1120" t="str">
        <f>'预评函-1'!A7</f>
        <v>估价对象为北京市东城区王府井大街201号6层601房地产，为所有。根据《国有土地使用证》[]，估价对象（分摊）出让国有建设用地使用权面积为0平方米，建筑面积为81.59平方米。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东城区王府井大街201号6层601房地产,属开发建设的商业项目，该项目尚在开发建设中。根据《国有土地使用证》[]，估价对象（分摊）出让国有建设用地使用权面积为0平方米，规划建筑面积为81.59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东城区王府井大街201号6层601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2025年7月11日</v>
      </c>
    </row>
    <row r="13" spans="1:2">
      <c r="A13" s="1119" t="s">
        <v>529</v>
      </c>
      <c r="B13" s="1120" t="str">
        <f>'预评函-1'!A18</f>
        <v>本次估价的“房地产价值”是指在正常市场情况下，在价值时点2025年7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383</v>
      </c>
    </row>
    <row r="21" spans="1:2">
      <c r="A21" s="1119" t="s">
        <v>537</v>
      </c>
      <c r="B21" s="1120">
        <f ca="1">'预评函-2'!D7</f>
        <v>46957</v>
      </c>
    </row>
    <row r="22" spans="1:2">
      <c r="A22" s="1119" t="s">
        <v>538</v>
      </c>
      <c r="B22" s="1120" t="str">
        <f ca="1">'预评函-2'!D6</f>
        <v>叁佰捌拾叁万元整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383</v>
      </c>
    </row>
    <row r="31" spans="1:2">
      <c r="A31" s="1119" t="s">
        <v>576</v>
      </c>
      <c r="B31" s="1120">
        <f ca="1">'预评函-2'!D15</f>
        <v>46957</v>
      </c>
    </row>
    <row r="32" spans="1:2">
      <c r="A32" s="1119" t="s">
        <v>543</v>
      </c>
      <c r="B32" s="1120" t="str">
        <f ca="1">'预评函-2'!D14</f>
        <v>叁佰捌拾叁万元整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北京市东城区王府井大街201号6层601房地产</v>
      </c>
    </row>
    <row r="42" spans="1:2" ht="31.2">
      <c r="A42" s="1119" t="s">
        <v>590</v>
      </c>
      <c r="B42" s="1120" t="str">
        <f>'预评函-3'!B2</f>
        <v>建筑面积</v>
      </c>
    </row>
    <row r="43" spans="1:2">
      <c r="A43" s="1119" t="s">
        <v>591</v>
      </c>
      <c r="B43" s="1120">
        <f>'预评函-3'!B4</f>
        <v>81.59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王府井大街201号6层601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2" t="s">
        <v>2593</v>
      </c>
      <c r="J1" s="2781"/>
      <c r="K1" s="2781"/>
      <c r="L1" s="2781"/>
      <c r="M1" s="2781"/>
      <c r="N1" s="2966"/>
      <c r="O1" s="2966"/>
      <c r="P1" s="2966"/>
      <c r="Q1" s="2966"/>
      <c r="R1" s="2966"/>
    </row>
    <row r="2" spans="1:18">
      <c r="A2" s="2758"/>
      <c r="B2" s="2759"/>
      <c r="C2" s="2759"/>
      <c r="D2" s="2759"/>
      <c r="E2" s="2759"/>
      <c r="F2" s="2760"/>
      <c r="I2" s="3208" t="s">
        <v>2580</v>
      </c>
      <c r="J2" s="3208"/>
      <c r="K2" s="3208"/>
      <c r="L2" s="3208"/>
      <c r="M2" s="3208"/>
      <c r="N2" s="3208"/>
      <c r="O2" s="3208"/>
      <c r="P2" s="3208"/>
      <c r="Q2" s="3208"/>
      <c r="R2" s="3208"/>
    </row>
    <row r="3" spans="1:18">
      <c r="A3" s="2761" t="s">
        <v>2501</v>
      </c>
      <c r="B3" s="2762">
        <f>项目基本情况!D3</f>
        <v>45849</v>
      </c>
      <c r="C3" s="2764"/>
      <c r="D3" s="2764"/>
      <c r="E3" s="2764"/>
      <c r="F3" s="2760"/>
      <c r="I3" s="2776"/>
      <c r="J3" s="2776" t="s">
        <v>2584</v>
      </c>
      <c r="K3" s="2776" t="s">
        <v>2585</v>
      </c>
      <c r="L3" s="2776" t="s">
        <v>2586</v>
      </c>
      <c r="M3" s="2776" t="s">
        <v>2587</v>
      </c>
      <c r="N3" s="3133" t="s">
        <v>2588</v>
      </c>
      <c r="O3" s="3133" t="s">
        <v>2589</v>
      </c>
      <c r="P3" s="3133" t="s">
        <v>2590</v>
      </c>
      <c r="Q3" s="3133" t="s">
        <v>2591</v>
      </c>
      <c r="R3" s="3133"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1.44</v>
      </c>
      <c r="D5" s="2766">
        <f>IF(ISERROR(ROUND(POWER(1+E5,A5-C5)*(POWER(1+E5,C5)-1)/(POWER(1+E5,A5)-1),3)),0,ROUND(POWER(1+E5,A5-C5)*(POWER(1+E5,C5)-1)/(POWER(1+E5,A5)-1),4))</f>
        <v>6.9400000000000003E-2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11.44</v>
      </c>
      <c r="D6" s="2766">
        <f>IF(ISERROR(ROUND(POWER(1+E6,A6-C6)*(POWER(1+E6,C6)-1)/(POWER(1+E6,A6)-1),3)),0,ROUND(POWER(1+E6,A6-C6)*(POWER(1+E6,C6)-1)/(POWER(1+E6,A6)-1),4))</f>
        <v>0.42070000000000002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31.46</v>
      </c>
      <c r="D7" s="2766">
        <f>IF(ISERROR(ROUND(POWER(1+E7,A7-C7)*(POWER(1+E7,C7)-1)/(POWER(1+E7,A7)-1),3)),0,ROUND(POWER(1+E7,A7-C7)*(POWER(1+E7,C7)-1)/(POWER(1+E7,A7)-1),4))</f>
        <v>0.75749999999999995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0"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0">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0">
        <v>8</v>
      </c>
    </row>
    <row r="26" spans="1:14">
      <c r="A26" s="2780"/>
      <c r="B26" s="2781"/>
      <c r="C26" s="2781"/>
      <c r="D26" s="2781"/>
      <c r="E26" s="2781"/>
      <c r="F26" s="2781"/>
      <c r="G26" s="2782"/>
      <c r="I26" s="2798">
        <v>30</v>
      </c>
      <c r="J26" s="2798">
        <v>90.5</v>
      </c>
      <c r="K26" s="2798">
        <f t="shared" si="2"/>
        <v>4.2000000000000028</v>
      </c>
      <c r="L26" s="2798" t="s">
        <v>2571</v>
      </c>
      <c r="N26" s="3150">
        <v>5</v>
      </c>
    </row>
    <row r="27" spans="1:14">
      <c r="A27" s="2780" t="s">
        <v>2530</v>
      </c>
      <c r="B27" s="2781"/>
      <c r="C27" s="2781"/>
      <c r="D27" s="2781"/>
      <c r="E27" s="2781"/>
      <c r="F27" s="2781"/>
      <c r="G27" s="2782"/>
      <c r="I27" s="2798">
        <v>35</v>
      </c>
      <c r="J27" s="2798">
        <v>93.8</v>
      </c>
      <c r="K27" s="2798">
        <f t="shared" si="2"/>
        <v>3.2999999999999972</v>
      </c>
      <c r="L27" s="2798" t="s">
        <v>2572</v>
      </c>
      <c r="N27" s="3150">
        <v>3</v>
      </c>
    </row>
    <row r="28" spans="1:14">
      <c r="A28" s="2780" t="s">
        <v>2531</v>
      </c>
      <c r="B28" s="2781"/>
      <c r="C28" s="2781"/>
      <c r="D28" s="2781"/>
      <c r="E28" s="2781"/>
      <c r="F28" s="2781"/>
      <c r="G28" s="2782"/>
      <c r="I28" s="2798">
        <v>40</v>
      </c>
      <c r="J28" s="2798">
        <v>96.4</v>
      </c>
      <c r="K28" s="2798">
        <f t="shared" si="2"/>
        <v>2.6000000000000085</v>
      </c>
      <c r="L28" s="2798" t="s">
        <v>2573</v>
      </c>
      <c r="N28" s="3150">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0" t="s">
        <v>2568</v>
      </c>
    </row>
    <row r="37" spans="1:14">
      <c r="A37" s="2780" t="s">
        <v>2540</v>
      </c>
      <c r="B37" s="2781"/>
      <c r="C37" s="2781"/>
      <c r="D37" s="2781"/>
      <c r="E37" s="2781"/>
      <c r="F37" s="2781"/>
      <c r="G37" s="2782"/>
      <c r="I37" s="2798">
        <v>20</v>
      </c>
      <c r="J37" s="2798">
        <v>83.6</v>
      </c>
      <c r="K37" s="2798">
        <f t="shared" si="3"/>
        <v>7.2999999999999972</v>
      </c>
      <c r="L37" s="2798" t="s">
        <v>2566</v>
      </c>
      <c r="N37" s="3150">
        <v>10</v>
      </c>
    </row>
    <row r="38" spans="1:14">
      <c r="A38" s="2780" t="s">
        <v>2541</v>
      </c>
      <c r="B38" s="2781"/>
      <c r="C38" s="2781"/>
      <c r="D38" s="2781"/>
      <c r="E38" s="2781"/>
      <c r="F38" s="2781"/>
      <c r="G38" s="2782"/>
      <c r="I38" s="2798">
        <v>25</v>
      </c>
      <c r="J38" s="2798">
        <v>89.3</v>
      </c>
      <c r="K38" s="2798">
        <f t="shared" si="3"/>
        <v>5.7000000000000028</v>
      </c>
      <c r="L38" s="2798" t="s">
        <v>2570</v>
      </c>
      <c r="N38" s="3150">
        <v>8</v>
      </c>
    </row>
    <row r="39" spans="1:14">
      <c r="A39" s="2780"/>
      <c r="B39" s="2781"/>
      <c r="C39" s="2781"/>
      <c r="D39" s="2781"/>
      <c r="E39" s="2781"/>
      <c r="F39" s="2781"/>
      <c r="G39" s="2782"/>
      <c r="I39" s="2798">
        <v>30</v>
      </c>
      <c r="J39" s="2798">
        <v>93.8</v>
      </c>
      <c r="K39" s="2798">
        <f t="shared" si="3"/>
        <v>4.5</v>
      </c>
      <c r="L39" s="2798" t="s">
        <v>2571</v>
      </c>
      <c r="N39" s="3150">
        <v>6</v>
      </c>
    </row>
    <row r="40" spans="1:14">
      <c r="A40" s="2783" t="s">
        <v>2542</v>
      </c>
      <c r="B40" s="2784"/>
      <c r="C40" s="2784"/>
      <c r="D40" s="2784"/>
      <c r="E40" s="2784"/>
      <c r="F40" s="2784"/>
      <c r="G40" s="2785"/>
      <c r="I40" s="2798">
        <v>35</v>
      </c>
      <c r="J40" s="2798">
        <v>97.2</v>
      </c>
      <c r="K40" s="2798">
        <f t="shared" si="3"/>
        <v>3.4000000000000057</v>
      </c>
      <c r="L40" s="2798" t="s">
        <v>2572</v>
      </c>
      <c r="N40" s="3150">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3386</v>
      </c>
    </row>
    <row r="50" spans="1:4">
      <c r="A50" s="3142" t="s">
        <v>3387</v>
      </c>
      <c r="B50" s="3142" t="s">
        <v>3388</v>
      </c>
      <c r="C50" s="3142" t="s">
        <v>3389</v>
      </c>
      <c r="D50" s="3142" t="s">
        <v>3390</v>
      </c>
    </row>
    <row r="51" spans="1:4">
      <c r="A51" s="3142" t="s">
        <v>3391</v>
      </c>
      <c r="B51" s="2763">
        <f>B52+B53</f>
        <v>15000</v>
      </c>
      <c r="C51" s="3143">
        <f>D51/B51</f>
        <v>2666.6666666666665</v>
      </c>
      <c r="D51" s="2763">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3">
        <f>B51</f>
        <v>15000</v>
      </c>
      <c r="C54" s="2769">
        <v>700</v>
      </c>
      <c r="D54" s="2763">
        <f t="shared" ref="D54:D55" si="5">C54*B54</f>
        <v>10500000</v>
      </c>
    </row>
    <row r="55" spans="1:4">
      <c r="A55" s="3142" t="s">
        <v>3395</v>
      </c>
      <c r="B55" s="2763">
        <f>B51</f>
        <v>15000</v>
      </c>
      <c r="C55" s="2769">
        <v>1500</v>
      </c>
      <c r="D55" s="2763">
        <f t="shared" si="5"/>
        <v>22500000</v>
      </c>
    </row>
    <row r="56" spans="1:4">
      <c r="A56" s="3142" t="s">
        <v>3396</v>
      </c>
      <c r="B56" s="2763">
        <f>B51</f>
        <v>15000</v>
      </c>
      <c r="C56" s="3147">
        <f>C51+C54+C55</f>
        <v>4866.6666666666661</v>
      </c>
      <c r="D56" s="2763">
        <f>D51+D54+D55</f>
        <v>73000000</v>
      </c>
    </row>
    <row r="58" spans="1:4">
      <c r="A58" s="3142" t="s">
        <v>3397</v>
      </c>
      <c r="B58" s="3148">
        <v>0.05</v>
      </c>
      <c r="C58" s="2763">
        <f>C56*(1+B58)</f>
        <v>5110</v>
      </c>
      <c r="D58" s="2763">
        <f>D56*B58</f>
        <v>3650000</v>
      </c>
    </row>
    <row r="60" spans="1:4">
      <c r="A60" s="3142" t="s">
        <v>3398</v>
      </c>
      <c r="B60" s="2769">
        <v>3500</v>
      </c>
      <c r="C60" s="2769">
        <f>C53</f>
        <v>5000</v>
      </c>
      <c r="D60" s="2763">
        <f>C60*B60</f>
        <v>17500000</v>
      </c>
    </row>
    <row r="62" spans="1:4">
      <c r="A62" s="3142" t="s">
        <v>3399</v>
      </c>
      <c r="B62" s="2769">
        <f>B51</f>
        <v>15000</v>
      </c>
      <c r="C62" s="3149">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1" sqref="F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6" t="str">
        <f>IF(B10="北京市","北京市",C10)&amp;F10&amp;IF(结果表!G1="在建","出让国有建设用地使用权及在建建筑物",IF(结果表!G1="土地","出让国有建设用地使用权",))&amp;B9&amp;"预评估"</f>
        <v>北京市东城区王府井大街201号6层601房地产抵押价值预评估</v>
      </c>
      <c r="C1" s="3217"/>
      <c r="D1" s="3217"/>
      <c r="E1" s="3217"/>
      <c r="F1" s="3217"/>
      <c r="G1" s="3217"/>
      <c r="H1" s="3217"/>
      <c r="I1" s="321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北京市东城区王府井大街201号6层601房地产抵押价值</v>
      </c>
      <c r="T1" s="1618"/>
      <c r="U1" s="1618"/>
      <c r="V1" s="1618"/>
      <c r="W1" s="1618"/>
      <c r="X1" s="1618"/>
      <c r="Y1" s="1618"/>
      <c r="Z1" s="1618"/>
      <c r="AA1" s="1618"/>
      <c r="AB1" s="1618"/>
    </row>
    <row r="2" spans="1:30">
      <c r="A2" s="2181" t="s">
        <v>2169</v>
      </c>
      <c r="B2" s="122"/>
      <c r="D2" s="2446"/>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北京市东城区王府井大街201号6层601房地产</v>
      </c>
      <c r="T2" s="1618"/>
      <c r="U2" s="1618"/>
      <c r="V2" s="1618"/>
      <c r="W2" s="1618"/>
      <c r="X2" s="1618"/>
      <c r="Y2" s="1618"/>
      <c r="Z2" s="1618"/>
      <c r="AA2" s="1618"/>
      <c r="AB2" s="1618"/>
    </row>
    <row r="3" spans="1:30">
      <c r="A3" s="294" t="s">
        <v>2170</v>
      </c>
      <c r="B3" s="2184"/>
      <c r="C3" s="2185" t="s">
        <v>2171</v>
      </c>
      <c r="D3" s="2184">
        <v>45849</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3418</v>
      </c>
      <c r="C8" s="2200"/>
      <c r="D8" s="3219" t="s">
        <v>2177</v>
      </c>
      <c r="E8" s="2201" t="s">
        <v>3419</v>
      </c>
      <c r="F8" s="2202"/>
      <c r="G8" s="2441"/>
      <c r="H8" s="2441"/>
      <c r="I8" s="2441"/>
      <c r="J8" s="2244"/>
      <c r="K8" s="2399"/>
      <c r="L8" s="2398"/>
      <c r="M8" s="2398"/>
      <c r="N8" s="2244"/>
      <c r="O8" s="1670"/>
      <c r="P8" s="2244"/>
      <c r="Q8" s="2244"/>
      <c r="R8" s="2244"/>
    </row>
    <row r="9" spans="1:30" ht="13.8" thickBot="1">
      <c r="A9" s="2203" t="s">
        <v>2178</v>
      </c>
      <c r="B9" s="2204" t="s">
        <v>3419</v>
      </c>
      <c r="C9" s="2205"/>
      <c r="D9" s="3220"/>
      <c r="E9" s="2204" t="s">
        <v>43</v>
      </c>
      <c r="F9" s="2206"/>
      <c r="G9" s="2442"/>
      <c r="H9" s="2442"/>
      <c r="I9" s="2442"/>
      <c r="J9" s="2244"/>
      <c r="K9" s="2401"/>
      <c r="L9" s="2398"/>
      <c r="M9" s="2398"/>
      <c r="N9" s="2244"/>
      <c r="O9" s="1670"/>
      <c r="P9" s="2244"/>
      <c r="Q9" s="2244"/>
      <c r="R9" s="2244"/>
    </row>
    <row r="10" spans="1:30" ht="13.8" thickTop="1">
      <c r="A10" s="2207" t="s">
        <v>2179</v>
      </c>
      <c r="B10" s="2208" t="s">
        <v>3420</v>
      </c>
      <c r="C10" s="2209"/>
      <c r="D10" s="2192"/>
      <c r="E10" s="2210" t="s">
        <v>2180</v>
      </c>
      <c r="F10" s="3504" t="s">
        <v>3422</v>
      </c>
      <c r="G10" s="2443"/>
      <c r="H10" s="2444"/>
      <c r="I10" s="2445"/>
      <c r="J10" s="2244"/>
      <c r="K10" s="2401"/>
      <c r="L10" s="2398"/>
      <c r="M10" s="2398"/>
      <c r="N10" s="2244"/>
      <c r="O10" s="1670"/>
      <c r="P10" s="2244"/>
      <c r="Q10" s="2244"/>
      <c r="R10" s="2244"/>
    </row>
    <row r="11" spans="1:30">
      <c r="A11" s="2211" t="s">
        <v>2181</v>
      </c>
      <c r="B11" s="2212" t="s">
        <v>3421</v>
      </c>
      <c r="C11" s="2213"/>
      <c r="D11" s="2214"/>
      <c r="E11" s="2181"/>
      <c r="F11" s="2181"/>
      <c r="G11" s="2181"/>
      <c r="H11" s="2181"/>
      <c r="I11" s="2181"/>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19" t="s">
        <v>3332</v>
      </c>
      <c r="B13" s="2217" t="s">
        <v>2190</v>
      </c>
      <c r="C13" s="803"/>
      <c r="D13" s="803">
        <v>55913</v>
      </c>
      <c r="E13" s="3509" t="s">
        <v>3440</v>
      </c>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27.57</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2193</v>
      </c>
      <c r="B16" s="3226"/>
      <c r="C16" s="3227"/>
      <c r="D16" s="3228"/>
      <c r="E16" s="2221" t="s">
        <v>2194</v>
      </c>
      <c r="F16" s="3229"/>
      <c r="G16" s="3230"/>
      <c r="H16" s="3230"/>
      <c r="I16" s="3231"/>
      <c r="J16" s="2244"/>
      <c r="K16" s="2402"/>
      <c r="L16" s="1670"/>
      <c r="M16" s="1670"/>
      <c r="N16" s="2244"/>
      <c r="O16" s="1670"/>
      <c r="P16" s="2244"/>
      <c r="Q16" s="2244"/>
      <c r="R16" s="2244"/>
    </row>
    <row r="17" spans="1:28">
      <c r="A17" s="305" t="s">
        <v>2195</v>
      </c>
      <c r="B17" s="294" t="s">
        <v>2196</v>
      </c>
      <c r="C17" s="8">
        <f>'数据-汇总表'!E3</f>
        <v>81.59</v>
      </c>
      <c r="D17" s="1256" t="s">
        <v>2197</v>
      </c>
      <c r="E17" s="3232" t="s">
        <v>2198</v>
      </c>
      <c r="F17" s="3233"/>
      <c r="G17" s="3233"/>
      <c r="H17" s="3233"/>
      <c r="I17" s="323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5" t="s">
        <v>2202</v>
      </c>
      <c r="F18" s="3236"/>
      <c r="G18" s="3236"/>
      <c r="H18" s="3236"/>
      <c r="I18" s="3237"/>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3429</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2" t="s">
        <v>2206</v>
      </c>
      <c r="C20" s="3223"/>
      <c r="D20" s="3224" t="s">
        <v>2207</v>
      </c>
      <c r="E20" s="3225"/>
      <c r="F20" s="2429" t="s">
        <v>1056</v>
      </c>
      <c r="G20" s="2441"/>
      <c r="H20" s="2441"/>
      <c r="I20" s="2441"/>
      <c r="J20" s="2244"/>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0" t="s">
        <v>2214</v>
      </c>
      <c r="B27" s="312" t="s">
        <v>2215</v>
      </c>
      <c r="C27" s="2224" t="s">
        <v>3428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1"/>
      <c r="B30" s="294" t="s">
        <v>2218</v>
      </c>
      <c r="C30" s="3212"/>
      <c r="D30" s="3213"/>
      <c r="E30" s="2441"/>
      <c r="F30" s="2441"/>
      <c r="G30" s="2441"/>
      <c r="H30" s="2441"/>
      <c r="I30" s="2441"/>
      <c r="J30" s="2244"/>
      <c r="K30" s="2401"/>
      <c r="L30" s="2398"/>
      <c r="M30" s="2398"/>
      <c r="N30" s="2244"/>
      <c r="O30" s="1670"/>
      <c r="P30" s="2244"/>
      <c r="Q30" s="2244"/>
      <c r="R30" s="2244"/>
      <c r="S30" s="2244"/>
      <c r="T30" s="2244"/>
      <c r="U30" s="2244"/>
      <c r="V30" s="2244"/>
    </row>
    <row r="31" spans="1:28">
      <c r="A31" s="3214" t="s">
        <v>2219</v>
      </c>
      <c r="B31" s="2230" t="s">
        <v>3427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4"/>
      <c r="V34" s="2244"/>
    </row>
    <row r="35" spans="1:30">
      <c r="A35" s="2235"/>
      <c r="B35" s="3209" t="s">
        <v>2229</v>
      </c>
      <c r="C35" s="3209"/>
      <c r="D35" s="3209"/>
      <c r="E35" s="320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144</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3426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81.59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81.59</v>
      </c>
      <c r="H5" s="13">
        <f t="shared" ref="H5:AT5" si="0">SUM(H13:H656)</f>
        <v>81.59</v>
      </c>
      <c r="I5" s="13">
        <f t="shared" si="0"/>
        <v>81.59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81.59</v>
      </c>
      <c r="BA5" s="15">
        <f t="shared" si="1"/>
        <v>81.59</v>
      </c>
      <c r="BB5" s="15">
        <f t="shared" si="1"/>
        <v>81.59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601</v>
      </c>
      <c r="D13" s="1513" t="s">
        <v>3424</v>
      </c>
      <c r="E13" s="13">
        <f>IF($C$3="是",ROUND($A$3*G13/$B$3,2),ROUND($A$3*(G13-AT13)/$B$3,2))</f>
        <v>0</v>
      </c>
      <c r="F13" s="29"/>
      <c r="G13" s="30">
        <f>H13+AC13+AT13</f>
        <v>81.59</v>
      </c>
      <c r="H13" s="17">
        <f>SUMIF(I$12:AB$12,"总值",I13:AB13)</f>
        <v>81.59</v>
      </c>
      <c r="I13" s="1514">
        <v>81.59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601</v>
      </c>
      <c r="AY13" s="1260">
        <f>ROUND($AY$6*AZ13/$AZ$5,2)</f>
        <v>0</v>
      </c>
      <c r="AZ13" s="13">
        <f>BA13+BL13</f>
        <v>81.59</v>
      </c>
      <c r="BA13" s="13">
        <f>SUM(BB13:BK13)</f>
        <v>81.59</v>
      </c>
      <c r="BB13" s="13">
        <f>IF($D13="是",I13-J13,0)</f>
        <v>81.59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8"/>
      <c r="G2" s="2431"/>
      <c r="H2" s="2432"/>
      <c r="I2" s="2145" t="s">
        <v>1132</v>
      </c>
      <c r="J2" s="2438"/>
      <c r="K2" s="2438"/>
      <c r="L2" s="2438"/>
      <c r="M2" s="2438"/>
      <c r="N2" s="2439"/>
      <c r="O2" s="2438"/>
      <c r="P2" s="2438"/>
    </row>
    <row r="3" spans="1:16" ht="15" thickBot="1">
      <c r="A3" s="3248" t="s">
        <v>1105</v>
      </c>
      <c r="B3" s="3248"/>
      <c r="C3" s="3248"/>
      <c r="D3" s="41">
        <f>'数据-基础表'!AY6</f>
        <v>0</v>
      </c>
      <c r="E3" s="41">
        <f>'数据-基础表'!AZ5</f>
        <v>81.59</v>
      </c>
      <c r="F3" s="2438"/>
      <c r="G3" s="42"/>
      <c r="H3" s="43" t="s">
        <v>1106</v>
      </c>
      <c r="I3" s="802" t="e">
        <f>ROUND('数据-基础表'!B3/'数据-基础表'!A3,2)</f>
        <v>#DIV/0!</v>
      </c>
      <c r="J3" s="2438"/>
      <c r="K3" s="2438"/>
      <c r="L3" s="2438"/>
      <c r="M3" s="2438"/>
      <c r="N3" s="2439"/>
      <c r="O3" s="2438"/>
      <c r="P3" s="2438"/>
    </row>
    <row r="4" spans="1:16" ht="14.4">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81.59</v>
      </c>
      <c r="F6" s="2438"/>
      <c r="G6" s="1529" t="s">
        <v>1112</v>
      </c>
      <c r="H6" s="45" t="s">
        <v>1113</v>
      </c>
      <c r="I6" s="2434" t="e">
        <f>ROUND(F31/D31,2)</f>
        <v>#DIV/0!</v>
      </c>
      <c r="J6" s="2438"/>
      <c r="K6" s="2438"/>
      <c r="L6" s="2438"/>
      <c r="M6" s="2438"/>
      <c r="N6" s="2438"/>
      <c r="O6" s="2438"/>
      <c r="P6" s="2438"/>
    </row>
    <row r="7" spans="1:16" ht="15" thickBot="1">
      <c r="A7" s="3244"/>
      <c r="B7" s="3245"/>
      <c r="C7" s="324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81.59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81.59</v>
      </c>
      <c r="F16" s="2438"/>
      <c r="G16" s="2438"/>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3425</v>
      </c>
      <c r="D19" s="43">
        <f>ROUND($D$3*E19/$E$3,2)</f>
        <v>0</v>
      </c>
      <c r="E19" s="51">
        <f t="shared" ref="E19:E26" si="1">SUM(F19:G19)</f>
        <v>81.59</v>
      </c>
      <c r="F19" s="2556">
        <f>'数据-基础表'!G13</f>
        <v>81.59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81.59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81.59</v>
      </c>
      <c r="F27" s="1072">
        <f>IF(SUM(F19:F26)=E8,SUM(F19:F26),"地上面积有误")</f>
        <v>81.59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81.59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81.59</v>
      </c>
      <c r="F31" s="644">
        <f>F27+F30</f>
        <v>81.59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V10" sqref="V1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55913</v>
      </c>
      <c r="F6" s="61">
        <f>SUMIF(项目基本情况!C$12:I$12,C6,项目基本情况!C$15:I$15)</f>
        <v>27.57</v>
      </c>
      <c r="G6" s="62">
        <f>IF(ISERROR(ROUND(POWER(1+H6,D6-F6)*(POWER(1+H6,F6)-1)/(POWER(1+H6,D6)-1),3)),0,ROUND(POWER(1+H6,D6-F6)*(POWER(1+H6,F6)-1)/(POWER(1+H6,D6)-1),3))</f>
        <v>0.86199999999999999</v>
      </c>
      <c r="H6" s="691">
        <v>0.05</v>
      </c>
      <c r="I6" s="691">
        <v>5.5E-2</v>
      </c>
      <c r="J6" s="63">
        <v>7.0000000000000007E-2</v>
      </c>
      <c r="K6" s="970">
        <f>SUMIF('数据-汇总表'!C$19:C$33,A6,'数据-汇总表'!E$19:E$33)</f>
        <v>81.59</v>
      </c>
      <c r="L6" s="692">
        <v>6000</v>
      </c>
      <c r="M6" s="64">
        <f t="shared" ref="M6:M14" si="0">ROUND(K6*L6/10000,0)</f>
        <v>49</v>
      </c>
      <c r="N6" s="690">
        <f>N20</f>
        <v>0.66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8</v>
      </c>
      <c r="V6" s="67">
        <v>0.02</v>
      </c>
      <c r="W6" s="67">
        <v>0.1</v>
      </c>
      <c r="X6" s="979"/>
      <c r="Y6" s="68">
        <f>N6</f>
        <v>0.66</v>
      </c>
      <c r="Z6" s="69"/>
      <c r="AA6" s="63"/>
      <c r="AB6" s="63"/>
      <c r="AC6" s="979"/>
      <c r="AD6" s="70"/>
      <c r="AE6" s="980">
        <f ca="1">IF(AN6="",0,SUMIF(INDIRECT("'"&amp;AN6&amp;"'"&amp;"!E:E"),$AE$5,INDIRECT("'"&amp;AN6&amp;"'"&amp;"!F:F")))</f>
        <v>27.57</v>
      </c>
      <c r="AF6" s="74"/>
      <c r="AG6" s="130">
        <f>IF(AF6="",0,AE6-AF6)</f>
        <v>0</v>
      </c>
      <c r="AH6" s="71"/>
      <c r="AI6" s="73">
        <v>365</v>
      </c>
      <c r="AJ6" s="74"/>
      <c r="AK6" s="75">
        <v>5.0000000000000001E-3</v>
      </c>
      <c r="AL6" s="76">
        <v>1E-3</v>
      </c>
      <c r="AM6" s="77">
        <v>5.0000000000000001E-3</v>
      </c>
      <c r="AN6" s="1589" t="s">
        <v>3442</v>
      </c>
      <c r="AO6" s="50">
        <f ca="1">SUMIF(INDIRECT("'"&amp;AN6&amp;"'"&amp;"!A:A"),"总价",INDIRECT("'"&amp;AN6&amp;"'"&amp;"!B:B"))</f>
        <v>304.02170000000001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511" t="s">
        <v>3443</v>
      </c>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0.86199999999999999</v>
      </c>
      <c r="H16" s="84">
        <f>ROUND(SUMPRODUCT(H6:H13,K6:K13)/SUMPRODUCT((H6:H13&gt;0)*(K6:K13)),3)</f>
        <v>0.05</v>
      </c>
      <c r="I16" s="85"/>
      <c r="J16" s="85"/>
      <c r="K16" s="86">
        <f>SUM(K6:K15)</f>
        <v>81.59</v>
      </c>
      <c r="L16" s="87">
        <f>ROUND(M16*10000/SUM(K6:K14),0)</f>
        <v>6006</v>
      </c>
      <c r="M16" s="87">
        <f>SUM(M6:M14)</f>
        <v>49</v>
      </c>
      <c r="N16" s="88">
        <f>ROUND(SUMPRODUCT(M6:M14,N6:N14)/M16,3)</f>
        <v>0.66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3508" t="s">
        <v>3439</v>
      </c>
      <c r="M17" s="3505" t="s">
        <v>3431</v>
      </c>
      <c r="N17" s="2447">
        <v>1996</v>
      </c>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3506" t="s">
        <v>673</v>
      </c>
      <c r="I18" s="2438"/>
      <c r="J18" s="2438"/>
      <c r="K18" s="2448"/>
      <c r="L18" s="2448"/>
      <c r="M18" s="2447"/>
      <c r="N18" s="2447">
        <f>ROUND(1-(1-0)*(2025-N17)/60,2)</f>
        <v>0.52</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3506" t="s">
        <v>3432</v>
      </c>
      <c r="I19" s="3506" t="s">
        <v>3433</v>
      </c>
      <c r="J19" s="3506" t="s">
        <v>3434</v>
      </c>
      <c r="K19" s="2448"/>
      <c r="L19" s="2448"/>
      <c r="M19" s="2447"/>
      <c r="N19" s="2447">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3506" t="s">
        <v>3435</v>
      </c>
      <c r="I20" s="3506" t="s">
        <v>3436</v>
      </c>
      <c r="J20" s="3506" t="s">
        <v>3437</v>
      </c>
      <c r="K20" s="2448"/>
      <c r="L20" s="2448"/>
      <c r="M20" s="2447"/>
      <c r="N20" s="2447">
        <f>ROUND((N18+N19)/2,2)</f>
        <v>0.66</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v>10</v>
      </c>
      <c r="I21" s="2438">
        <v>6</v>
      </c>
      <c r="J21" s="2438">
        <v>3</v>
      </c>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v>2</v>
      </c>
      <c r="I22" s="2438">
        <v>2</v>
      </c>
      <c r="J22" s="2438">
        <v>0</v>
      </c>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v>67000</v>
      </c>
      <c r="I23" s="2438">
        <v>100000</v>
      </c>
      <c r="J23" s="2438">
        <v>21000</v>
      </c>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v>52000</v>
      </c>
      <c r="I24" s="2438">
        <v>72000</v>
      </c>
      <c r="J24" s="2438">
        <v>21000</v>
      </c>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v>15000</v>
      </c>
      <c r="I25" s="2438">
        <v>28000</v>
      </c>
      <c r="J25" s="2438">
        <v>0</v>
      </c>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v>6002</v>
      </c>
      <c r="I26" s="2438">
        <v>4964</v>
      </c>
      <c r="J26" s="2438">
        <v>3045</v>
      </c>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v>2924</v>
      </c>
      <c r="I27" s="2438">
        <v>2788</v>
      </c>
      <c r="J27" s="2438">
        <v>1470</v>
      </c>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v>2105</v>
      </c>
      <c r="I28" s="2438">
        <v>2008</v>
      </c>
      <c r="J28" s="2438">
        <v>1470</v>
      </c>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v>5763</v>
      </c>
      <c r="I29" s="2438">
        <v>4793</v>
      </c>
      <c r="J29" s="2438" t="s">
        <v>3438</v>
      </c>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v>1397</v>
      </c>
      <c r="I30" s="2438">
        <v>700</v>
      </c>
      <c r="J30" s="2438">
        <v>350</v>
      </c>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v>1681</v>
      </c>
      <c r="I31" s="2438">
        <v>1476</v>
      </c>
      <c r="J31" s="2438">
        <v>1225</v>
      </c>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0.08</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3507">
        <v>0.48699999999999999</v>
      </c>
      <c r="I36" s="3507">
        <v>0.56200000000000006</v>
      </c>
      <c r="J36" s="3507">
        <v>0.48299999999999998</v>
      </c>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0.03</v>
      </c>
      <c r="C37" s="2563" t="s">
        <v>3383</v>
      </c>
      <c r="D37" s="2450"/>
      <c r="E37" s="2438"/>
      <c r="F37" s="2438"/>
      <c r="G37" s="2438"/>
      <c r="H37" s="3507">
        <v>0.23300000000000001</v>
      </c>
      <c r="I37" s="3507">
        <v>0.14099999999999999</v>
      </c>
      <c r="J37" s="3507">
        <v>0.115</v>
      </c>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0.03</v>
      </c>
      <c r="C38" s="2563" t="s">
        <v>3384</v>
      </c>
      <c r="D38" s="2450"/>
      <c r="E38" s="2438"/>
      <c r="F38" s="2438"/>
      <c r="G38" s="2438"/>
      <c r="H38" s="3507">
        <v>0.28000000000000003</v>
      </c>
      <c r="I38" s="3507">
        <v>0.29699999999999999</v>
      </c>
      <c r="J38" s="3507">
        <v>0.40200000000000002</v>
      </c>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3510" t="s">
        <v>3441</v>
      </c>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30</v>
      </c>
      <c r="C52" s="2439"/>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144</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f>C54</f>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81.59</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45849</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383</v>
      </c>
      <c r="C5" s="2299">
        <f ca="1">IF(B5=D14,结果表!H102,ROUND(B5*10000/$B$1,0))</f>
        <v>46957</v>
      </c>
      <c r="D5" s="2299" t="e">
        <f ca="1">ROUND(B5*10000/$B$2,0)</f>
        <v>#DIV/0!</v>
      </c>
      <c r="E5" s="2460"/>
      <c r="F5" s="2461"/>
      <c r="G5" s="2461"/>
      <c r="H5" s="2461"/>
      <c r="I5" s="2461"/>
      <c r="J5" s="2461"/>
      <c r="K5" s="2461"/>
    </row>
    <row r="6" spans="1:11" ht="15.6">
      <c r="A6" s="2299" t="s">
        <v>656</v>
      </c>
      <c r="B6" s="2299">
        <f ca="1">SUM(G14:G23)</f>
        <v>383</v>
      </c>
      <c r="C6" s="2299">
        <f ca="1">IF(B6=G14,结果表!H108,ROUND(B6*10000/$B$1,0))</f>
        <v>46957</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4"/>
      <c r="F10" s="3138" t="s">
        <v>3357</v>
      </c>
      <c r="G10" s="3135"/>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81.59</v>
      </c>
      <c r="C14" s="2305"/>
      <c r="D14" s="2305">
        <f ca="1">结果表!H101</f>
        <v>383</v>
      </c>
      <c r="E14" s="2305">
        <f ca="1">结果表!H102</f>
        <v>46957</v>
      </c>
      <c r="F14" s="2305" t="e">
        <f ca="1">ROUND(D14*10000/C14,0)</f>
        <v>#DIV/0!</v>
      </c>
      <c r="G14" s="2305">
        <f ca="1">结果表!H107</f>
        <v>383</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8" zoomScale="70" zoomScaleNormal="100" zoomScaleSheetLayoutView="7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3427</v>
      </c>
      <c r="H1" s="1621" t="str">
        <f>IF(G1="现房","——","估价对象范围")</f>
        <v>——</v>
      </c>
      <c r="I1" s="1622"/>
    </row>
    <row r="2" spans="1:12" ht="21.75" customHeight="1" thickBot="1">
      <c r="A2" s="3289" t="str">
        <f>项目基本情况!S2</f>
        <v>北京市东城区王府井大街201号6层601房地产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3457</v>
      </c>
      <c r="D4" s="1626" t="s">
        <v>3442</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6</v>
      </c>
      <c r="D14" s="3292">
        <v>4</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9" t="s">
        <v>2131</v>
      </c>
      <c r="F18" s="3280"/>
      <c r="G18" s="3280"/>
      <c r="H18" s="3280"/>
      <c r="I18" s="3280"/>
      <c r="K18" s="294" t="s">
        <v>1289</v>
      </c>
      <c r="L18" s="294">
        <f>IF(C1="",'数据-汇总表'!E3,SUMIF(项目类型,C1,'数据-汇总表'!E17:E26)+SUMIF(项目类型,C1,'数据-汇总表'!I17:I26))</f>
        <v>81.59</v>
      </c>
      <c r="M18" s="294">
        <f>IF(C1="",'数据-汇总表'!E3,SUMIF(项目类型,C1,'数据-汇总表'!E17:E26))</f>
        <v>81.59</v>
      </c>
    </row>
    <row r="19" spans="1:36" ht="14.4">
      <c r="A19" s="1630" t="s">
        <v>1290</v>
      </c>
      <c r="B19" s="1631" t="s">
        <v>1291</v>
      </c>
      <c r="C19" s="126">
        <f ca="1">SUMIF(INDIRECT("'"&amp;C4&amp;"'"&amp;"!A:A"),结果表!B19,INDIRECT("'"&amp;C4&amp;"'"&amp;"!B:B"))</f>
        <v>435.86320000000001</v>
      </c>
      <c r="D19" s="127">
        <f ca="1">SUMIF(INDIRECT("'"&amp;D4&amp;"'"&amp;"!A:A"),结果表!B19,INDIRECT("'"&amp;D4&amp;"'"&amp;"!B:B"))</f>
        <v>304.02170000000001</v>
      </c>
      <c r="E19" s="1630" t="s">
        <v>1292</v>
      </c>
      <c r="F19" s="1631" t="s">
        <v>1291</v>
      </c>
      <c r="G19" s="128">
        <f ca="1">ROUND(C19*$C$18+D19*$D$18,0)</f>
        <v>383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53421</v>
      </c>
      <c r="D20" s="130">
        <f ca="1">SUMIF(INDIRECT("'"&amp;D4&amp;"'"&amp;"!A:A"),结果表!B20,INDIRECT("'"&amp;D4&amp;"'"&amp;"!B:B"))</f>
        <v>37262</v>
      </c>
      <c r="E20" s="1633"/>
      <c r="F20" s="43" t="s">
        <v>1295</v>
      </c>
      <c r="G20" s="131">
        <f ca="1">ROUND(C20*$C$18+D20*$D$18,0)</f>
        <v>46957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0.43365818953055002</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46957</v>
      </c>
      <c r="D32" s="1641" t="s">
        <v>3455</v>
      </c>
      <c r="E32" s="121"/>
      <c r="F32" s="121"/>
      <c r="G32" s="121"/>
      <c r="H32" s="121"/>
      <c r="I32" s="121"/>
    </row>
    <row r="33" spans="1:15" ht="14.4">
      <c r="A33" s="740" t="s">
        <v>1306</v>
      </c>
      <c r="B33" s="123"/>
      <c r="C33" s="1642" t="s">
        <v>3456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383</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45849</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f ca="1">H101</f>
        <v>383</v>
      </c>
      <c r="N48" s="3341"/>
      <c r="O48" s="3341"/>
    </row>
    <row r="49" spans="1:35" ht="25.5" customHeight="1">
      <c r="A49" s="2151" t="s">
        <v>1341</v>
      </c>
      <c r="B49" s="3255" t="s">
        <v>1342</v>
      </c>
      <c r="C49" s="3255"/>
      <c r="D49" s="1478">
        <v>0</v>
      </c>
      <c r="E49" s="316" t="s">
        <v>1343</v>
      </c>
      <c r="F49" s="2232" t="s">
        <v>28</v>
      </c>
      <c r="G49" s="3325"/>
      <c r="H49" s="2133" t="s">
        <v>2134</v>
      </c>
      <c r="I49" s="2134"/>
      <c r="J49" s="2309">
        <v>4</v>
      </c>
      <c r="K49" s="3319" t="str">
        <f>IF(项目基本情况!E8="房地产抵押价值","房地产抵押价值","抵押担保权已注销时的房地产抵押价值")</f>
        <v>房地产抵押价值</v>
      </c>
      <c r="L49" s="3319"/>
      <c r="M49" s="3341">
        <f ca="1">IF(项目基本情况!E8="房地产抵押价值",H107,H109)</f>
        <v>383</v>
      </c>
      <c r="N49" s="3341"/>
      <c r="O49" s="3341"/>
    </row>
    <row r="50" spans="1:35" ht="25.5" customHeight="1">
      <c r="A50" s="2337"/>
      <c r="B50" s="3255" t="s">
        <v>1344</v>
      </c>
      <c r="C50" s="3255"/>
      <c r="D50" s="2188"/>
      <c r="E50" s="323"/>
      <c r="F50" s="2232"/>
      <c r="G50" s="3326"/>
      <c r="H50" s="2135" t="s">
        <v>2135</v>
      </c>
      <c r="I50" s="2134"/>
      <c r="J50" s="3338" t="s">
        <v>1345</v>
      </c>
      <c r="K50" s="3338"/>
      <c r="L50" s="3338"/>
      <c r="M50" s="3338"/>
      <c r="N50" s="3338"/>
      <c r="O50" s="3338"/>
    </row>
    <row r="51" spans="1:35" ht="20.399999999999999" customHeight="1">
      <c r="A51" s="2338"/>
      <c r="B51" s="3255" t="s">
        <v>1346</v>
      </c>
      <c r="C51" s="3255"/>
      <c r="D51" s="1024"/>
      <c r="E51" s="319"/>
      <c r="F51" s="2232"/>
      <c r="G51" s="3327"/>
      <c r="H51" s="2135" t="s">
        <v>2136</v>
      </c>
      <c r="I51" s="2134"/>
      <c r="J51" s="2310" t="s">
        <v>1347</v>
      </c>
      <c r="K51" s="3319" t="s">
        <v>1348</v>
      </c>
      <c r="L51" s="3319"/>
      <c r="M51" s="2310" t="s">
        <v>1349</v>
      </c>
      <c r="N51" s="2310" t="s">
        <v>1350</v>
      </c>
      <c r="O51" s="2310" t="s">
        <v>1351</v>
      </c>
    </row>
    <row r="52" spans="1:35" ht="24" customHeight="1">
      <c r="A52" s="2152" t="s">
        <v>1352</v>
      </c>
      <c r="B52" s="3255" t="s">
        <v>1353</v>
      </c>
      <c r="C52" s="3255"/>
      <c r="D52" s="1024">
        <f ca="1">ROUND(D45*'数据-取费表'!B41/(1+'数据-取费表'!C42),0)</f>
        <v>20</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2" t="s">
        <v>1356</v>
      </c>
      <c r="B53" s="3281" t="s">
        <v>2291</v>
      </c>
      <c r="C53" s="3282"/>
      <c r="D53" s="1024">
        <f ca="1">ROUND(D45*'数据-取费表'!B41/(1+'数据-取费表'!C42),0)</f>
        <v>20</v>
      </c>
      <c r="E53" s="1256" t="s">
        <v>1354</v>
      </c>
      <c r="F53" s="2339">
        <f>'数据-取费表'!B41</f>
        <v>5.6000000000000001E-2</v>
      </c>
      <c r="G53" s="2340"/>
      <c r="H53" s="2330"/>
      <c r="I53" s="1669"/>
      <c r="J53" s="2309">
        <v>2</v>
      </c>
      <c r="K53" s="3320" t="s">
        <v>1357</v>
      </c>
      <c r="L53" s="3320"/>
      <c r="M53" s="2311">
        <f t="shared" ref="M53:O54" ca="1" si="0">D55</f>
        <v>0</v>
      </c>
      <c r="N53" s="2309" t="str">
        <f t="shared" si="0"/>
        <v>销售额×税（费）率</v>
      </c>
      <c r="O53" s="2312" t="str">
        <f t="shared" si="0"/>
        <v>免征</v>
      </c>
    </row>
    <row r="54" spans="1:35" ht="12" customHeight="1">
      <c r="A54" s="2152" t="s">
        <v>1358</v>
      </c>
      <c r="B54" s="3281" t="s">
        <v>2292</v>
      </c>
      <c r="C54" s="3282"/>
      <c r="D54" s="1024">
        <f ca="1">C68</f>
        <v>20</v>
      </c>
      <c r="E54" s="319" t="s">
        <v>1359</v>
      </c>
      <c r="F54" s="2339">
        <f>'数据-取费表'!B41</f>
        <v>5.6000000000000001E-2</v>
      </c>
      <c r="G54" s="2340"/>
      <c r="H54" s="2341"/>
      <c r="I54" s="1669"/>
      <c r="J54" s="2309">
        <v>3</v>
      </c>
      <c r="K54" s="3320" t="s">
        <v>1360</v>
      </c>
      <c r="L54" s="3320"/>
      <c r="M54" s="2311">
        <f t="shared" ca="1" si="0"/>
        <v>217</v>
      </c>
      <c r="N54" s="2309" t="str">
        <f t="shared" si="0"/>
        <v>增值额×税（费）率</v>
      </c>
      <c r="O54" s="2313" t="str">
        <f t="shared" si="0"/>
        <v>免征</v>
      </c>
    </row>
    <row r="55" spans="1:35" ht="24" customHeight="1">
      <c r="A55" s="3270" t="s">
        <v>1361</v>
      </c>
      <c r="B55" s="3271"/>
      <c r="C55" s="3271"/>
      <c r="D55" s="12">
        <f ca="1">IF(H55="个人住宅",0,ROUND(D45*I55,0))</f>
        <v>0</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f ca="1">D59</f>
        <v>4</v>
      </c>
      <c r="N55" s="1883" t="str">
        <f>E59</f>
        <v>差额计税</v>
      </c>
      <c r="O55" s="2315">
        <f>F59</f>
        <v>0.01</v>
      </c>
    </row>
    <row r="56" spans="1:35" ht="25.2">
      <c r="A56" s="3270" t="s">
        <v>1363</v>
      </c>
      <c r="B56" s="3271"/>
      <c r="C56" s="3271"/>
      <c r="D56" s="12">
        <f ca="1">IF(H56="个人住宅",D57,D58)</f>
        <v>217</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2"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221</v>
      </c>
      <c r="O57" s="2319"/>
      <c r="P57" s="2463">
        <f ca="1">N57/M49</f>
        <v>0.57702349869451697</v>
      </c>
    </row>
    <row r="58" spans="1:35" ht="25.2">
      <c r="A58" s="2152" t="s">
        <v>1352</v>
      </c>
      <c r="B58" s="3281" t="s">
        <v>1369</v>
      </c>
      <c r="C58" s="3255"/>
      <c r="D58" s="12">
        <f ca="1">IF(H58="转让取得",C81,C97)</f>
        <v>217</v>
      </c>
      <c r="E58" s="1256" t="s">
        <v>1364</v>
      </c>
      <c r="F58" s="294" t="s">
        <v>28</v>
      </c>
      <c r="G58" s="2340"/>
      <c r="H58" s="2343"/>
      <c r="I58" s="1670"/>
      <c r="J58" s="3320"/>
      <c r="K58" s="3320"/>
      <c r="L58" s="2316" t="s">
        <v>1370</v>
      </c>
      <c r="M58" s="2320"/>
      <c r="N58" s="2321" t="str">
        <f ca="1">NUMBERSTRING(INT(N57*10000),2)&amp;"元整"</f>
        <v>贰佰贰拾壹万元整</v>
      </c>
      <c r="O58" s="2322"/>
    </row>
    <row r="59" spans="1:35" ht="24.6" thickBot="1">
      <c r="A59" s="3323" t="s">
        <v>1371</v>
      </c>
      <c r="B59" s="3324"/>
      <c r="C59" s="3324"/>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1">
        <f>J57+1</f>
        <v>6</v>
      </c>
      <c r="K59" s="3320" t="s">
        <v>1372</v>
      </c>
      <c r="L59" s="2309" t="s">
        <v>1368</v>
      </c>
      <c r="M59" s="2323"/>
      <c r="N59" s="2324">
        <f ca="1">M49-N57</f>
        <v>162</v>
      </c>
      <c r="O59" s="2325"/>
    </row>
    <row r="60" spans="1:35" ht="12" customHeight="1">
      <c r="A60" s="1671"/>
      <c r="B60" s="646"/>
      <c r="C60" s="646"/>
      <c r="D60" s="646"/>
      <c r="E60" s="1466"/>
      <c r="F60" s="1670"/>
      <c r="G60" s="1670"/>
      <c r="H60" s="151"/>
      <c r="I60" s="121"/>
      <c r="J60" s="3322"/>
      <c r="K60" s="3320"/>
      <c r="L60" s="2316" t="s">
        <v>1370</v>
      </c>
      <c r="M60" s="2320"/>
      <c r="N60" s="2321" t="str">
        <f ca="1">NUMBERSTRING(INT(N59*10000),2)&amp;"元整"</f>
        <v>壹佰陆拾贰万元整</v>
      </c>
      <c r="O60" s="2322"/>
    </row>
    <row r="61" spans="1:35" ht="13.8" thickBot="1">
      <c r="A61" s="3268" t="s">
        <v>1373</v>
      </c>
      <c r="B61" s="3268"/>
      <c r="C61" s="3268"/>
      <c r="D61" s="3268"/>
      <c r="E61" s="3268"/>
      <c r="F61" s="1670"/>
      <c r="G61" s="1670"/>
      <c r="H61" s="151"/>
      <c r="I61" s="121"/>
      <c r="J61" s="2309">
        <f>J59+1</f>
        <v>7</v>
      </c>
      <c r="K61" s="3320" t="s">
        <v>1374</v>
      </c>
      <c r="L61" s="3320"/>
      <c r="M61" s="2326"/>
      <c r="N61" s="2327">
        <f ca="1">ROUND(N59*10000/'数据-汇总表'!E3,0)</f>
        <v>19855</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f ca="1">ROUND((C64+C65)/(1+'数据-取费表'!C42),0)</f>
        <v>365</v>
      </c>
      <c r="D63" s="159"/>
      <c r="E63" s="160"/>
      <c r="F63" s="1670"/>
      <c r="G63" s="1670"/>
      <c r="H63" s="151"/>
      <c r="I63" s="121"/>
      <c r="J63" s="3345" t="s">
        <v>1379</v>
      </c>
      <c r="K63" s="1245" t="s">
        <v>1380</v>
      </c>
      <c r="L63" s="1245">
        <f ca="1">IF(M49&gt;10000,M49*0.5%,IF(AND(M49&gt;1000,M49&lt;=10000),M49*1%,IF(AND(M49&gt;100,M49&lt;=1000),M49*3%,IF(AND(M49&gt;10,M49&lt;=100),M49*5%,M49*8%))))</f>
        <v>11.49</v>
      </c>
      <c r="M63" s="294">
        <f ca="1">ROUND(L63,1)</f>
        <v>11.5</v>
      </c>
      <c r="N63" s="2329"/>
      <c r="Z63" s="1623"/>
      <c r="AI63" s="1561"/>
    </row>
    <row r="64" spans="1:35" ht="14.25" customHeight="1">
      <c r="A64" s="161" t="s">
        <v>325</v>
      </c>
      <c r="B64" s="162" t="s">
        <v>1381</v>
      </c>
      <c r="C64" s="2350">
        <f ca="1">D45</f>
        <v>383</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3.0640000000000001</v>
      </c>
      <c r="M64" s="294">
        <f t="shared" ref="M64:M65" ca="1" si="1">ROUND(L64,1)</f>
        <v>3.1</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f ca="1">IF(M49&gt;1000,M49*0.1%,IF(AND(M49&gt;500,M49&lt;=1000),M49*0.5%,IF(AND(M49&gt;50,M49&lt;=500),M49*1%,IF(AND(M49&gt;1,M49&lt;=50),M49*1.5%))))</f>
        <v>3.83</v>
      </c>
      <c r="M65" s="294">
        <f t="shared" ca="1" si="1"/>
        <v>3.8</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f ca="1">M49*0.5%</f>
        <v>1.915</v>
      </c>
      <c r="M66" s="294">
        <f ca="1">IF(L66&gt;0.5,0.5,ROUND(L66,0))</f>
        <v>0.5</v>
      </c>
      <c r="N66" s="2330" t="s">
        <v>1388</v>
      </c>
      <c r="Z66" s="1623"/>
      <c r="AI66" s="1561"/>
    </row>
    <row r="67" spans="1:35" ht="14.25" customHeight="1">
      <c r="A67" s="165" t="s">
        <v>328</v>
      </c>
      <c r="B67" s="166" t="s">
        <v>1389</v>
      </c>
      <c r="C67" s="2353">
        <f ca="1">C63-C66</f>
        <v>365</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1.2075</v>
      </c>
      <c r="M67" s="294">
        <f ca="1">ROUND(L67*0.9,1)</f>
        <v>1.1000000000000001</v>
      </c>
      <c r="N67" s="2329"/>
      <c r="Z67" s="1623"/>
      <c r="AI67" s="1561"/>
    </row>
    <row r="68" spans="1:35" ht="14.25" customHeight="1" thickBot="1">
      <c r="A68" s="168" t="s">
        <v>329</v>
      </c>
      <c r="B68" s="169" t="s">
        <v>1391</v>
      </c>
      <c r="C68" s="2354">
        <f ca="1">IF(C67&lt;=0,0,ROUND(C67*D68,0))</f>
        <v>20</v>
      </c>
      <c r="D68" s="2355">
        <f>'数据-取费表'!B41</f>
        <v>5.6000000000000001E-2</v>
      </c>
      <c r="E68" s="170"/>
      <c r="F68" s="1670"/>
      <c r="G68" s="1670"/>
      <c r="H68" s="151"/>
      <c r="I68" s="121"/>
      <c r="J68" s="3345"/>
      <c r="K68" s="1245" t="s">
        <v>1392</v>
      </c>
      <c r="L68" s="1245">
        <f ca="1">IF(M49&gt;10000,M49*0.5%,IF(AND(M49&gt;5000,M49&lt;=10000),M49*1%,IF(AND(M49&gt;1000,M49&lt;=5000),M49*2%,IF(AND(M49&gt;200,M49&lt;=1000),M49*3%,M49*5%))))</f>
        <v>11.49</v>
      </c>
      <c r="M68" s="294">
        <f ca="1">ROUND(L68,1)</f>
        <v>11.5</v>
      </c>
      <c r="N68" s="2329"/>
      <c r="Z68" s="1623"/>
      <c r="AI68" s="1561"/>
    </row>
    <row r="69" spans="1:35" ht="16.5" customHeight="1">
      <c r="A69" s="1672"/>
      <c r="B69" s="1673"/>
      <c r="C69" s="1674"/>
      <c r="D69" s="1675"/>
      <c r="E69" s="1676"/>
      <c r="F69" s="1466"/>
      <c r="G69" s="1466"/>
      <c r="H69" s="1467"/>
      <c r="I69" s="646"/>
      <c r="J69" s="3345"/>
      <c r="K69" s="1245" t="s">
        <v>1393</v>
      </c>
      <c r="L69" s="1245"/>
      <c r="M69" s="294">
        <f ca="1">ROUND(SUM(M63:M68),0)</f>
        <v>32</v>
      </c>
      <c r="N69" s="2331">
        <f ca="1">M69/M49</f>
        <v>8.3550913838120106E-2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365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217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365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363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217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70" t="str">
        <f>C4</f>
        <v>成本法 (元)</v>
      </c>
      <c r="D101" s="2371" t="str">
        <f>D4</f>
        <v>收益法 (元)</v>
      </c>
      <c r="E101" s="3342" t="s">
        <v>1431</v>
      </c>
      <c r="F101" s="3299"/>
      <c r="G101" s="1687" t="s">
        <v>1432</v>
      </c>
      <c r="H101" s="2380">
        <f ca="1">H118</f>
        <v>383</v>
      </c>
      <c r="I101" s="121"/>
    </row>
    <row r="102" spans="1:35" ht="18.75" customHeight="1">
      <c r="A102" s="3301" t="s">
        <v>1433</v>
      </c>
      <c r="B102" s="2369" t="s">
        <v>1432</v>
      </c>
      <c r="C102" s="2370">
        <f ca="1">IF(D32="楼面单价",ROUND(C19,0),C19)</f>
        <v>436</v>
      </c>
      <c r="D102" s="2371">
        <f ca="1">IF(D32="楼面单价",ROUND(D19,0),D19)</f>
        <v>304</v>
      </c>
      <c r="E102" s="3342"/>
      <c r="F102" s="3299"/>
      <c r="G102" s="1687" t="s">
        <v>1434</v>
      </c>
      <c r="H102" s="2340">
        <f ca="1">I118</f>
        <v>46957</v>
      </c>
      <c r="I102" s="121"/>
    </row>
    <row r="103" spans="1:35" ht="42.75" customHeight="1">
      <c r="A103" s="3301"/>
      <c r="B103" s="2369" t="s">
        <v>1434</v>
      </c>
      <c r="C103" s="2372">
        <f ca="1">C20</f>
        <v>53421</v>
      </c>
      <c r="D103" s="2373">
        <f ca="1">D20</f>
        <v>37262</v>
      </c>
      <c r="E103" s="3336" t="s">
        <v>1435</v>
      </c>
      <c r="F103" s="3337"/>
      <c r="G103" s="1688" t="s">
        <v>1436</v>
      </c>
      <c r="H103" s="2380">
        <f>IF(D36="正常操作",H104+H105+H106,H105+H106)</f>
        <v>0</v>
      </c>
      <c r="I103" s="121"/>
    </row>
    <row r="104" spans="1:35" ht="18.75" customHeight="1">
      <c r="A104" s="3301" t="s">
        <v>1437</v>
      </c>
      <c r="B104" s="2374" t="s">
        <v>1432</v>
      </c>
      <c r="C104" s="2375">
        <f ca="1">H118</f>
        <v>383</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f ca="1">I118</f>
        <v>46957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f ca="1">IF(E107="——","——",H101-H103)</f>
        <v>383</v>
      </c>
      <c r="I107" s="121"/>
    </row>
    <row r="108" spans="1:35" ht="18.75" customHeight="1">
      <c r="A108" s="121"/>
      <c r="B108" s="121"/>
      <c r="C108" s="121"/>
      <c r="D108" s="121"/>
      <c r="E108" s="3298"/>
      <c r="F108" s="3299"/>
      <c r="G108" s="1687" t="s">
        <v>1434</v>
      </c>
      <c r="H108" s="2340">
        <f ca="1">IF(H107=H101,H102,ROUND(H107*10000/'数据-汇总表'!E3,0))</f>
        <v>46957</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9" t="s">
        <v>1449</v>
      </c>
      <c r="E117" s="2149" t="s">
        <v>1450</v>
      </c>
      <c r="F117" s="2149" t="s">
        <v>1449</v>
      </c>
      <c r="G117" s="2149" t="s">
        <v>1451</v>
      </c>
      <c r="H117" s="2149" t="s">
        <v>1449</v>
      </c>
      <c r="I117" s="2149" t="s">
        <v>1451</v>
      </c>
    </row>
    <row r="118" spans="1:27" ht="24.75" customHeight="1">
      <c r="A118" s="2385" t="str">
        <f>项目基本情况!S2</f>
        <v>北京市东城区王府井大街201号6层601房地产</v>
      </c>
      <c r="B118" s="2149">
        <f>M18</f>
        <v>81.59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383</v>
      </c>
      <c r="I118" s="2149">
        <f ca="1">ROUND(IF(D32="楼面单价",C32,H118*10000/B118),0)</f>
        <v>46957</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叁佰捌拾叁万元整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383</v>
      </c>
      <c r="E122" s="3334"/>
      <c r="F122" s="3334"/>
      <c r="G122" s="3334"/>
      <c r="H122" s="3334"/>
      <c r="I122" s="3335"/>
      <c r="AA122" s="684"/>
    </row>
    <row r="123" spans="1:27" ht="18.75" customHeight="1">
      <c r="A123" s="3269" t="s">
        <v>1452</v>
      </c>
      <c r="B123" s="3269"/>
      <c r="C123" s="3269"/>
      <c r="D123" s="3309" t="str">
        <f ca="1">NUMBERSTRING(INT(D122*10000),2)&amp;"元整"</f>
        <v>叁佰捌拾叁万元整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6618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81.59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81.59</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49</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81.59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8.9999999999999998E-4</v>
      </c>
      <c r="D44" s="230"/>
      <c r="E44" s="230"/>
      <c r="F44" s="231"/>
      <c r="G44" s="3351"/>
    </row>
    <row r="45" spans="1:7" s="206" customFormat="1" ht="13.5" customHeight="1">
      <c r="A45" s="247" t="s">
        <v>1547</v>
      </c>
      <c r="B45" s="236" t="s">
        <v>1513</v>
      </c>
      <c r="C45" s="237">
        <f ca="1">C46</f>
        <v>12</v>
      </c>
      <c r="D45" s="227">
        <f ca="1">C47</f>
        <v>6.0000000000000001E-3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79</v>
      </c>
      <c r="D49" s="224"/>
      <c r="E49" s="224"/>
      <c r="F49" s="256"/>
      <c r="G49" s="226" t="s">
        <v>1554</v>
      </c>
    </row>
    <row r="50" spans="1:7" s="250" customFormat="1" ht="24">
      <c r="A50" s="247" t="s">
        <v>1555</v>
      </c>
      <c r="B50" s="202" t="s">
        <v>1556</v>
      </c>
      <c r="C50" s="224"/>
      <c r="D50" s="224"/>
      <c r="E50" s="224"/>
      <c r="F50" s="256">
        <f>IF('数据-取费表'!B24=0,'数据-取费表'!N16,1)</f>
        <v>0.66</v>
      </c>
      <c r="G50" s="239" t="s">
        <v>1557</v>
      </c>
    </row>
    <row r="51" spans="1:7" ht="16.5" customHeight="1">
      <c r="A51" s="247" t="s">
        <v>1558</v>
      </c>
      <c r="B51" s="202" t="s">
        <v>1559</v>
      </c>
      <c r="C51" s="224">
        <f ca="1">ROUND(C49*F50,0)</f>
        <v>52</v>
      </c>
      <c r="D51" s="224"/>
      <c r="E51" s="224"/>
      <c r="F51" s="256"/>
      <c r="G51" s="226" t="s">
        <v>1560</v>
      </c>
    </row>
    <row r="52" spans="1:7" s="200" customFormat="1" ht="16.8" thickBot="1">
      <c r="A52" s="257" t="s">
        <v>1561</v>
      </c>
      <c r="B52" s="258"/>
      <c r="C52" s="259">
        <f ca="1">C31+C51</f>
        <v>54</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北京市东城区王府井大街201号6层601房地产抵押价值预评估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435.86320000000001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53421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2698086</v>
      </c>
      <c r="D5" s="203" t="s">
        <v>1469</v>
      </c>
      <c r="E5" s="204" t="s">
        <v>1470</v>
      </c>
      <c r="F5" s="204" t="s">
        <v>1471</v>
      </c>
      <c r="G5" s="205"/>
    </row>
    <row r="6" spans="1:8" s="206" customFormat="1" ht="13.5" customHeight="1">
      <c r="A6" s="732" t="s">
        <v>1472</v>
      </c>
      <c r="B6" s="207" t="s">
        <v>1473</v>
      </c>
      <c r="C6" s="208">
        <f>ROUND(基准地价修正!U7*基准地价修正!T7,0)</f>
        <v>2602395</v>
      </c>
      <c r="D6" s="209"/>
      <c r="E6" s="210"/>
      <c r="F6" s="210"/>
      <c r="G6" s="211"/>
    </row>
    <row r="7" spans="1:8" s="206" customFormat="1" ht="13.5" customHeight="1">
      <c r="A7" s="732" t="s">
        <v>1474</v>
      </c>
      <c r="B7" s="207" t="s">
        <v>1475</v>
      </c>
      <c r="C7" s="212">
        <f>ROUND(C6*F7,0)</f>
        <v>79373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16318</v>
      </c>
      <c r="D8" s="214"/>
      <c r="E8" s="212"/>
      <c r="F8" s="213"/>
      <c r="G8" s="1714" t="s">
        <v>3453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16318</v>
      </c>
      <c r="D10" s="795">
        <f ca="1">IF(B1="",'数据-汇总表'!E6,IF(INDIRECT("'数据-取费表'!c"&amp;$G$1)="住宅",INDIRECT("'数据-取费表'!s"&amp;$G$1),INDIRECT("'数据-取费表'!k"&amp;$G$1)+INDIRECT("'数据-取费表'!s"&amp;$G$1)))</f>
        <v>81.59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81.59</v>
      </c>
      <c r="E19" s="203">
        <f>'数据-取费表'!B31</f>
        <v>200</v>
      </c>
      <c r="F19" s="223"/>
      <c r="G19" s="1714" t="s">
        <v>3454</v>
      </c>
    </row>
    <row r="20" spans="1:7" s="206" customFormat="1" ht="13.5" customHeight="1">
      <c r="A20" s="247" t="s">
        <v>1574</v>
      </c>
      <c r="B20" s="202" t="s">
        <v>1575</v>
      </c>
      <c r="C20" s="224">
        <f ca="1">ROUND((C5+C19)*F20,0)</f>
        <v>80943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166741</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164313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2428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555806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555806</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3848732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554812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489540</v>
      </c>
      <c r="D34" s="209"/>
      <c r="E34" s="212"/>
      <c r="F34" s="249"/>
      <c r="G34" s="211"/>
    </row>
    <row r="35" spans="1:7" ht="13.5" customHeight="1">
      <c r="A35" s="734" t="s">
        <v>351</v>
      </c>
      <c r="B35" s="207" t="s">
        <v>1527</v>
      </c>
      <c r="C35" s="212">
        <f ca="1">ROUND(C34*F35,0)</f>
        <v>39163</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16318</v>
      </c>
      <c r="D37" s="209">
        <f ca="1">D19</f>
        <v>81.59</v>
      </c>
      <c r="E37" s="241">
        <f>'数据-取费表'!B35</f>
        <v>200</v>
      </c>
      <c r="F37" s="251"/>
      <c r="G37" s="253"/>
    </row>
    <row r="38" spans="1:7" ht="13.5" customHeight="1">
      <c r="A38" s="734" t="s">
        <v>354</v>
      </c>
      <c r="B38" s="207" t="s">
        <v>1533</v>
      </c>
      <c r="C38" s="212">
        <f ca="1">ROUND(C34*F38,0)</f>
        <v>9791</v>
      </c>
      <c r="D38" s="212"/>
      <c r="E38" s="212"/>
      <c r="F38" s="251">
        <f>'数据-取费表'!B36</f>
        <v>0.02</v>
      </c>
      <c r="G38" s="211" t="s">
        <v>1528</v>
      </c>
    </row>
    <row r="39" spans="1:7" s="206" customFormat="1" ht="13.5" customHeight="1">
      <c r="A39" s="247" t="s">
        <v>1534</v>
      </c>
      <c r="B39" s="202" t="s">
        <v>1535</v>
      </c>
      <c r="C39" s="224">
        <f ca="1">ROUND(C33*F20,0)</f>
        <v>16644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17143</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16644</v>
      </c>
      <c r="D42" s="230"/>
      <c r="E42" s="230"/>
      <c r="F42" s="231"/>
      <c r="G42" s="3349" t="s">
        <v>1591</v>
      </c>
    </row>
    <row r="43" spans="1:7" ht="13.5" customHeight="1">
      <c r="A43" s="734" t="s">
        <v>347</v>
      </c>
      <c r="B43" s="207" t="s">
        <v>1545</v>
      </c>
      <c r="C43" s="230">
        <f ca="1">ROUND(IF('数据-取费表'!B22&lt;=1,C39*F22*'数据-取费表'!B20/2,C39*(POWER((1+F22),'数据-取费表'!B20/2)-1)),0)</f>
        <v>499</v>
      </c>
      <c r="D43" s="230"/>
      <c r="E43" s="230"/>
      <c r="F43" s="231"/>
      <c r="G43" s="3350"/>
    </row>
    <row r="44" spans="1:7" ht="13.5" customHeight="1">
      <c r="A44" s="734" t="s">
        <v>348</v>
      </c>
      <c r="B44" s="207" t="s">
        <v>1546</v>
      </c>
      <c r="C44" s="230">
        <f ca="1">ROUND(IF('数据-取费表'!B22&lt;=1,C40*F22*'数据-取费表'!B20/2,C40*(POWER((1+F22),'数据-取费表'!B20/2)-1)),4)</f>
        <v>8.9999999999999998E-4</v>
      </c>
      <c r="D44" s="230"/>
      <c r="E44" s="230"/>
      <c r="F44" s="231"/>
      <c r="G44" s="3351"/>
    </row>
    <row r="45" spans="1:7" s="206" customFormat="1" ht="13.5" customHeight="1">
      <c r="A45" s="247" t="s">
        <v>1547</v>
      </c>
      <c r="B45" s="236" t="s">
        <v>1513</v>
      </c>
      <c r="C45" s="237">
        <f ca="1">C46</f>
        <v>114291</v>
      </c>
      <c r="D45" s="227">
        <f ca="1">C47</f>
        <v>6.0000000000000001E-3</v>
      </c>
      <c r="E45" s="228" t="s">
        <v>1539</v>
      </c>
      <c r="F45" s="238">
        <f ca="1">F27</f>
        <v>0.2</v>
      </c>
      <c r="G45" s="239" t="s">
        <v>1548</v>
      </c>
    </row>
    <row r="46" spans="1:7" s="206" customFormat="1" ht="13.5" customHeight="1">
      <c r="A46" s="734" t="s">
        <v>346</v>
      </c>
      <c r="B46" s="240" t="s">
        <v>1549</v>
      </c>
      <c r="C46" s="241">
        <f ca="1">ROUND((C33+C39)*F27,0)</f>
        <v>114291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772576</v>
      </c>
      <c r="D49" s="224"/>
      <c r="E49" s="224"/>
      <c r="F49" s="256"/>
      <c r="G49" s="226" t="s">
        <v>1554</v>
      </c>
    </row>
    <row r="50" spans="1:7" s="250" customFormat="1">
      <c r="A50" s="247" t="s">
        <v>1555</v>
      </c>
      <c r="B50" s="202" t="s">
        <v>1556</v>
      </c>
      <c r="C50" s="224"/>
      <c r="D50" s="224"/>
      <c r="E50" s="224"/>
      <c r="F50" s="256">
        <f>IF('数据-取费表'!B24=0,'数据-取费表'!N16,1)</f>
        <v>0.66</v>
      </c>
      <c r="G50" s="239"/>
    </row>
    <row r="51" spans="1:7" ht="16.5" customHeight="1">
      <c r="A51" s="247" t="s">
        <v>1558</v>
      </c>
      <c r="B51" s="202" t="s">
        <v>1593</v>
      </c>
      <c r="C51" s="224">
        <f ca="1">ROUND(C49*F50,0)</f>
        <v>509900</v>
      </c>
      <c r="D51" s="224"/>
      <c r="E51" s="224"/>
      <c r="F51" s="256"/>
      <c r="G51" s="226" t="s">
        <v>1560</v>
      </c>
    </row>
    <row r="52" spans="1:7" s="200" customFormat="1" ht="16.8" thickBot="1">
      <c r="A52" s="257" t="s">
        <v>1561</v>
      </c>
      <c r="B52" s="258"/>
      <c r="C52" s="259">
        <f ca="1">C31+C51</f>
        <v>4358632</v>
      </c>
      <c r="D52" s="258"/>
      <c r="E52" s="258"/>
      <c r="F52" s="258"/>
      <c r="G52" s="260"/>
    </row>
    <row r="55" spans="1:7" ht="15">
      <c r="B55" s="262" t="s">
        <v>1562</v>
      </c>
      <c r="C55" s="263"/>
    </row>
    <row r="56" spans="1:7">
      <c r="B56" s="265" t="s">
        <v>802</v>
      </c>
      <c r="C56" s="267">
        <f ca="1">1-C57</f>
        <v>0.88300000000000001</v>
      </c>
    </row>
    <row r="57" spans="1:7">
      <c r="B57" s="265" t="s">
        <v>803</v>
      </c>
      <c r="C57" s="266">
        <f ca="1">ROUND(C51/C52,3)</f>
        <v>0.11700000000000001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-245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81.59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81.59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81.59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#VALUE!</v>
      </c>
      <c r="D5" s="1273" t="s">
        <v>693</v>
      </c>
      <c r="E5" s="1008"/>
      <c r="F5" s="1009"/>
      <c r="G5" s="1292"/>
      <c r="H5" s="291">
        <v>1</v>
      </c>
      <c r="I5" s="292" t="s">
        <v>692</v>
      </c>
      <c r="J5" s="1007">
        <f ca="1">J6+J10+J12</f>
        <v>0</v>
      </c>
      <c r="K5" s="1273" t="s">
        <v>693</v>
      </c>
      <c r="L5" s="1008"/>
      <c r="M5" s="1009"/>
    </row>
    <row r="6" spans="1:37" ht="18" customHeight="1">
      <c r="A6" s="1006" t="s">
        <v>398</v>
      </c>
      <c r="B6" s="3354" t="s">
        <v>694</v>
      </c>
      <c r="C6" s="1011" t="e">
        <f ca="1">ROUND(F6*F8*F7*(1-F9)/10000,0)</f>
        <v>#VALUE!</v>
      </c>
      <c r="D6" s="147" t="s">
        <v>2109</v>
      </c>
      <c r="E6" s="294" t="s">
        <v>696</v>
      </c>
      <c r="F6" s="295" t="str">
        <f ca="1">INDIRECT("'数据-取费表'!u"&amp;$G$1)</f>
        <v>租金根据委托方给的信息取</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9" t="e">
        <f ca="1">ROUND(IF(AND(项目基本情况!B11="自然人",项目基本情况!B10="北京市"),C6*F31/(1+'数据-取费表'!C42),C32+C33+C34),2)</f>
        <v>#VALUE!</v>
      </c>
      <c r="D31" s="1257" t="s">
        <v>720</v>
      </c>
      <c r="E31" s="1256" t="s">
        <v>770</v>
      </c>
      <c r="F31" s="2138"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t="e">
        <f ca="1">IF(项目基本情况!B11="自然人","——",ROUND(C6*F32/(1+'数据-取费表'!C42),2))</f>
        <v>#VALUE!</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e">
        <f ca="1">IF(项目基本情况!B11="自然人","——",IF(D33="按租金收入计税",ROUND(C6*F33/(1+'数据-取费表'!C42),2),IF(D33="按房产原值计税",ROUND(C29*F33*0.7,2),INDIRECT("'数据-取费表'!Aj"&amp;$G$1))))</f>
        <v>#VALUE!</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t="e">
        <f ca="1">ROUND(C5*F38,2)</f>
        <v>#VALUE!</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2" t="s">
        <v>837</v>
      </c>
      <c r="L53" s="3353"/>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f ca="1">C48-C58</f>
        <v>0</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27.57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304.02170000000001</v>
      </c>
      <c r="C2" s="1289" t="s">
        <v>879</v>
      </c>
      <c r="D2" s="1375">
        <f ca="1">C40+J29+L46</f>
        <v>3040217</v>
      </c>
      <c r="E2" s="1295" t="s">
        <v>880</v>
      </c>
      <c r="F2" s="1296"/>
      <c r="G2" s="2477"/>
      <c r="H2" s="2467"/>
      <c r="I2" s="2467"/>
      <c r="J2" s="2467"/>
      <c r="K2" s="2468"/>
      <c r="L2" s="2467"/>
      <c r="M2" s="2467"/>
    </row>
    <row r="3" spans="1:37" ht="18" customHeight="1" thickBot="1">
      <c r="A3" s="1297" t="s">
        <v>881</v>
      </c>
      <c r="B3" s="1298">
        <f ca="1">IF(ISERROR(D2/F43),0,ROUND(D2/F43,0))</f>
        <v>37262</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214687</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214419</v>
      </c>
      <c r="D6" s="147" t="s">
        <v>2106</v>
      </c>
      <c r="E6" s="294" t="s">
        <v>696</v>
      </c>
      <c r="F6" s="295">
        <f ca="1">INDIRECT("'数据-取费表'!u"&amp;$G$1)</f>
        <v>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81.59</v>
      </c>
      <c r="G7" s="1292"/>
      <c r="H7" s="296"/>
      <c r="I7" s="3355"/>
      <c r="J7" s="298"/>
      <c r="K7" s="299"/>
      <c r="L7" s="294" t="s">
        <v>697</v>
      </c>
      <c r="M7" s="295">
        <f ca="1">F7</f>
        <v>81.59</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268</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509900</v>
      </c>
      <c r="D13" s="1018" t="s">
        <v>705</v>
      </c>
      <c r="E13" s="1018" t="s">
        <v>706</v>
      </c>
      <c r="F13" s="1019">
        <f ca="1">INDIRECT("'数据-取费表'!y"&amp;$G$1)</f>
        <v>0.66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489540</v>
      </c>
      <c r="D14" s="1257" t="s">
        <v>708</v>
      </c>
      <c r="E14" s="1255"/>
      <c r="F14" s="311"/>
      <c r="G14" s="1292"/>
      <c r="H14" s="928" t="s">
        <v>398</v>
      </c>
      <c r="I14" s="294" t="s">
        <v>709</v>
      </c>
      <c r="J14" s="21">
        <f ca="1">C29</f>
        <v>772576</v>
      </c>
      <c r="K14" s="12"/>
      <c r="L14" s="759"/>
      <c r="M14" s="760"/>
    </row>
    <row r="15" spans="1:37" s="1304" customFormat="1" ht="18" customHeight="1" thickBot="1">
      <c r="A15" s="928" t="s">
        <v>399</v>
      </c>
      <c r="B15" s="294" t="s">
        <v>710</v>
      </c>
      <c r="C15" s="21">
        <f ca="1">ROUND(C14*F15,0)</f>
        <v>39163</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3863</v>
      </c>
      <c r="K16" s="1024" t="s">
        <v>715</v>
      </c>
      <c r="L16" s="1025"/>
      <c r="M16" s="1009"/>
    </row>
    <row r="17" spans="1:37" s="1304" customFormat="1" ht="18" customHeight="1">
      <c r="A17" s="928" t="s">
        <v>681</v>
      </c>
      <c r="B17" s="294" t="s">
        <v>716</v>
      </c>
      <c r="C17" s="21">
        <f ca="1">ROUND(F17*(F43+INDIRECT("'数据-取费表'!S"&amp;$G$1)),0)</f>
        <v>16318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9791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554812</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16644</v>
      </c>
      <c r="D20" s="315" t="s">
        <v>729</v>
      </c>
      <c r="E20" s="294" t="s">
        <v>712</v>
      </c>
      <c r="F20" s="314">
        <f>'数据-取费表'!B37</f>
        <v>0.03</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3863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17143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-3863</v>
      </c>
      <c r="K25" s="1032" t="s">
        <v>753</v>
      </c>
      <c r="L25" s="1033"/>
      <c r="M25" s="1034"/>
    </row>
    <row r="26" spans="1:37" ht="18" customHeight="1">
      <c r="A26" s="928" t="s">
        <v>397</v>
      </c>
      <c r="B26" s="294" t="s">
        <v>754</v>
      </c>
      <c r="C26" s="21">
        <f ca="1">ROUND((C19+C20)*F26,0)</f>
        <v>114291</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772576</v>
      </c>
      <c r="D29" s="1029"/>
      <c r="E29" s="1027"/>
      <c r="F29" s="1030"/>
      <c r="G29" s="1303"/>
      <c r="H29" s="325" t="s">
        <v>396</v>
      </c>
      <c r="I29" s="326" t="s">
        <v>768</v>
      </c>
      <c r="J29" s="327">
        <f ca="1">ROUND(J26/(1+F40)^F41,0)</f>
        <v>0</v>
      </c>
      <c r="K29" s="328" t="s">
        <v>769</v>
      </c>
      <c r="L29" s="329"/>
      <c r="M29" s="330">
        <f ca="1">INDIRECT("'数据-取费表'!k"&amp;$G$1)</f>
        <v>81.59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41387</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35941</v>
      </c>
      <c r="D31" s="1257" t="s">
        <v>720</v>
      </c>
      <c r="E31" s="1256" t="s">
        <v>770</v>
      </c>
      <c r="F31" s="2138"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11436</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24505</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3863</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510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1073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173300</v>
      </c>
      <c r="D39" s="1032" t="s">
        <v>773</v>
      </c>
      <c r="E39" s="1033"/>
      <c r="F39" s="1034"/>
      <c r="G39" s="1292"/>
      <c r="H39" s="2472"/>
      <c r="I39" s="1305"/>
      <c r="J39" s="1306"/>
      <c r="K39" s="2470"/>
      <c r="L39" s="2472"/>
      <c r="M39" s="2472"/>
    </row>
    <row r="40" spans="1:18" ht="18" customHeight="1">
      <c r="A40" s="291" t="s">
        <v>395</v>
      </c>
      <c r="B40" s="292" t="s">
        <v>774</v>
      </c>
      <c r="C40" s="293">
        <f ca="1">ROUND(C39*(1-((1+F42)/(1+F40))^F41)/(F40-F42),0)</f>
        <v>2998138</v>
      </c>
      <c r="D40" s="316" t="s">
        <v>758</v>
      </c>
      <c r="E40" s="294" t="s">
        <v>759</v>
      </c>
      <c r="F40" s="304">
        <f ca="1">INDIRECT("'数据-取费表'!I"&amp;$G$1)</f>
        <v>5.5E-2</v>
      </c>
      <c r="G40" s="1292"/>
      <c r="H40" s="1366">
        <f ca="1">C39/C5</f>
        <v>0.80722167620768837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27.57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36746</v>
      </c>
      <c r="D43" s="328" t="s">
        <v>777</v>
      </c>
      <c r="E43" s="329" t="s">
        <v>778</v>
      </c>
      <c r="F43" s="330">
        <f ca="1">INDIRECT("'数据-取费表'!k"&amp;$G$1)</f>
        <v>81.59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-305.9477</v>
      </c>
      <c r="D45" s="3128" t="s">
        <v>3352</v>
      </c>
      <c r="E45" s="1307"/>
      <c r="F45" s="1307"/>
      <c r="O45" s="1310" t="s">
        <v>808</v>
      </c>
      <c r="P45" s="1366"/>
      <c r="Q45" s="1366"/>
      <c r="R45" s="1366"/>
    </row>
    <row r="46" spans="1:18" s="1292" customFormat="1" ht="13.8" thickBot="1">
      <c r="A46" s="1311" t="s">
        <v>809</v>
      </c>
      <c r="C46" s="1312">
        <f ca="1">ROUND(C45,0)</f>
        <v>-306</v>
      </c>
      <c r="D46" s="1313" t="str">
        <f>C2</f>
        <v>万元</v>
      </c>
      <c r="I46" s="1314" t="s">
        <v>810</v>
      </c>
      <c r="J46" s="1315"/>
      <c r="K46" s="1316"/>
      <c r="L46" s="1317">
        <f ca="1">IF(M47="住宅",0,IF(L48&gt;J51,L60,J60))</f>
        <v>42079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2998138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27.57</v>
      </c>
      <c r="O48" s="1325" t="s">
        <v>404</v>
      </c>
      <c r="P48" s="1326" t="s">
        <v>821</v>
      </c>
      <c r="Q48" s="1327">
        <f ca="1">J60</f>
        <v>42079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1996</v>
      </c>
      <c r="K49" s="1330" t="s">
        <v>824</v>
      </c>
      <c r="L49" s="1333"/>
      <c r="O49" s="1334" t="s">
        <v>405</v>
      </c>
      <c r="P49" s="1326" t="s">
        <v>825</v>
      </c>
      <c r="Q49" s="1327">
        <f ca="1">C29</f>
        <v>772576</v>
      </c>
      <c r="R49" s="1327" t="s">
        <v>818</v>
      </c>
    </row>
    <row r="50" spans="1:18" s="1292" customFormat="1" ht="13.8" thickBot="1">
      <c r="A50" s="922"/>
      <c r="B50" s="925"/>
      <c r="C50" s="926"/>
      <c r="D50" s="899"/>
      <c r="E50" s="993" t="s">
        <v>697</v>
      </c>
      <c r="F50" s="994">
        <f ca="1">F7</f>
        <v>81.59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2145680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27.57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27.57</v>
      </c>
      <c r="K53" s="3352" t="s">
        <v>837</v>
      </c>
      <c r="L53" s="3353"/>
      <c r="O53" s="1325" t="s">
        <v>409</v>
      </c>
      <c r="P53" s="1326" t="s">
        <v>838</v>
      </c>
      <c r="Q53" s="1327">
        <f ca="1">Q47+Q48</f>
        <v>3040217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5.7000000000000002E-2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509900</v>
      </c>
      <c r="D56" s="1352"/>
      <c r="E56" s="1353"/>
      <c r="F56" s="1345"/>
      <c r="I56" s="1354" t="s">
        <v>842</v>
      </c>
      <c r="J56" s="1355" t="s">
        <v>3429</v>
      </c>
      <c r="K56" s="1328" t="s">
        <v>843</v>
      </c>
      <c r="L56" s="1331" t="str">
        <f ca="1">IF(L48&lt;J51,"——",L48-J51)</f>
        <v>——</v>
      </c>
      <c r="O56" s="1325" t="s">
        <v>403</v>
      </c>
      <c r="P56" s="1326" t="s">
        <v>817</v>
      </c>
      <c r="Q56" s="1327">
        <f ca="1">C40+J29</f>
        <v>2998138</v>
      </c>
      <c r="R56" s="1327" t="s">
        <v>818</v>
      </c>
    </row>
    <row r="57" spans="1:18" s="1292" customFormat="1" ht="24.6" thickBot="1">
      <c r="A57" s="1356"/>
      <c r="B57" s="896" t="s">
        <v>767</v>
      </c>
      <c r="C57" s="230">
        <f ca="1">C29</f>
        <v>772576</v>
      </c>
      <c r="D57" s="1357"/>
      <c r="E57" s="1358"/>
      <c r="F57" s="1359"/>
      <c r="I57" s="1360" t="s">
        <v>844</v>
      </c>
      <c r="J57" s="1361">
        <f ca="1">IF(OR(M47="住宅",J51&lt;L48,J56="是"),"——",J51-L48)</f>
        <v>3.4299999999999997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4373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309030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42079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f ca="1">Q56+Q57</f>
        <v>2998138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3863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510</v>
      </c>
      <c r="D65" s="910" t="s">
        <v>743</v>
      </c>
      <c r="E65" s="896" t="s">
        <v>744</v>
      </c>
      <c r="F65" s="321">
        <f t="shared" ca="1" si="0"/>
        <v>1E-3</v>
      </c>
      <c r="I65" s="1367" t="s">
        <v>867</v>
      </c>
      <c r="J65" s="610">
        <v>40</v>
      </c>
      <c r="K65" s="610">
        <v>30</v>
      </c>
      <c r="L65" s="610">
        <v>50</v>
      </c>
      <c r="M65" s="1369">
        <v>0.02</v>
      </c>
      <c r="O65" s="1325" t="s">
        <v>403</v>
      </c>
      <c r="P65" s="1326" t="s">
        <v>868</v>
      </c>
      <c r="Q65" s="1327">
        <f ca="1">C40+J29</f>
        <v>2998138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-4373</v>
      </c>
      <c r="D67" s="909" t="s">
        <v>753</v>
      </c>
      <c r="E67" s="914"/>
      <c r="F67" s="915"/>
      <c r="O67" s="1334" t="s">
        <v>405</v>
      </c>
      <c r="P67" s="1326" t="s">
        <v>850</v>
      </c>
      <c r="Q67" s="1370">
        <f ca="1">L51</f>
        <v>2145680</v>
      </c>
      <c r="R67" s="1327" t="s">
        <v>870</v>
      </c>
    </row>
    <row r="68" spans="1:18" s="1292" customFormat="1" ht="16.2" thickBot="1">
      <c r="A68" s="893" t="s">
        <v>395</v>
      </c>
      <c r="B68" s="894" t="s">
        <v>774</v>
      </c>
      <c r="C68" s="293">
        <f ca="1">ROUND(C67*(1-((1+F70)/(1+F68))^F69)/(F68-F70),0)</f>
        <v>-61339</v>
      </c>
      <c r="D68" s="911" t="s">
        <v>758</v>
      </c>
      <c r="E68" s="896" t="s">
        <v>759</v>
      </c>
      <c r="F68" s="304">
        <f ca="1">F40</f>
        <v>5.5E-2</v>
      </c>
      <c r="O68" s="1334" t="s">
        <v>406</v>
      </c>
      <c r="P68" s="1371" t="s">
        <v>871</v>
      </c>
      <c r="Q68" s="1327">
        <f ca="1">ROUND(Q69-Q70*Q71,0)</f>
        <v>137607</v>
      </c>
      <c r="R68" s="1327" t="s">
        <v>414</v>
      </c>
    </row>
    <row r="69" spans="1:18" s="1292" customFormat="1" ht="13.8" thickBot="1">
      <c r="A69" s="897"/>
      <c r="B69" s="898"/>
      <c r="C69" s="298"/>
      <c r="D69" s="916" t="s">
        <v>762</v>
      </c>
      <c r="E69" s="896" t="s">
        <v>763</v>
      </c>
      <c r="F69" s="324">
        <f ca="1">F41</f>
        <v>27.57</v>
      </c>
      <c r="O69" s="1334" t="s">
        <v>411</v>
      </c>
      <c r="P69" s="1371" t="s">
        <v>872</v>
      </c>
      <c r="Q69" s="1327">
        <f ca="1">C39</f>
        <v>173300</v>
      </c>
      <c r="R69" s="1327" t="s">
        <v>818</v>
      </c>
    </row>
    <row r="70" spans="1:18" s="1292" customFormat="1" ht="13.8" thickBot="1">
      <c r="A70" s="900"/>
      <c r="B70" s="901"/>
      <c r="C70" s="302"/>
      <c r="D70" s="912"/>
      <c r="E70" s="896" t="s">
        <v>766</v>
      </c>
      <c r="F70" s="991"/>
      <c r="O70" s="1334" t="s">
        <v>412</v>
      </c>
      <c r="P70" s="1371" t="s">
        <v>873</v>
      </c>
      <c r="Q70" s="1327">
        <f ca="1">C13</f>
        <v>509900</v>
      </c>
      <c r="R70" s="1327" t="s">
        <v>818</v>
      </c>
    </row>
    <row r="71" spans="1:18" s="1292" customFormat="1" ht="13.8" thickBot="1">
      <c r="A71" s="917" t="s">
        <v>396</v>
      </c>
      <c r="B71" s="918" t="s">
        <v>776</v>
      </c>
      <c r="C71" s="327">
        <f ca="1">ROUND(C68/F71,0)</f>
        <v>-752</v>
      </c>
      <c r="D71" s="919" t="s">
        <v>777</v>
      </c>
      <c r="E71" s="920" t="s">
        <v>778</v>
      </c>
      <c r="F71" s="330">
        <f ca="1">F43</f>
        <v>81.59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35693</v>
      </c>
      <c r="D75" s="1292"/>
      <c r="E75" s="1292"/>
      <c r="F75" s="1292"/>
      <c r="K75" s="1309"/>
      <c r="L75" s="1292"/>
      <c r="O75" s="1325" t="s">
        <v>409</v>
      </c>
      <c r="P75" s="1326" t="s">
        <v>838</v>
      </c>
      <c r="Q75" s="1327">
        <f ca="1">Q65+Q66</f>
        <v>2998138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0.79400000000000004</v>
      </c>
    </row>
    <row r="80" spans="1:18">
      <c r="B80" s="331" t="s">
        <v>800</v>
      </c>
      <c r="C80" s="266">
        <f ca="1">ROUND(C75/C39,3)</f>
        <v>0.20599999999999999</v>
      </c>
    </row>
    <row r="81" spans="2:3">
      <c r="B81" s="262" t="s">
        <v>801</v>
      </c>
      <c r="C81" s="230"/>
    </row>
    <row r="82" spans="2:3">
      <c r="B82" s="265" t="s">
        <v>802</v>
      </c>
      <c r="C82" s="267">
        <f ca="1">1-C83</f>
        <v>0.83</v>
      </c>
    </row>
    <row r="83" spans="2:3">
      <c r="B83" s="265" t="s">
        <v>803</v>
      </c>
      <c r="C83" s="266">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6" t="s">
        <v>3358</v>
      </c>
      <c r="E2" s="3137"/>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1" t="s">
        <v>2333</v>
      </c>
      <c r="B6" s="3372"/>
      <c r="C6" s="3373"/>
      <c r="D6" s="2620"/>
      <c r="E6" s="2621"/>
      <c r="F6" s="2622"/>
      <c r="G6" s="2623"/>
      <c r="H6" s="2598"/>
      <c r="I6" s="2599"/>
      <c r="J6" s="3357">
        <v>1</v>
      </c>
      <c r="K6" s="335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7"/>
      <c r="K7" s="335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4" t="s">
        <v>2347</v>
      </c>
      <c r="C8" s="3375"/>
      <c r="D8" s="2639" t="s">
        <v>2348</v>
      </c>
      <c r="E8" s="2640" t="s">
        <v>2349</v>
      </c>
      <c r="F8" s="2641" t="s">
        <v>2350</v>
      </c>
      <c r="G8" s="2642"/>
      <c r="H8" s="2598"/>
      <c r="I8" s="2599"/>
      <c r="J8" s="3357"/>
      <c r="K8" s="335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4" t="s">
        <v>2353</v>
      </c>
      <c r="C9" s="3375"/>
      <c r="D9" s="2639">
        <f>ROUND(D6*E9,0)</f>
        <v>0</v>
      </c>
      <c r="E9" s="2643"/>
      <c r="F9" s="2644" t="s">
        <v>2354</v>
      </c>
      <c r="G9" s="2623"/>
      <c r="H9" s="2598"/>
      <c r="I9" s="2599"/>
      <c r="J9" s="3357"/>
      <c r="K9" s="3359"/>
      <c r="L9" s="2633" t="s">
        <v>2355</v>
      </c>
      <c r="M9" s="2634"/>
      <c r="N9" s="2610"/>
      <c r="O9" s="2635"/>
      <c r="P9" s="2635"/>
      <c r="Q9" s="2636">
        <v>365</v>
      </c>
      <c r="R9" s="2637">
        <f t="shared" si="0"/>
        <v>0</v>
      </c>
      <c r="S9" s="2591"/>
      <c r="T9" s="2591"/>
      <c r="U9" s="2591"/>
      <c r="V9" s="2599"/>
    </row>
    <row r="10" spans="1:22" s="2603" customFormat="1" ht="13.2" customHeight="1">
      <c r="A10" s="2638">
        <v>2</v>
      </c>
      <c r="B10" s="3374" t="s">
        <v>2356</v>
      </c>
      <c r="C10" s="3375"/>
      <c r="D10" s="2639">
        <f>ROUND(D6*E10,0)</f>
        <v>0</v>
      </c>
      <c r="E10" s="2643"/>
      <c r="F10" s="2644" t="s">
        <v>2357</v>
      </c>
      <c r="G10" s="2623"/>
      <c r="H10" s="2598"/>
      <c r="I10" s="2599"/>
      <c r="J10" s="3357"/>
      <c r="K10" s="3359"/>
      <c r="L10" s="2633" t="s">
        <v>2358</v>
      </c>
      <c r="M10" s="2634"/>
      <c r="N10" s="2610"/>
      <c r="O10" s="2635"/>
      <c r="P10" s="2635"/>
      <c r="Q10" s="2636">
        <v>365</v>
      </c>
      <c r="R10" s="2637">
        <f t="shared" si="0"/>
        <v>0</v>
      </c>
      <c r="S10" s="2591"/>
      <c r="T10" s="2591"/>
      <c r="U10" s="2591"/>
      <c r="V10" s="2599"/>
    </row>
    <row r="11" spans="1:22" s="2603" customFormat="1" ht="13.2" customHeight="1">
      <c r="A11" s="2638">
        <v>3</v>
      </c>
      <c r="B11" s="3374" t="s">
        <v>2359</v>
      </c>
      <c r="C11" s="3375"/>
      <c r="D11" s="2639">
        <f>D12+D14+D15+D16</f>
        <v>0</v>
      </c>
      <c r="E11" s="2645" t="e">
        <f>D11/D6</f>
        <v>#DIV/0!</v>
      </c>
      <c r="F11" s="2641"/>
      <c r="G11" s="2642"/>
      <c r="H11" s="2598"/>
      <c r="I11" s="2599"/>
      <c r="J11" s="3357"/>
      <c r="K11" s="335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7" t="s">
        <v>2362</v>
      </c>
      <c r="C12" s="3368"/>
      <c r="D12" s="2647">
        <f>ROUND(D13*1.2%*(1-30%),0)</f>
        <v>0</v>
      </c>
      <c r="E12" s="2648">
        <v>1.2E-2</v>
      </c>
      <c r="F12" s="2641" t="s">
        <v>2363</v>
      </c>
      <c r="G12" s="2642"/>
      <c r="H12" s="2598"/>
      <c r="I12" s="2599"/>
      <c r="J12" s="3357"/>
      <c r="K12" s="335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7"/>
      <c r="K13" s="335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7" t="s">
        <v>2368</v>
      </c>
      <c r="C14" s="3368"/>
      <c r="D14" s="2647">
        <f>ROUND(E14*B5/10000,0)</f>
        <v>0</v>
      </c>
      <c r="E14" s="2636"/>
      <c r="F14" s="2641" t="s">
        <v>2369</v>
      </c>
      <c r="G14" s="2642"/>
      <c r="H14" s="2598"/>
      <c r="I14" s="2599"/>
      <c r="J14" s="3357"/>
      <c r="K14" s="336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7" t="s">
        <v>2372</v>
      </c>
      <c r="C15" s="3368"/>
      <c r="D15" s="2647">
        <f>ROUND(D6*E15,0)</f>
        <v>0</v>
      </c>
      <c r="E15" s="2648">
        <v>5.5E-2</v>
      </c>
      <c r="F15" s="2641" t="s">
        <v>2373</v>
      </c>
      <c r="G15" s="2623"/>
      <c r="H15" s="2598"/>
      <c r="I15" s="2599"/>
      <c r="J15" s="3357">
        <v>2</v>
      </c>
      <c r="K15" s="335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7" t="s">
        <v>2381</v>
      </c>
      <c r="C16" s="3368"/>
      <c r="D16" s="2658">
        <f>D6*E16</f>
        <v>0</v>
      </c>
      <c r="E16" s="2659"/>
      <c r="F16" s="2644" t="s">
        <v>2382</v>
      </c>
      <c r="G16" s="2623"/>
      <c r="H16" s="2598"/>
      <c r="I16" s="2599"/>
      <c r="J16" s="3357"/>
      <c r="K16" s="335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9" t="s">
        <v>2384</v>
      </c>
      <c r="C17" s="3370"/>
      <c r="D17" s="2661">
        <f>ROUND(D6*E17,0)</f>
        <v>0</v>
      </c>
      <c r="E17" s="2662"/>
      <c r="F17" s="2663" t="s">
        <v>2385</v>
      </c>
      <c r="G17" s="2623"/>
      <c r="H17" s="2598"/>
      <c r="I17" s="2599"/>
      <c r="J17" s="3357"/>
      <c r="K17" s="335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7"/>
      <c r="K18" s="335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7"/>
      <c r="K19" s="336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7">
        <v>3</v>
      </c>
      <c r="K20" s="335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7"/>
      <c r="K21" s="335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7"/>
      <c r="K22" s="335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7"/>
      <c r="K23" s="335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7"/>
      <c r="K24" s="336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6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7">
        <v>1</v>
      </c>
      <c r="K36" s="335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7"/>
      <c r="K40" s="336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6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304.02170000000001</v>
      </c>
      <c r="C2" s="1729" t="s">
        <v>1651</v>
      </c>
      <c r="D2" s="1730" t="s">
        <v>1652</v>
      </c>
      <c r="E2" s="2392">
        <f>SUM(E6:E13)</f>
        <v>81.59</v>
      </c>
      <c r="F2" s="2478"/>
      <c r="G2" s="459"/>
      <c r="H2" s="459"/>
      <c r="I2" s="459"/>
      <c r="J2" s="459"/>
      <c r="K2" s="459"/>
      <c r="L2" s="459"/>
      <c r="M2" s="459"/>
      <c r="N2" s="459"/>
      <c r="O2" s="459"/>
      <c r="P2" s="459"/>
      <c r="Q2" s="459"/>
      <c r="R2" s="459"/>
      <c r="S2" s="459"/>
    </row>
    <row r="3" spans="1:22" ht="15.6">
      <c r="A3" s="1728" t="s">
        <v>686</v>
      </c>
      <c r="B3" s="2386">
        <f ca="1">ROUND(B2*10000/E2,0)</f>
        <v>37262</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6" t="s">
        <v>1654</v>
      </c>
      <c r="C5" s="337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304.02170000000001</v>
      </c>
      <c r="C6" s="1729" t="s">
        <v>1651</v>
      </c>
      <c r="D6" s="2478"/>
      <c r="E6" s="2391">
        <f>IF(OR(A6=0,F6="否"),0,'数据-取费表'!K6+'数据-取费表'!S6)</f>
        <v>81.59</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81.59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5"/>
      <c r="M4" s="2486"/>
      <c r="N4" s="2486"/>
      <c r="O4" s="2486"/>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81.59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5"/>
      <c r="M5" s="2486"/>
      <c r="N5" s="2486"/>
      <c r="O5" s="2486"/>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45849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81.59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45849</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45849</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受贵公司委托，我公司对北京市东城区王府井大街201号6层601房地产抵押价值进行了预评估。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估价对象为北京市东城区王府井大街201号6层601房地产，为所有。根据《国有土地使用证》[]，估价对象（分摊）出让国有建设用地使用权面积为0平方米，建筑面积为81.59平方米。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王府井大街201号6层601房地产,属开发建设的商业项目，该项目尚在开发建设中。根据《国有土地使用证》[]，估价对象（分摊）出让国有建设用地使用权面积为0平方米，规划建筑面积为81.59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东城区王府井大街201号6层601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2025年7月11日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8"/>
      <c r="M10" s="2489"/>
      <c r="N10" s="2489"/>
      <c r="O10" s="254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45849</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116</v>
      </c>
      <c r="G10" s="402"/>
      <c r="H10" s="119">
        <f>ROUND(100/'数据-取费表'!G16,0)</f>
        <v>116</v>
      </c>
      <c r="I10" s="402"/>
      <c r="J10" s="119">
        <f>ROUND(100/'数据-取费表'!G16,0)</f>
        <v>116</v>
      </c>
      <c r="K10" s="592"/>
      <c r="L10" s="2488"/>
      <c r="M10" s="2489"/>
      <c r="N10" s="2489"/>
      <c r="O10" s="2540"/>
      <c r="P10" s="3381"/>
      <c r="Q10" s="530" t="str">
        <f t="shared" si="6"/>
        <v>土地使用年限（年）</v>
      </c>
      <c r="R10" s="664" t="s">
        <v>14</v>
      </c>
      <c r="S10" s="665">
        <f t="shared" si="0"/>
        <v>116</v>
      </c>
      <c r="T10" s="664" t="s">
        <v>14</v>
      </c>
      <c r="U10" s="665">
        <f t="shared" si="1"/>
        <v>116</v>
      </c>
      <c r="V10" s="664" t="s">
        <v>14</v>
      </c>
      <c r="W10" s="665">
        <f t="shared" si="2"/>
        <v>116</v>
      </c>
      <c r="X10" s="666"/>
      <c r="Y10" s="3256"/>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81.59</v>
      </c>
      <c r="F56" s="833" t="e">
        <f t="shared" ref="F56:F64" si="15">ROUND(B56*E56/10000,0)</f>
        <v>#DIV/0!</v>
      </c>
      <c r="G56" s="3392"/>
      <c r="H56" s="338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0.7</v>
      </c>
      <c r="D57" s="891">
        <v>0.25</v>
      </c>
      <c r="E57" s="614"/>
      <c r="F57" s="833" t="e">
        <f t="shared" si="15"/>
        <v>#DIV/0!</v>
      </c>
      <c r="G57" s="2749" t="s">
        <v>1892</v>
      </c>
      <c r="H57" s="834" t="str">
        <f>项目基本情况!B37</f>
        <v>一级</v>
      </c>
      <c r="I57" s="838">
        <f>SUMIF(修正!A59:A70,H57,修正!B59:B70)</f>
        <v>0.7</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0.4</v>
      </c>
      <c r="D58" s="891">
        <v>0.25</v>
      </c>
      <c r="E58" s="614"/>
      <c r="F58" s="833" t="e">
        <f t="shared" si="15"/>
        <v>#DIV/0!</v>
      </c>
      <c r="G58" s="2750"/>
      <c r="H58" s="834" t="str">
        <f>项目基本情况!B37</f>
        <v>一级</v>
      </c>
      <c r="I58" s="838">
        <f>SUMIF(修正!A59:A70,H58,修正!C59:C70)</f>
        <v>0.4</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0.3</v>
      </c>
      <c r="D59" s="891">
        <v>0.25</v>
      </c>
      <c r="E59" s="614"/>
      <c r="F59" s="833" t="e">
        <f t="shared" si="15"/>
        <v>#DIV/0!</v>
      </c>
      <c r="G59" s="2750"/>
      <c r="H59" s="834" t="str">
        <f>项目基本情况!B37</f>
        <v>一级</v>
      </c>
      <c r="I59" s="838">
        <f>SUMIF(修正!A59:A70,H59,修正!D59:D70)</f>
        <v>0.3</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SUMIF(修正!A59:A70,H63,修正!G59:G70)</f>
        <v>0.2</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81.59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116</v>
      </c>
      <c r="G10" s="371"/>
      <c r="H10" s="119">
        <f>ROUND(100/'数据-取费表'!G16,0)</f>
        <v>116</v>
      </c>
      <c r="I10" s="371"/>
      <c r="J10" s="119">
        <f>ROUND(100/'数据-取费表'!G16,0)</f>
        <v>116</v>
      </c>
      <c r="K10" s="592"/>
      <c r="L10" s="2488"/>
      <c r="M10" s="2489"/>
      <c r="N10" s="2489"/>
      <c r="O10" s="2540"/>
      <c r="P10" s="3381"/>
      <c r="Q10" s="530" t="str">
        <f t="shared" si="6"/>
        <v>土地使用年限（年）</v>
      </c>
      <c r="R10" s="664" t="s">
        <v>14</v>
      </c>
      <c r="S10" s="665">
        <f t="shared" si="0"/>
        <v>116</v>
      </c>
      <c r="T10" s="664" t="s">
        <v>14</v>
      </c>
      <c r="U10" s="665">
        <f t="shared" si="1"/>
        <v>116</v>
      </c>
      <c r="V10" s="664" t="s">
        <v>14</v>
      </c>
      <c r="W10" s="665">
        <f t="shared" si="2"/>
        <v>116</v>
      </c>
      <c r="X10" s="666"/>
      <c r="Y10" s="3256"/>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81.59</v>
      </c>
      <c r="F51" s="611" t="e">
        <f t="shared" ref="F51:F60" si="15">ROUND(B51*E51/10000,0)</f>
        <v>#DIV/0!</v>
      </c>
      <c r="G51" s="3392"/>
      <c r="H51" s="338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0.7</v>
      </c>
      <c r="D52" s="891">
        <v>0.25</v>
      </c>
      <c r="E52" s="614"/>
      <c r="F52" s="611" t="e">
        <f t="shared" si="15"/>
        <v>#DIV/0!</v>
      </c>
      <c r="G52" s="2749" t="s">
        <v>1892</v>
      </c>
      <c r="H52" s="834" t="str">
        <f>项目基本情况!B37</f>
        <v>一级</v>
      </c>
      <c r="I52" s="727">
        <f>SUMIF(修正!A59:A70,H52,修正!B59:B70)</f>
        <v>0.7</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0.4</v>
      </c>
      <c r="D53" s="891">
        <v>0.25</v>
      </c>
      <c r="E53" s="614"/>
      <c r="F53" s="611" t="e">
        <f t="shared" si="15"/>
        <v>#DIV/0!</v>
      </c>
      <c r="G53" s="2750"/>
      <c r="H53" s="834" t="str">
        <f>项目基本情况!B37</f>
        <v>一级</v>
      </c>
      <c r="I53" s="727">
        <f>SUMIF(修正!A59:A70,H53,修正!C59:C70)</f>
        <v>0.4</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0.3</v>
      </c>
      <c r="D54" s="891">
        <v>0.25</v>
      </c>
      <c r="E54" s="614"/>
      <c r="F54" s="611" t="e">
        <f t="shared" si="15"/>
        <v>#DIV/0!</v>
      </c>
      <c r="G54" s="2750"/>
      <c r="H54" s="834" t="str">
        <f>项目基本情况!B37</f>
        <v>一级</v>
      </c>
      <c r="I54" s="727">
        <f>SUMIF(修正!A59:A70,H54,修正!D59:D70)</f>
        <v>0.3</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SUMIF(修正!A59:A70,H59,修正!G59:G70)</f>
        <v>0.2</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260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260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A4" sqref="A4:J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34550</v>
      </c>
      <c r="N1" s="813">
        <f>SUMPRODUCT((因素修正幅度!B5:B9=I2)*(因素修正幅度!C3:G3=E2)*(因素修正幅度!C5:G9))</f>
        <v>9.8000000000000004E-2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260</v>
      </c>
      <c r="C2" s="1846" t="s">
        <v>1935</v>
      </c>
      <c r="D2" s="162" t="s">
        <v>1936</v>
      </c>
      <c r="E2" s="3118"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1.5206</v>
      </c>
      <c r="T2" s="3062">
        <f t="shared" ref="T2:T16" si="0">ROUND($C$5*$C$22*$C$23*$C$24*S2*$C$28,0)</f>
        <v>54362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t="s">
        <v>2439</v>
      </c>
      <c r="F3" s="1848"/>
      <c r="G3" s="708">
        <f>IF(F3="宗地容积率",'数据-汇总表'!I4,IF(F3="估价对象容积率",'数据-汇总表'!I6,'数据-汇总表'!I7))</f>
        <v>0</v>
      </c>
      <c r="H3" s="162" t="s">
        <v>1943</v>
      </c>
      <c r="I3" s="729">
        <v>6</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1.2072000000000001</v>
      </c>
      <c r="T3" s="3062">
        <f t="shared" si="0"/>
        <v>43158</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1.0430999999999999</v>
      </c>
      <c r="T4" s="3062">
        <f t="shared" si="0"/>
        <v>37291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37431</v>
      </c>
      <c r="D5" s="1252">
        <f>ROUND(C6*C17+C20,0)</f>
        <v>34550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0.94389999999999996</v>
      </c>
      <c r="T5" s="3062">
        <f t="shared" si="0"/>
        <v>33745</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34550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0.89959999999999996</v>
      </c>
      <c r="T6" s="3062">
        <f t="shared" si="0"/>
        <v>32161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1.0833999999999999</v>
      </c>
      <c r="D7" s="1866" t="s">
        <v>1953</v>
      </c>
      <c r="E7" s="730">
        <v>60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513">
        <f>Y10</f>
        <v>0.89219999999999999</v>
      </c>
      <c r="T7" s="3062">
        <f t="shared" si="0"/>
        <v>31896</v>
      </c>
      <c r="U7" s="1130">
        <f>'数据-汇总表'!E19</f>
        <v>81.59</v>
      </c>
      <c r="V7" s="3062">
        <f t="shared" si="1"/>
        <v>260</v>
      </c>
      <c r="W7" s="1267" t="s">
        <v>1955</v>
      </c>
      <c r="X7" s="1131" t="str">
        <f>G2</f>
        <v>一级</v>
      </c>
      <c r="Y7" s="1131" t="s">
        <v>1956</v>
      </c>
      <c r="Z7" s="1132">
        <f>G3</f>
        <v>0</v>
      </c>
      <c r="AA7" s="1133"/>
      <c r="AB7" s="1133"/>
      <c r="AC7" s="1134"/>
      <c r="AD7" s="1135"/>
      <c r="AE7" s="1135"/>
      <c r="AF7" s="1135"/>
      <c r="AG7" s="1135"/>
      <c r="AH7" s="1135"/>
      <c r="AI7" s="1135"/>
      <c r="AJ7" s="1136"/>
    </row>
    <row r="8" spans="1:36" ht="39.6">
      <c r="A8" s="3008"/>
      <c r="B8" s="162" t="s">
        <v>1957</v>
      </c>
      <c r="C8" s="1870" t="s">
        <v>3447</v>
      </c>
      <c r="D8" s="712" t="s">
        <v>112</v>
      </c>
      <c r="E8" s="713">
        <f>ROUND(C11/E7,4)</f>
        <v>0.1042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0.2</v>
      </c>
      <c r="D9" s="163" t="s">
        <v>113</v>
      </c>
      <c r="E9" s="163">
        <f>ROUND(C11/E7,4)</f>
        <v>0.1042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9"/>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25</v>
      </c>
      <c r="D10" s="163" t="s">
        <v>114</v>
      </c>
      <c r="E10" s="163">
        <f>ROUND(C11/E7,4)</f>
        <v>0.1042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6.25</v>
      </c>
      <c r="D11" s="715" t="s">
        <v>115</v>
      </c>
      <c r="E11" s="715">
        <f>ROUND(C11/E7,4)</f>
        <v>0.1042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4" t="s">
        <v>3254</v>
      </c>
      <c r="B20" s="159" t="s">
        <v>1994</v>
      </c>
      <c r="C20" s="3030">
        <f>ROUND(IF(F21="与级别开发程度一致",0,(G21-E21)/C21),0)</f>
        <v>0</v>
      </c>
      <c r="D20" s="3045" t="s">
        <v>1998</v>
      </c>
      <c r="E20" s="3046"/>
      <c r="F20" s="3470" t="s">
        <v>1995</v>
      </c>
      <c r="G20" s="347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5"/>
      <c r="B21" s="2001" t="s">
        <v>1997</v>
      </c>
      <c r="C21" s="2002">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3512" t="s">
        <v>3448</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5" t="s">
        <v>363</v>
      </c>
      <c r="B22" s="1996" t="s">
        <v>2000</v>
      </c>
      <c r="C22" s="1997">
        <f>SUMIF(修正!C20:C53,E3,修正!E20:E53)</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45849</v>
      </c>
      <c r="H23" s="3047" t="s">
        <v>3256</v>
      </c>
      <c r="I23" s="3048" t="str">
        <f>IF(H23="季度增幅（自定义）",SUMIF(N25:N28,E2,O25:O28),"")</f>
        <v/>
      </c>
      <c r="J23" s="3139" t="s">
        <v>3255</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0.87419999999999998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27.57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3449</v>
      </c>
      <c r="C25" s="461">
        <f>IF(B25="容积率修正",IF(G3&lt;10,D26,J26),C27)</f>
        <v>0.89219999999999999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0.89219999999999999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1.0632999999999999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260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31896</v>
      </c>
      <c r="D33" s="1940"/>
      <c r="E33" s="727">
        <f>ROUND(C33*D33/10000,0)</f>
        <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f>ROUND(D5*C22*C23*C24*C28*F37,0)</f>
        <v>23099</v>
      </c>
      <c r="D37" s="1940"/>
      <c r="E37" s="163">
        <f>ROUND(C37*D37/10000,0)</f>
        <v>0</v>
      </c>
      <c r="F37" s="163">
        <f>SUMIF(修正!A59:A70,G2,修正!B59:B70)</f>
        <v>0.7</v>
      </c>
      <c r="G37" s="163">
        <f>ROUND(IF(E2="工业",C37*$M$42,C37*$M$41),0)</f>
        <v>5775</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f>ROUND(D5*C22*C23*C24*C28*F38,0)</f>
        <v>13199</v>
      </c>
      <c r="D38" s="1940"/>
      <c r="E38" s="163">
        <f t="shared" ref="E38:E42" si="4">ROUND(C38*D38/10000,0)</f>
        <v>0</v>
      </c>
      <c r="F38" s="163">
        <f>SUMIF(修正!A59:A70,G2,修正!C59:C70)</f>
        <v>0.4</v>
      </c>
      <c r="G38" s="163">
        <f>ROUND(IF(E2="工业",C38*$M$42,C38*$M$41),0)</f>
        <v>3300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f>ROUND(D5*C22*C23*C24*C28*F39,0)</f>
        <v>9900</v>
      </c>
      <c r="D39" s="1940"/>
      <c r="E39" s="163">
        <f t="shared" si="4"/>
        <v>0</v>
      </c>
      <c r="F39" s="163">
        <f>SUMIF(修正!A59:A70,G2,修正!D59:D70)</f>
        <v>0.3</v>
      </c>
      <c r="G39" s="163">
        <f>ROUND(IF(E2="工业",C39*$M$42,C39*$M$41),0)</f>
        <v>2475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9900</v>
      </c>
      <c r="D40" s="1940"/>
      <c r="E40" s="163">
        <f t="shared" si="4"/>
        <v>0</v>
      </c>
      <c r="F40" s="167">
        <f>SUMIF(修正!A59:A70,G2,修正!E59:E70)</f>
        <v>0.3</v>
      </c>
      <c r="G40" s="163">
        <f>ROUND(IF(E2="工业",C40*$M$42,C40*$M$41),0)</f>
        <v>2475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0.3</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1.0632999999999999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3450</v>
      </c>
      <c r="D50" s="1002">
        <f t="shared" ref="D50:D58" si="7">SUMIF($J$49:$N$49,C50,J50:N50)</f>
        <v>2.9399999999999999E-2</v>
      </c>
      <c r="E50" s="702">
        <f>ROUND(SUM(D50:D58),4)</f>
        <v>6.3299999999999995E-2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3451</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t="s">
        <v>3451</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3451</v>
      </c>
      <c r="D53" s="1002">
        <f t="shared" si="7"/>
        <v>2.3999999999999998E-3</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3452</v>
      </c>
      <c r="D54" s="1002">
        <f t="shared" si="7"/>
        <v>0</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36">
      <c r="A55" s="1970" t="s">
        <v>2057</v>
      </c>
      <c r="B55" s="1975" t="s">
        <v>2058</v>
      </c>
      <c r="C55" s="1887" t="s">
        <v>3451</v>
      </c>
      <c r="D55" s="1002">
        <f t="shared" si="7"/>
        <v>2.3999999999999998E-3</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3451</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3450</v>
      </c>
      <c r="D57" s="1002">
        <f t="shared" si="7"/>
        <v>7.7999999999999996E-3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3451</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1"/>
      <c r="C93" s="1887"/>
      <c r="D93" s="2309">
        <f>SUMIF($J$92:$N$92,C93,J93:N93)</f>
        <v>0</v>
      </c>
      <c r="E93" s="3082">
        <f>ROUND(SUM(D93:D101),4)</f>
        <v>0</v>
      </c>
      <c r="F93" s="1675" t="str">
        <f>IF(E2="公共服务",SUMIF(L1:L12,G2,N1:N12),"——")</f>
        <v>——</v>
      </c>
      <c r="G93" s="3073"/>
      <c r="H93" s="3117"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7"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7"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7"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7"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7"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7"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7"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7" t="str">
        <f t="shared" si="31"/>
        <v>——</v>
      </c>
      <c r="I101" s="3068">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89" t="s">
        <v>3297</v>
      </c>
      <c r="D104" s="3090"/>
      <c r="E104" s="3090"/>
      <c r="F104" s="3090"/>
      <c r="G104" s="3090"/>
      <c r="H104" s="3090"/>
      <c r="I104" s="3090"/>
      <c r="J104" s="3091"/>
      <c r="K104" s="3092"/>
      <c r="L104" s="3092"/>
      <c r="M104" s="3092"/>
      <c r="N104" s="3092"/>
    </row>
    <row r="105" spans="1:14">
      <c r="A105" s="3467"/>
      <c r="B105" s="3467"/>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3"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4"/>
      <c r="B111" s="3093" t="s">
        <v>3268</v>
      </c>
      <c r="C111" s="3094">
        <f>$I$3</f>
        <v>6</v>
      </c>
      <c r="D111" s="3094">
        <f t="shared" ref="D111:M111" si="32">$I$3</f>
        <v>6</v>
      </c>
      <c r="E111" s="3094">
        <f t="shared" si="32"/>
        <v>6</v>
      </c>
      <c r="F111" s="3094">
        <f t="shared" si="32"/>
        <v>6</v>
      </c>
      <c r="G111" s="3094">
        <f t="shared" si="32"/>
        <v>6</v>
      </c>
      <c r="H111" s="3094">
        <f t="shared" si="32"/>
        <v>6</v>
      </c>
      <c r="I111" s="3094">
        <f t="shared" si="32"/>
        <v>6</v>
      </c>
      <c r="J111" s="3094">
        <f t="shared" si="32"/>
        <v>6</v>
      </c>
      <c r="K111" s="3094">
        <f t="shared" si="32"/>
        <v>6</v>
      </c>
      <c r="L111" s="3094">
        <f t="shared" si="32"/>
        <v>6</v>
      </c>
      <c r="M111" s="3094">
        <f t="shared" si="32"/>
        <v>6</v>
      </c>
      <c r="N111" s="3094">
        <f>$I$3</f>
        <v>6</v>
      </c>
    </row>
    <row r="112" spans="1:14">
      <c r="A112" s="3455"/>
      <c r="B112" s="3093">
        <v>6</v>
      </c>
      <c r="C112" s="3088">
        <f>(-0.5556*(C111^2)-0.2719*C111+8944)*(10^(-4))</f>
        <v>0.8922367000000001</v>
      </c>
      <c r="D112" s="3088">
        <f>(-0.5556*(D111^2)-0.2719*D111+8944)*(10^(-4))</f>
        <v>0.8922367000000001</v>
      </c>
      <c r="E112" s="3088">
        <f>(-0.7912*(E111^2)-11.3794*E111+8482)*(10^(-4))</f>
        <v>0.83852404000000014</v>
      </c>
      <c r="F112" s="3088">
        <f t="shared" ref="F112:I112" si="33">(-0.7912*(F111^2)-11.3794*F111+8482)*(10^(-4))</f>
        <v>0.83852404000000014</v>
      </c>
      <c r="G112" s="3088">
        <f t="shared" si="33"/>
        <v>0.83852404000000014</v>
      </c>
      <c r="H112" s="3088">
        <f t="shared" si="33"/>
        <v>0.83852404000000014</v>
      </c>
      <c r="I112" s="3088">
        <f t="shared" si="33"/>
        <v>0.83852404000000014</v>
      </c>
      <c r="J112" s="3088">
        <f>(-0.989*(J111^2)-63.78*J111+7771)*(10^(-4))</f>
        <v>0.73527160000000003</v>
      </c>
      <c r="K112" s="3088">
        <f t="shared" ref="K112:N112" si="34">(-0.989*(K111^2)-63.78*K111+7771)*(10^(-4))</f>
        <v>0.73527160000000003</v>
      </c>
      <c r="L112" s="3088">
        <f t="shared" si="34"/>
        <v>0.73527160000000003</v>
      </c>
      <c r="M112" s="3088">
        <f t="shared" si="34"/>
        <v>0.73527160000000003</v>
      </c>
      <c r="N112" s="3088">
        <f t="shared" si="34"/>
        <v>0.73527160000000003</v>
      </c>
    </row>
    <row r="113" spans="1:14">
      <c r="A113" s="3456" t="s">
        <v>3311</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0.99680000000000002</v>
      </c>
      <c r="E116" s="162" t="s">
        <v>3314</v>
      </c>
      <c r="F116" s="3100" t="str">
        <f>E2</f>
        <v>商业</v>
      </c>
      <c r="G116" s="162" t="s">
        <v>3315</v>
      </c>
      <c r="H116" s="3100" t="str">
        <f>G2</f>
        <v>一级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3112-64AD-4E4E-BFB4-9D5FFC401C79}">
  <sheetPr>
    <tabColor rgb="FF7030A0"/>
  </sheetPr>
  <dimension ref="A1"/>
  <sheetViews>
    <sheetView workbookViewId="0">
      <selection activeCell="R21" sqref="R21"/>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22634-9352-434F-8BE1-ABE2F37FCFDC}">
  <sheetPr>
    <tabColor rgb="FF7030A0"/>
  </sheetPr>
  <dimension ref="A1"/>
  <sheetViews>
    <sheetView workbookViewId="0">
      <selection activeCell="L1" sqref="L1"/>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81.59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45849</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3" t="s">
        <v>2607</v>
      </c>
      <c r="B20" s="3476" t="s">
        <v>2628</v>
      </c>
      <c r="C20" s="3166" t="s">
        <v>2439</v>
      </c>
      <c r="D20" s="3166"/>
      <c r="E20" s="2843">
        <v>1</v>
      </c>
      <c r="F20" s="2844" t="s">
        <v>2440</v>
      </c>
      <c r="G20" s="2844"/>
    </row>
    <row r="21" spans="1:13" ht="19.5" customHeight="1">
      <c r="A21" s="3484"/>
      <c r="B21" s="3472"/>
      <c r="C21" s="2856" t="s">
        <v>2441</v>
      </c>
      <c r="D21" s="2856"/>
      <c r="E21" s="2847">
        <v>1</v>
      </c>
      <c r="F21" s="2844" t="s">
        <v>2442</v>
      </c>
      <c r="G21" s="2844"/>
    </row>
    <row r="22" spans="1:13" ht="19.5" customHeight="1">
      <c r="A22" s="3484"/>
      <c r="B22" s="3472"/>
      <c r="C22" s="2856" t="s">
        <v>2443</v>
      </c>
      <c r="D22" s="2856"/>
      <c r="E22" s="2847">
        <v>0.9</v>
      </c>
      <c r="F22" s="2844" t="s">
        <v>2444</v>
      </c>
      <c r="G22" s="2844"/>
    </row>
    <row r="23" spans="1:13" ht="19.5" customHeight="1">
      <c r="A23" s="3484"/>
      <c r="B23" s="3472"/>
      <c r="C23" s="2856" t="s">
        <v>2445</v>
      </c>
      <c r="D23" s="2856"/>
      <c r="E23" s="2847">
        <v>0.9</v>
      </c>
      <c r="F23" s="2844" t="s">
        <v>2446</v>
      </c>
      <c r="G23" s="2844"/>
    </row>
    <row r="24" spans="1:13" ht="19.5" customHeight="1">
      <c r="A24" s="3484"/>
      <c r="B24" s="3472"/>
      <c r="C24" s="2856" t="s">
        <v>2447</v>
      </c>
      <c r="D24" s="2856"/>
      <c r="E24" s="2847">
        <v>0.8</v>
      </c>
      <c r="F24" s="2844" t="s">
        <v>2448</v>
      </c>
      <c r="G24" s="2844"/>
    </row>
    <row r="25" spans="1:13" ht="19.5" customHeight="1">
      <c r="A25" s="3484"/>
      <c r="B25" s="3472"/>
      <c r="C25" s="2856" t="s">
        <v>2449</v>
      </c>
      <c r="D25" s="2856"/>
      <c r="E25" s="2847">
        <v>0.8</v>
      </c>
      <c r="F25" s="2844"/>
      <c r="G25" s="2844"/>
    </row>
    <row r="26" spans="1:13" ht="19.5" customHeight="1">
      <c r="A26" s="3484"/>
      <c r="B26" s="3472"/>
      <c r="C26" s="2856" t="s">
        <v>3411</v>
      </c>
      <c r="D26" s="2856"/>
      <c r="E26" s="2847">
        <v>0.43</v>
      </c>
      <c r="F26" s="2844"/>
      <c r="G26" s="2844"/>
    </row>
    <row r="27" spans="1:13" ht="19.5" customHeight="1" thickBot="1">
      <c r="A27" s="3485"/>
      <c r="B27" s="3477"/>
      <c r="C27" s="3162" t="s">
        <v>3412</v>
      </c>
      <c r="D27" s="3162"/>
      <c r="E27" s="2850">
        <f>E26*0.9</f>
        <v>0.38700000000000001</v>
      </c>
      <c r="F27" s="2844" t="s">
        <v>2450</v>
      </c>
      <c r="G27" s="2844"/>
    </row>
    <row r="28" spans="1:13" ht="19.5" customHeight="1" thickBot="1">
      <c r="A28" s="3161" t="s">
        <v>2629</v>
      </c>
      <c r="B28" s="3160" t="s">
        <v>2628</v>
      </c>
      <c r="C28" s="3163" t="s">
        <v>2630</v>
      </c>
      <c r="D28" s="3164"/>
      <c r="E28" s="3165">
        <v>1</v>
      </c>
      <c r="F28" s="2844" t="s">
        <v>2451</v>
      </c>
      <c r="G28" s="2844"/>
    </row>
    <row r="29" spans="1:13" ht="19.5" customHeight="1">
      <c r="A29" s="3478" t="s">
        <v>2631</v>
      </c>
      <c r="B29" s="3481" t="s">
        <v>2612</v>
      </c>
      <c r="C29" s="2841" t="s">
        <v>2452</v>
      </c>
      <c r="D29" s="2842"/>
      <c r="E29" s="2843">
        <v>1</v>
      </c>
      <c r="F29" s="2844" t="s">
        <v>2453</v>
      </c>
      <c r="G29" s="2844"/>
    </row>
    <row r="30" spans="1:13" ht="19.5" customHeight="1">
      <c r="A30" s="3479"/>
      <c r="B30" s="3475"/>
      <c r="C30" s="2845" t="s">
        <v>2454</v>
      </c>
      <c r="D30" s="2846"/>
      <c r="E30" s="2847">
        <v>1</v>
      </c>
      <c r="F30" s="2844" t="s">
        <v>2455</v>
      </c>
      <c r="G30" s="2844"/>
    </row>
    <row r="31" spans="1:13" ht="19.5" customHeight="1">
      <c r="A31" s="3479"/>
      <c r="B31" s="3475"/>
      <c r="C31" s="2845" t="s">
        <v>2456</v>
      </c>
      <c r="D31" s="2846"/>
      <c r="E31" s="2847">
        <v>0.8</v>
      </c>
      <c r="F31" s="2844" t="s">
        <v>2457</v>
      </c>
      <c r="G31" s="2844"/>
    </row>
    <row r="32" spans="1:13" ht="19.5" customHeight="1">
      <c r="A32" s="3479"/>
      <c r="B32" s="3475"/>
      <c r="C32" s="2845" t="s">
        <v>2458</v>
      </c>
      <c r="D32" s="2846"/>
      <c r="E32" s="2847">
        <v>0.8</v>
      </c>
      <c r="F32" s="2844" t="s">
        <v>2459</v>
      </c>
      <c r="G32" s="2844"/>
    </row>
    <row r="33" spans="1:7" ht="19.5" customHeight="1">
      <c r="A33" s="3479"/>
      <c r="B33" s="3475"/>
      <c r="C33" s="2845" t="s">
        <v>2460</v>
      </c>
      <c r="D33" s="2846"/>
      <c r="E33" s="2847">
        <v>0.8</v>
      </c>
      <c r="F33" s="2844" t="s">
        <v>2461</v>
      </c>
      <c r="G33" s="2844"/>
    </row>
    <row r="34" spans="1:7" ht="19.5" customHeight="1">
      <c r="A34" s="3479"/>
      <c r="B34" s="3475"/>
      <c r="C34" s="2845" t="s">
        <v>2462</v>
      </c>
      <c r="D34" s="2846"/>
      <c r="E34" s="2847">
        <v>0.7</v>
      </c>
      <c r="F34" s="2844" t="s">
        <v>2463</v>
      </c>
      <c r="G34" s="2844"/>
    </row>
    <row r="35" spans="1:7" ht="19.5" customHeight="1">
      <c r="A35" s="3479"/>
      <c r="B35" s="3475"/>
      <c r="C35" s="2845" t="s">
        <v>2464</v>
      </c>
      <c r="D35" s="2846"/>
      <c r="E35" s="2847">
        <v>0.8</v>
      </c>
      <c r="F35" s="2844" t="s">
        <v>2465</v>
      </c>
      <c r="G35" s="2844"/>
    </row>
    <row r="36" spans="1:7" ht="19.5" customHeight="1">
      <c r="A36" s="3479"/>
      <c r="B36" s="3475"/>
      <c r="C36" s="2845" t="s">
        <v>2466</v>
      </c>
      <c r="D36" s="2846"/>
      <c r="E36" s="2847">
        <v>0.6</v>
      </c>
      <c r="F36" s="2844" t="s">
        <v>2467</v>
      </c>
      <c r="G36" s="2844"/>
    </row>
    <row r="37" spans="1:7" ht="19.5" customHeight="1">
      <c r="A37" s="3479"/>
      <c r="B37" s="3475"/>
      <c r="C37" s="2845" t="s">
        <v>2468</v>
      </c>
      <c r="D37" s="2846"/>
      <c r="E37" s="2847">
        <v>0.2</v>
      </c>
      <c r="F37" s="2844" t="s">
        <v>2469</v>
      </c>
      <c r="G37" s="2844"/>
    </row>
    <row r="38" spans="1:7" ht="19.5" customHeight="1">
      <c r="A38" s="3479"/>
      <c r="B38" s="3475"/>
      <c r="C38" s="2845" t="s">
        <v>2470</v>
      </c>
      <c r="D38" s="2846"/>
      <c r="E38" s="2847">
        <v>0.2</v>
      </c>
      <c r="F38" s="2844" t="s">
        <v>2471</v>
      </c>
      <c r="G38" s="2844"/>
    </row>
    <row r="39" spans="1:7" ht="19.5" customHeight="1">
      <c r="A39" s="3479"/>
      <c r="B39" s="3473" t="s">
        <v>2632</v>
      </c>
      <c r="C39" s="2845" t="s">
        <v>2472</v>
      </c>
      <c r="D39" s="2846"/>
      <c r="E39" s="2847">
        <v>0.6</v>
      </c>
      <c r="F39" s="2844" t="s">
        <v>2473</v>
      </c>
      <c r="G39" s="2844"/>
    </row>
    <row r="40" spans="1:7" ht="19.5" customHeight="1">
      <c r="A40" s="3479"/>
      <c r="B40" s="3475"/>
      <c r="C40" s="2845" t="s">
        <v>2474</v>
      </c>
      <c r="D40" s="2846"/>
      <c r="E40" s="2847">
        <v>0.6</v>
      </c>
      <c r="F40" s="2844" t="s">
        <v>2475</v>
      </c>
      <c r="G40" s="2844"/>
    </row>
    <row r="41" spans="1:7" ht="19.5" customHeight="1" thickBot="1">
      <c r="A41" s="3480"/>
      <c r="B41" s="3482"/>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3" t="s">
        <v>2610</v>
      </c>
      <c r="B43" s="3481" t="s">
        <v>2634</v>
      </c>
      <c r="C43" s="2841" t="s">
        <v>2479</v>
      </c>
      <c r="D43" s="2842"/>
      <c r="E43" s="2843">
        <v>1</v>
      </c>
      <c r="F43" s="2844" t="s">
        <v>2480</v>
      </c>
      <c r="G43" s="2844"/>
    </row>
    <row r="44" spans="1:7" ht="19.5" customHeight="1">
      <c r="A44" s="3484"/>
      <c r="B44" s="3475"/>
      <c r="C44" s="2845" t="s">
        <v>2481</v>
      </c>
      <c r="D44" s="2846"/>
      <c r="E44" s="2847">
        <v>1</v>
      </c>
      <c r="F44" s="2844" t="s">
        <v>2482</v>
      </c>
      <c r="G44" s="2844"/>
    </row>
    <row r="45" spans="1:7" ht="19.5" customHeight="1">
      <c r="A45" s="3484"/>
      <c r="B45" s="3474"/>
      <c r="C45" s="2845" t="s">
        <v>2483</v>
      </c>
      <c r="D45" s="2846"/>
      <c r="E45" s="2847">
        <v>1.5</v>
      </c>
      <c r="F45" s="2844" t="s">
        <v>2484</v>
      </c>
      <c r="G45" s="2844"/>
    </row>
    <row r="46" spans="1:7" ht="19.5" customHeight="1">
      <c r="A46" s="3484"/>
      <c r="B46" s="2856" t="s">
        <v>2635</v>
      </c>
      <c r="C46" s="2845" t="s">
        <v>2636</v>
      </c>
      <c r="D46" s="2846"/>
      <c r="E46" s="2847">
        <v>2</v>
      </c>
      <c r="F46" s="2844" t="s">
        <v>2485</v>
      </c>
      <c r="G46" s="2844"/>
    </row>
    <row r="47" spans="1:7" ht="19.5" customHeight="1">
      <c r="A47" s="3484"/>
      <c r="B47" s="3473" t="s">
        <v>2637</v>
      </c>
      <c r="C47" s="2845" t="s">
        <v>2486</v>
      </c>
      <c r="D47" s="2846"/>
      <c r="E47" s="2847">
        <v>1</v>
      </c>
      <c r="F47" s="2844" t="s">
        <v>2487</v>
      </c>
      <c r="G47" s="2844"/>
    </row>
    <row r="48" spans="1:7" ht="19.5" customHeight="1">
      <c r="A48" s="3484"/>
      <c r="B48" s="3475"/>
      <c r="C48" s="2845" t="s">
        <v>2488</v>
      </c>
      <c r="D48" s="2846"/>
      <c r="E48" s="2847">
        <v>1</v>
      </c>
      <c r="F48" s="2844" t="s">
        <v>2489</v>
      </c>
      <c r="G48" s="2844"/>
    </row>
    <row r="49" spans="1:7" ht="19.5" customHeight="1">
      <c r="A49" s="3484"/>
      <c r="B49" s="3475"/>
      <c r="C49" s="2845" t="s">
        <v>2490</v>
      </c>
      <c r="D49" s="2846"/>
      <c r="E49" s="2847">
        <v>1</v>
      </c>
      <c r="F49" s="2844" t="s">
        <v>2491</v>
      </c>
      <c r="G49" s="2844"/>
    </row>
    <row r="50" spans="1:7" ht="19.5" customHeight="1">
      <c r="A50" s="3484"/>
      <c r="B50" s="3475"/>
      <c r="C50" s="2845" t="s">
        <v>2492</v>
      </c>
      <c r="D50" s="2846"/>
      <c r="E50" s="2847">
        <v>1</v>
      </c>
      <c r="F50" s="2844" t="s">
        <v>2493</v>
      </c>
      <c r="G50" s="2844"/>
    </row>
    <row r="51" spans="1:7" ht="19.5" customHeight="1">
      <c r="A51" s="3484"/>
      <c r="B51" s="3475"/>
      <c r="C51" s="2845" t="s">
        <v>2494</v>
      </c>
      <c r="D51" s="2846"/>
      <c r="E51" s="2847">
        <v>1</v>
      </c>
      <c r="F51" s="2844" t="s">
        <v>2495</v>
      </c>
      <c r="G51" s="2844"/>
    </row>
    <row r="52" spans="1:7" ht="19.5" customHeight="1">
      <c r="A52" s="3484"/>
      <c r="B52" s="3475"/>
      <c r="C52" s="2845" t="s">
        <v>2496</v>
      </c>
      <c r="D52" s="2846"/>
      <c r="E52" s="2847">
        <v>1</v>
      </c>
      <c r="F52" s="2844" t="s">
        <v>2497</v>
      </c>
      <c r="G52" s="2844"/>
    </row>
    <row r="53" spans="1:7" ht="19.5" customHeight="1" thickBot="1">
      <c r="A53" s="3485"/>
      <c r="B53" s="3482"/>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73" t="s">
        <v>2651</v>
      </c>
      <c r="C75" s="2830" t="s">
        <v>2652</v>
      </c>
      <c r="D75" s="2830" t="s">
        <v>2653</v>
      </c>
      <c r="E75" s="2856">
        <v>0.2</v>
      </c>
      <c r="F75" s="2856">
        <v>25</v>
      </c>
    </row>
    <row r="76" spans="1:7" ht="24">
      <c r="A76" s="2856">
        <v>2</v>
      </c>
      <c r="B76" s="3475"/>
      <c r="C76" s="2830" t="s">
        <v>2654</v>
      </c>
      <c r="D76" s="2830" t="s">
        <v>2655</v>
      </c>
      <c r="E76" s="2856">
        <v>0.2</v>
      </c>
      <c r="F76" s="2856">
        <v>25</v>
      </c>
    </row>
    <row r="77" spans="1:7" ht="24">
      <c r="A77" s="2856">
        <v>3</v>
      </c>
      <c r="B77" s="3475"/>
      <c r="C77" s="2830" t="s">
        <v>2656</v>
      </c>
      <c r="D77" s="2830" t="s">
        <v>2657</v>
      </c>
      <c r="E77" s="2856">
        <v>0.2</v>
      </c>
      <c r="F77" s="2856">
        <v>25</v>
      </c>
    </row>
    <row r="78" spans="1:7" ht="14.4">
      <c r="A78" s="2856">
        <v>4</v>
      </c>
      <c r="B78" s="3475"/>
      <c r="C78" s="2830" t="s">
        <v>2658</v>
      </c>
      <c r="D78" s="2830" t="s">
        <v>2659</v>
      </c>
      <c r="E78" s="2856">
        <v>0.15</v>
      </c>
      <c r="F78" s="2856">
        <v>20</v>
      </c>
    </row>
    <row r="79" spans="1:7" ht="24">
      <c r="A79" s="2856">
        <v>5</v>
      </c>
      <c r="B79" s="3475"/>
      <c r="C79" s="2830" t="s">
        <v>2660</v>
      </c>
      <c r="D79" s="2830" t="s">
        <v>2661</v>
      </c>
      <c r="E79" s="2856">
        <v>0.15</v>
      </c>
      <c r="F79" s="2856">
        <v>20</v>
      </c>
    </row>
    <row r="80" spans="1:7" ht="24">
      <c r="A80" s="2856">
        <v>6</v>
      </c>
      <c r="B80" s="3475"/>
      <c r="C80" s="2830" t="s">
        <v>2662</v>
      </c>
      <c r="D80" s="2830" t="s">
        <v>2663</v>
      </c>
      <c r="E80" s="2856">
        <v>0.15</v>
      </c>
      <c r="F80" s="2856">
        <v>20</v>
      </c>
    </row>
    <row r="81" spans="1:6" ht="24">
      <c r="A81" s="2856">
        <v>7</v>
      </c>
      <c r="B81" s="3475"/>
      <c r="C81" s="2830" t="s">
        <v>2664</v>
      </c>
      <c r="D81" s="2830" t="s">
        <v>2665</v>
      </c>
      <c r="E81" s="2856">
        <v>0.15</v>
      </c>
      <c r="F81" s="2856">
        <v>20</v>
      </c>
    </row>
    <row r="82" spans="1:6" ht="24">
      <c r="A82" s="2856">
        <v>8</v>
      </c>
      <c r="B82" s="3475"/>
      <c r="C82" s="2830" t="s">
        <v>2666</v>
      </c>
      <c r="D82" s="2830" t="s">
        <v>2667</v>
      </c>
      <c r="E82" s="2856">
        <v>0.1</v>
      </c>
      <c r="F82" s="2856">
        <v>15</v>
      </c>
    </row>
    <row r="83" spans="1:6" ht="24">
      <c r="A83" s="2856">
        <v>9</v>
      </c>
      <c r="B83" s="3475"/>
      <c r="C83" s="2830" t="s">
        <v>2668</v>
      </c>
      <c r="D83" s="2830" t="s">
        <v>2669</v>
      </c>
      <c r="E83" s="2856">
        <v>0.1</v>
      </c>
      <c r="F83" s="2856">
        <v>15</v>
      </c>
    </row>
    <row r="84" spans="1:6" ht="24">
      <c r="A84" s="2856">
        <v>10</v>
      </c>
      <c r="B84" s="3475"/>
      <c r="C84" s="2830" t="s">
        <v>2670</v>
      </c>
      <c r="D84" s="2830" t="s">
        <v>2671</v>
      </c>
      <c r="E84" s="2856">
        <v>0.1</v>
      </c>
      <c r="F84" s="2856">
        <v>15</v>
      </c>
    </row>
    <row r="85" spans="1:6" ht="24">
      <c r="A85" s="2856">
        <v>11</v>
      </c>
      <c r="B85" s="3475"/>
      <c r="C85" s="2830" t="s">
        <v>2672</v>
      </c>
      <c r="D85" s="2830" t="s">
        <v>2673</v>
      </c>
      <c r="E85" s="2856">
        <v>0.1</v>
      </c>
      <c r="F85" s="2856">
        <v>15</v>
      </c>
    </row>
    <row r="86" spans="1:6" ht="24">
      <c r="A86" s="2856">
        <v>12</v>
      </c>
      <c r="B86" s="3475"/>
      <c r="C86" s="2830" t="s">
        <v>2674</v>
      </c>
      <c r="D86" s="2830" t="s">
        <v>2675</v>
      </c>
      <c r="E86" s="2856">
        <v>0.1</v>
      </c>
      <c r="F86" s="2856">
        <v>15</v>
      </c>
    </row>
    <row r="87" spans="1:6" ht="24">
      <c r="A87" s="2856">
        <v>13</v>
      </c>
      <c r="B87" s="3475"/>
      <c r="C87" s="2830" t="s">
        <v>2676</v>
      </c>
      <c r="D87" s="2830" t="s">
        <v>2677</v>
      </c>
      <c r="E87" s="2856">
        <v>0.1</v>
      </c>
      <c r="F87" s="2856">
        <v>15</v>
      </c>
    </row>
    <row r="88" spans="1:6" ht="24">
      <c r="A88" s="2856">
        <v>14</v>
      </c>
      <c r="B88" s="3475"/>
      <c r="C88" s="2830" t="s">
        <v>2678</v>
      </c>
      <c r="D88" s="2830" t="s">
        <v>2679</v>
      </c>
      <c r="E88" s="2856">
        <v>0.1</v>
      </c>
      <c r="F88" s="2856">
        <v>15</v>
      </c>
    </row>
    <row r="89" spans="1:6" ht="24">
      <c r="A89" s="2856">
        <v>15</v>
      </c>
      <c r="B89" s="3475"/>
      <c r="C89" s="2830" t="s">
        <v>2680</v>
      </c>
      <c r="D89" s="2830" t="s">
        <v>2681</v>
      </c>
      <c r="E89" s="2856">
        <v>0.1</v>
      </c>
      <c r="F89" s="2856">
        <v>15</v>
      </c>
    </row>
    <row r="90" spans="1:6" ht="24">
      <c r="A90" s="2856">
        <v>16</v>
      </c>
      <c r="B90" s="3475"/>
      <c r="C90" s="2830" t="s">
        <v>2682</v>
      </c>
      <c r="D90" s="2830" t="s">
        <v>2683</v>
      </c>
      <c r="E90" s="2856">
        <v>0.1</v>
      </c>
      <c r="F90" s="2856">
        <v>15</v>
      </c>
    </row>
    <row r="91" spans="1:6" ht="24">
      <c r="A91" s="2856">
        <v>17</v>
      </c>
      <c r="B91" s="3474"/>
      <c r="C91" s="2830" t="s">
        <v>2684</v>
      </c>
      <c r="D91" s="2830" t="s">
        <v>2685</v>
      </c>
      <c r="E91" s="2856">
        <v>0.1</v>
      </c>
      <c r="F91" s="2856">
        <v>15</v>
      </c>
    </row>
    <row r="92" spans="1:6" ht="14.4">
      <c r="A92" s="2856">
        <v>18</v>
      </c>
      <c r="B92" s="3473" t="s">
        <v>2686</v>
      </c>
      <c r="C92" s="2830" t="s">
        <v>2687</v>
      </c>
      <c r="D92" s="2830" t="s">
        <v>2688</v>
      </c>
      <c r="E92" s="2856">
        <v>0.2</v>
      </c>
      <c r="F92" s="2856">
        <v>25</v>
      </c>
    </row>
    <row r="93" spans="1:6" ht="24">
      <c r="A93" s="2856">
        <v>19</v>
      </c>
      <c r="B93" s="3475"/>
      <c r="C93" s="2830" t="s">
        <v>2689</v>
      </c>
      <c r="D93" s="2830" t="s">
        <v>2690</v>
      </c>
      <c r="E93" s="2856">
        <v>0.2</v>
      </c>
      <c r="F93" s="2856">
        <v>25</v>
      </c>
    </row>
    <row r="94" spans="1:6" ht="14.4">
      <c r="A94" s="2856">
        <v>20</v>
      </c>
      <c r="B94" s="3475"/>
      <c r="C94" s="2830" t="s">
        <v>2691</v>
      </c>
      <c r="D94" s="2830" t="s">
        <v>2692</v>
      </c>
      <c r="E94" s="2856">
        <v>0.15</v>
      </c>
      <c r="F94" s="2856">
        <v>20</v>
      </c>
    </row>
    <row r="95" spans="1:6" ht="24">
      <c r="A95" s="2856">
        <v>21</v>
      </c>
      <c r="B95" s="3475"/>
      <c r="C95" s="2830" t="s">
        <v>2693</v>
      </c>
      <c r="D95" s="2830" t="s">
        <v>2694</v>
      </c>
      <c r="E95" s="2856">
        <v>0.15</v>
      </c>
      <c r="F95" s="2856">
        <v>20</v>
      </c>
    </row>
    <row r="96" spans="1:6" ht="24">
      <c r="A96" s="2856">
        <v>22</v>
      </c>
      <c r="B96" s="3475"/>
      <c r="C96" s="2830" t="s">
        <v>2695</v>
      </c>
      <c r="D96" s="2830" t="s">
        <v>2696</v>
      </c>
      <c r="E96" s="2856">
        <v>0.15</v>
      </c>
      <c r="F96" s="2856">
        <v>20</v>
      </c>
    </row>
    <row r="97" spans="1:6" ht="36">
      <c r="A97" s="2856">
        <v>23</v>
      </c>
      <c r="B97" s="3475"/>
      <c r="C97" s="2830" t="s">
        <v>2697</v>
      </c>
      <c r="D97" s="2830" t="s">
        <v>2698</v>
      </c>
      <c r="E97" s="2856">
        <v>0.15</v>
      </c>
      <c r="F97" s="2856">
        <v>20</v>
      </c>
    </row>
    <row r="98" spans="1:6" ht="24">
      <c r="A98" s="2856">
        <v>24</v>
      </c>
      <c r="B98" s="3475"/>
      <c r="C98" s="2830" t="s">
        <v>2699</v>
      </c>
      <c r="D98" s="2830" t="s">
        <v>2700</v>
      </c>
      <c r="E98" s="2856">
        <v>0.1</v>
      </c>
      <c r="F98" s="2856">
        <v>15</v>
      </c>
    </row>
    <row r="99" spans="1:6" ht="24">
      <c r="A99" s="2856">
        <v>25</v>
      </c>
      <c r="B99" s="3475"/>
      <c r="C99" s="2830" t="s">
        <v>2701</v>
      </c>
      <c r="D99" s="2830" t="s">
        <v>2702</v>
      </c>
      <c r="E99" s="2856">
        <v>0.1</v>
      </c>
      <c r="F99" s="2856">
        <v>15</v>
      </c>
    </row>
    <row r="100" spans="1:6" ht="24">
      <c r="A100" s="2856">
        <v>26</v>
      </c>
      <c r="B100" s="3475"/>
      <c r="C100" s="2830" t="s">
        <v>2703</v>
      </c>
      <c r="D100" s="2830" t="s">
        <v>2704</v>
      </c>
      <c r="E100" s="2856">
        <v>0.1</v>
      </c>
      <c r="F100" s="2856">
        <v>15</v>
      </c>
    </row>
    <row r="101" spans="1:6" ht="24">
      <c r="A101" s="2856">
        <v>27</v>
      </c>
      <c r="B101" s="3475"/>
      <c r="C101" s="2830" t="s">
        <v>2705</v>
      </c>
      <c r="D101" s="2830" t="s">
        <v>2706</v>
      </c>
      <c r="E101" s="2856">
        <v>0.1</v>
      </c>
      <c r="F101" s="2856">
        <v>15</v>
      </c>
    </row>
    <row r="102" spans="1:6" ht="24">
      <c r="A102" s="2856">
        <v>28</v>
      </c>
      <c r="B102" s="3475"/>
      <c r="C102" s="2830" t="s">
        <v>2707</v>
      </c>
      <c r="D102" s="2830" t="s">
        <v>2708</v>
      </c>
      <c r="E102" s="2856">
        <v>0.1</v>
      </c>
      <c r="F102" s="2856">
        <v>15</v>
      </c>
    </row>
    <row r="103" spans="1:6" ht="24">
      <c r="A103" s="2856">
        <v>29</v>
      </c>
      <c r="B103" s="3475"/>
      <c r="C103" s="2830" t="s">
        <v>2709</v>
      </c>
      <c r="D103" s="2830" t="s">
        <v>2710</v>
      </c>
      <c r="E103" s="2856">
        <v>0.1</v>
      </c>
      <c r="F103" s="2856">
        <v>15</v>
      </c>
    </row>
    <row r="104" spans="1:6" ht="24">
      <c r="A104" s="2856">
        <v>30</v>
      </c>
      <c r="B104" s="3475"/>
      <c r="C104" s="2830" t="s">
        <v>2711</v>
      </c>
      <c r="D104" s="2830" t="s">
        <v>2712</v>
      </c>
      <c r="E104" s="2856">
        <v>0.1</v>
      </c>
      <c r="F104" s="2856">
        <v>15</v>
      </c>
    </row>
    <row r="105" spans="1:6" ht="24">
      <c r="A105" s="2856">
        <v>31</v>
      </c>
      <c r="B105" s="3475"/>
      <c r="C105" s="2830" t="s">
        <v>2713</v>
      </c>
      <c r="D105" s="2830" t="s">
        <v>2714</v>
      </c>
      <c r="E105" s="2856">
        <v>0.1</v>
      </c>
      <c r="F105" s="2856">
        <v>15</v>
      </c>
    </row>
    <row r="106" spans="1:6" ht="24">
      <c r="A106" s="2856">
        <v>32</v>
      </c>
      <c r="B106" s="3475"/>
      <c r="C106" s="2830" t="s">
        <v>2715</v>
      </c>
      <c r="D106" s="2830" t="s">
        <v>2716</v>
      </c>
      <c r="E106" s="2856">
        <v>0.1</v>
      </c>
      <c r="F106" s="2856">
        <v>15</v>
      </c>
    </row>
    <row r="107" spans="1:6" ht="24">
      <c r="A107" s="2856">
        <v>33</v>
      </c>
      <c r="B107" s="3475"/>
      <c r="C107" s="2830" t="s">
        <v>2717</v>
      </c>
      <c r="D107" s="2830" t="s">
        <v>2718</v>
      </c>
      <c r="E107" s="2856">
        <v>0.1</v>
      </c>
      <c r="F107" s="2856">
        <v>15</v>
      </c>
    </row>
    <row r="108" spans="1:6" ht="24">
      <c r="A108" s="2856">
        <v>34</v>
      </c>
      <c r="B108" s="3474"/>
      <c r="C108" s="2830" t="s">
        <v>2719</v>
      </c>
      <c r="D108" s="2830" t="s">
        <v>2720</v>
      </c>
      <c r="E108" s="2856">
        <v>0.1</v>
      </c>
      <c r="F108" s="2856">
        <v>15</v>
      </c>
    </row>
    <row r="109" spans="1:6" ht="36">
      <c r="A109" s="2856">
        <v>35</v>
      </c>
      <c r="B109" s="3473" t="s">
        <v>2721</v>
      </c>
      <c r="C109" s="2856" t="s">
        <v>2722</v>
      </c>
      <c r="D109" s="2830" t="s">
        <v>2723</v>
      </c>
      <c r="E109" s="2856">
        <v>0.15</v>
      </c>
      <c r="F109" s="2856">
        <v>20</v>
      </c>
    </row>
    <row r="110" spans="1:6" ht="24">
      <c r="A110" s="2856">
        <v>36</v>
      </c>
      <c r="B110" s="3475"/>
      <c r="C110" s="2856" t="s">
        <v>2724</v>
      </c>
      <c r="D110" s="2830" t="s">
        <v>2725</v>
      </c>
      <c r="E110" s="2856">
        <v>0.15</v>
      </c>
      <c r="F110" s="2856">
        <v>20</v>
      </c>
    </row>
    <row r="111" spans="1:6" ht="24">
      <c r="A111" s="2856">
        <v>37</v>
      </c>
      <c r="B111" s="3475"/>
      <c r="C111" s="2856" t="s">
        <v>2726</v>
      </c>
      <c r="D111" s="2830" t="s">
        <v>2727</v>
      </c>
      <c r="E111" s="2856">
        <v>0.15</v>
      </c>
      <c r="F111" s="2856">
        <v>20</v>
      </c>
    </row>
    <row r="112" spans="1:6" ht="24">
      <c r="A112" s="2856">
        <v>38</v>
      </c>
      <c r="B112" s="3475"/>
      <c r="C112" s="2856" t="s">
        <v>2728</v>
      </c>
      <c r="D112" s="2830" t="s">
        <v>2729</v>
      </c>
      <c r="E112" s="2856">
        <v>0.1</v>
      </c>
      <c r="F112" s="2856">
        <v>15</v>
      </c>
    </row>
    <row r="113" spans="1:6" ht="24">
      <c r="A113" s="2856">
        <v>39</v>
      </c>
      <c r="B113" s="3475"/>
      <c r="C113" s="2856" t="s">
        <v>2730</v>
      </c>
      <c r="D113" s="2830" t="s">
        <v>2731</v>
      </c>
      <c r="E113" s="2856">
        <v>0.1</v>
      </c>
      <c r="F113" s="2856">
        <v>15</v>
      </c>
    </row>
    <row r="114" spans="1:6" ht="24">
      <c r="A114" s="2856">
        <v>40</v>
      </c>
      <c r="B114" s="3474"/>
      <c r="C114" s="2856" t="s">
        <v>2732</v>
      </c>
      <c r="D114" s="2830" t="s">
        <v>2733</v>
      </c>
      <c r="E114" s="2856">
        <v>0.1</v>
      </c>
      <c r="F114" s="2856">
        <v>15</v>
      </c>
    </row>
    <row r="115" spans="1:6" ht="24">
      <c r="A115" s="2856">
        <v>41</v>
      </c>
      <c r="B115" s="3472" t="s">
        <v>2734</v>
      </c>
      <c r="C115" s="2856" t="s">
        <v>2735</v>
      </c>
      <c r="D115" s="2830" t="s">
        <v>2736</v>
      </c>
      <c r="E115" s="2856">
        <v>0.1</v>
      </c>
      <c r="F115" s="2856">
        <v>15</v>
      </c>
    </row>
    <row r="116" spans="1:6" ht="24">
      <c r="A116" s="2856">
        <v>42</v>
      </c>
      <c r="B116" s="3472"/>
      <c r="C116" s="2856" t="s">
        <v>2737</v>
      </c>
      <c r="D116" s="2830" t="s">
        <v>2738</v>
      </c>
      <c r="E116" s="2856">
        <v>0.1</v>
      </c>
      <c r="F116" s="2856">
        <v>15</v>
      </c>
    </row>
    <row r="117" spans="1:6" ht="24">
      <c r="A117" s="2856">
        <v>43</v>
      </c>
      <c r="B117" s="3472"/>
      <c r="C117" s="2856" t="s">
        <v>2739</v>
      </c>
      <c r="D117" s="2830" t="s">
        <v>2740</v>
      </c>
      <c r="E117" s="2856">
        <v>0.1</v>
      </c>
      <c r="F117" s="2856">
        <v>15</v>
      </c>
    </row>
    <row r="118" spans="1:6" ht="24">
      <c r="A118" s="2856">
        <v>44</v>
      </c>
      <c r="B118" s="3473" t="s">
        <v>2741</v>
      </c>
      <c r="C118" s="2856" t="s">
        <v>2742</v>
      </c>
      <c r="D118" s="2830" t="s">
        <v>2743</v>
      </c>
      <c r="E118" s="2856">
        <v>0.1</v>
      </c>
      <c r="F118" s="2856">
        <v>15</v>
      </c>
    </row>
    <row r="119" spans="1:6" ht="24">
      <c r="A119" s="2856">
        <v>45</v>
      </c>
      <c r="B119" s="3474"/>
      <c r="C119" s="2830" t="s">
        <v>2744</v>
      </c>
      <c r="D119" s="2830" t="s">
        <v>2745</v>
      </c>
      <c r="E119" s="2856">
        <v>0.1</v>
      </c>
      <c r="F119" s="2856">
        <v>15</v>
      </c>
    </row>
    <row r="120" spans="1:6" ht="24">
      <c r="A120" s="2856">
        <v>46</v>
      </c>
      <c r="B120" s="3473" t="s">
        <v>2746</v>
      </c>
      <c r="C120" s="2856" t="s">
        <v>2747</v>
      </c>
      <c r="D120" s="2830" t="s">
        <v>2748</v>
      </c>
      <c r="E120" s="2856">
        <v>0.1</v>
      </c>
      <c r="F120" s="2856">
        <v>15</v>
      </c>
    </row>
    <row r="121" spans="1:6" ht="24">
      <c r="A121" s="2856">
        <v>47</v>
      </c>
      <c r="B121" s="3474"/>
      <c r="C121" s="2856" t="s">
        <v>2749</v>
      </c>
      <c r="D121" s="2830" t="s">
        <v>2750</v>
      </c>
      <c r="E121" s="2856">
        <v>0.1</v>
      </c>
      <c r="F121" s="2856">
        <v>15</v>
      </c>
    </row>
    <row r="122" spans="1:6" ht="24">
      <c r="A122" s="2856">
        <v>48</v>
      </c>
      <c r="B122" s="3473" t="s">
        <v>2751</v>
      </c>
      <c r="C122" s="2856" t="s">
        <v>2752</v>
      </c>
      <c r="D122" s="2830" t="s">
        <v>2753</v>
      </c>
      <c r="E122" s="2856">
        <v>0.1</v>
      </c>
      <c r="F122" s="2856">
        <v>15</v>
      </c>
    </row>
    <row r="123" spans="1:6" ht="24">
      <c r="A123" s="2856">
        <v>49</v>
      </c>
      <c r="B123" s="3474"/>
      <c r="C123" s="2856" t="s">
        <v>2754</v>
      </c>
      <c r="D123" s="2830" t="s">
        <v>2755</v>
      </c>
      <c r="E123" s="2856">
        <v>0.1</v>
      </c>
      <c r="F123" s="2856">
        <v>15</v>
      </c>
    </row>
    <row r="124" spans="1:6" ht="24">
      <c r="A124" s="2856">
        <v>50</v>
      </c>
      <c r="B124" s="3472" t="s">
        <v>2756</v>
      </c>
      <c r="C124" s="2856" t="s">
        <v>2757</v>
      </c>
      <c r="D124" s="2830" t="s">
        <v>2758</v>
      </c>
      <c r="E124" s="2856">
        <v>0.1</v>
      </c>
      <c r="F124" s="2856">
        <v>15</v>
      </c>
    </row>
    <row r="125" spans="1:6" ht="24">
      <c r="A125" s="2856">
        <v>51</v>
      </c>
      <c r="B125" s="3472"/>
      <c r="C125" s="2856" t="s">
        <v>2759</v>
      </c>
      <c r="D125" s="2830" t="s">
        <v>2760</v>
      </c>
      <c r="E125" s="2856">
        <v>0.1</v>
      </c>
      <c r="F125" s="2856">
        <v>15</v>
      </c>
    </row>
    <row r="126" spans="1:6" ht="24">
      <c r="A126" s="2856">
        <v>52</v>
      </c>
      <c r="B126" s="3472" t="s">
        <v>2761</v>
      </c>
      <c r="C126" s="2856" t="s">
        <v>2762</v>
      </c>
      <c r="D126" s="2830" t="s">
        <v>2763</v>
      </c>
      <c r="E126" s="2856">
        <v>0.1</v>
      </c>
      <c r="F126" s="2856">
        <v>15</v>
      </c>
    </row>
    <row r="127" spans="1:6" ht="24">
      <c r="A127" s="2856">
        <v>53</v>
      </c>
      <c r="B127" s="3472"/>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72" t="s">
        <v>2769</v>
      </c>
      <c r="C129" s="2856" t="s">
        <v>2770</v>
      </c>
      <c r="D129" s="2830" t="s">
        <v>2771</v>
      </c>
      <c r="E129" s="2856">
        <v>0.1</v>
      </c>
      <c r="F129" s="2856">
        <v>15</v>
      </c>
    </row>
    <row r="130" spans="1:6" ht="24">
      <c r="A130" s="2856">
        <v>56</v>
      </c>
      <c r="B130" s="3472"/>
      <c r="C130" s="2856" t="s">
        <v>2772</v>
      </c>
      <c r="D130" s="2830" t="s">
        <v>2773</v>
      </c>
      <c r="E130" s="2856">
        <v>0.1</v>
      </c>
      <c r="F130" s="2856">
        <v>15</v>
      </c>
    </row>
    <row r="131" spans="1:6" ht="24">
      <c r="A131" s="2856">
        <v>57</v>
      </c>
      <c r="B131" s="3472"/>
      <c r="C131" s="2856" t="s">
        <v>2774</v>
      </c>
      <c r="D131" s="2830" t="s">
        <v>2775</v>
      </c>
      <c r="E131" s="2856">
        <v>0.1</v>
      </c>
      <c r="F131" s="2856">
        <v>15</v>
      </c>
    </row>
    <row r="132" spans="1:6" ht="24">
      <c r="A132" s="2856">
        <v>58</v>
      </c>
      <c r="B132" s="3472" t="s">
        <v>2776</v>
      </c>
      <c r="C132" s="2856" t="s">
        <v>2777</v>
      </c>
      <c r="D132" s="2830" t="s">
        <v>2778</v>
      </c>
      <c r="E132" s="2856">
        <v>0.1</v>
      </c>
      <c r="F132" s="2856">
        <v>15</v>
      </c>
    </row>
    <row r="133" spans="1:6" ht="24">
      <c r="A133" s="2856">
        <v>59</v>
      </c>
      <c r="B133" s="3472"/>
      <c r="C133" s="2856" t="s">
        <v>2779</v>
      </c>
      <c r="D133" s="2830" t="s">
        <v>2780</v>
      </c>
      <c r="E133" s="2856">
        <v>0.1</v>
      </c>
      <c r="F133" s="2856">
        <v>15</v>
      </c>
    </row>
    <row r="134" spans="1:6" ht="24">
      <c r="A134" s="2856">
        <v>60</v>
      </c>
      <c r="B134" s="3473" t="s">
        <v>2781</v>
      </c>
      <c r="C134" s="2856" t="s">
        <v>2782</v>
      </c>
      <c r="D134" s="2830" t="s">
        <v>2783</v>
      </c>
      <c r="E134" s="2856">
        <v>0.1</v>
      </c>
      <c r="F134" s="2856">
        <v>15</v>
      </c>
    </row>
    <row r="135" spans="1:6" ht="24">
      <c r="A135" s="2856">
        <v>61</v>
      </c>
      <c r="B135" s="3474"/>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72" t="s">
        <v>2789</v>
      </c>
      <c r="C137" s="2856" t="s">
        <v>2790</v>
      </c>
      <c r="D137" s="2830" t="s">
        <v>2791</v>
      </c>
      <c r="E137" s="2856">
        <v>0.1</v>
      </c>
      <c r="F137" s="2856">
        <v>15</v>
      </c>
    </row>
    <row r="138" spans="1:6" ht="24">
      <c r="A138" s="2856">
        <v>64</v>
      </c>
      <c r="B138" s="3472"/>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结果表!H101</f>
        <v>383</v>
      </c>
    </row>
    <row r="6" spans="1:5" ht="15.6">
      <c r="B6" s="3169"/>
      <c r="C6" s="1392" t="s">
        <v>911</v>
      </c>
      <c r="D6" s="797" t="str">
        <f ca="1">NUMBERSTRING(INT(D5*10000),2)&amp;"元整"</f>
        <v>叁佰捌拾叁万元整</v>
      </c>
    </row>
    <row r="7" spans="1:5" ht="15.6">
      <c r="B7" s="3174"/>
      <c r="C7" s="1393" t="s">
        <v>912</v>
      </c>
      <c r="D7" s="798">
        <f ca="1">结果表!H102</f>
        <v>46957</v>
      </c>
    </row>
    <row r="8" spans="1:5" ht="15.6">
      <c r="B8" s="3175" t="str">
        <f>结果表!E103</f>
        <v>2.估价师知悉的法定优先受偿款</v>
      </c>
      <c r="C8" s="1394" t="s">
        <v>913</v>
      </c>
      <c r="D8" s="798">
        <f>结果表!H103</f>
        <v>0</v>
      </c>
    </row>
    <row r="9" spans="1:5" ht="15.6">
      <c r="B9" s="317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8" t="str">
        <f>结果表!E107</f>
        <v>3.房地产抵押价值</v>
      </c>
      <c r="C13" s="1397" t="s">
        <v>910</v>
      </c>
      <c r="D13" s="800">
        <f ca="1">结果表!H107</f>
        <v>383</v>
      </c>
    </row>
    <row r="14" spans="1:5" ht="15.6">
      <c r="B14" s="3169"/>
      <c r="C14" s="1392" t="s">
        <v>911</v>
      </c>
      <c r="D14" s="797" t="str">
        <f ca="1">NUMBERSTRING(INT(D13*10000),2)&amp;"元整"</f>
        <v>叁佰捌拾叁万元整</v>
      </c>
    </row>
    <row r="15" spans="1:5" ht="15.6">
      <c r="B15" s="3174"/>
      <c r="C15" s="1393" t="s">
        <v>921</v>
      </c>
      <c r="D15" s="806">
        <f ca="1">结果表!H108</f>
        <v>46957</v>
      </c>
    </row>
    <row r="16" spans="1:5" ht="15.6">
      <c r="B16" s="3175" t="str">
        <f>结果表!E109</f>
        <v>——</v>
      </c>
      <c r="C16" s="1397" t="s">
        <v>922</v>
      </c>
      <c r="D16" s="1398" t="str">
        <f>结果表!H109</f>
        <v>——</v>
      </c>
    </row>
    <row r="17" spans="1:5" ht="15.6">
      <c r="B17" s="3176"/>
      <c r="C17" s="1392" t="s">
        <v>923</v>
      </c>
      <c r="D17" s="797" t="e">
        <f>NUMBERSTRING(INT(D16*10000),2)&amp;"元整"</f>
        <v>#VALUE!</v>
      </c>
    </row>
    <row r="18" spans="1:5" ht="15.6">
      <c r="B18" s="3177"/>
      <c r="C18" s="1393" t="s">
        <v>912</v>
      </c>
      <c r="D18" s="806" t="str">
        <f>结果表!H110</f>
        <v>——</v>
      </c>
    </row>
    <row r="19" spans="1:5" ht="15.6">
      <c r="B19" s="3168" t="str">
        <f>结果表!E111</f>
        <v>——</v>
      </c>
      <c r="C19" s="1397" t="s">
        <v>910</v>
      </c>
      <c r="D19" s="798" t="str">
        <f>结果表!H111</f>
        <v>——</v>
      </c>
    </row>
    <row r="20" spans="1:5" ht="15.6">
      <c r="B20" s="3169"/>
      <c r="C20" s="1392" t="s">
        <v>923</v>
      </c>
      <c r="D20" s="797" t="e">
        <f>NUMBERSTRING(INT(D19*10000),2)&amp;"元整"</f>
        <v>#VALUE!</v>
      </c>
    </row>
    <row r="21" spans="1:5" ht="16.2" thickBot="1">
      <c r="B21" s="317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29455</v>
      </c>
      <c r="C2" s="2" t="s">
        <v>106</v>
      </c>
      <c r="D2" s="191"/>
      <c r="E2" s="191"/>
      <c r="F2" s="191"/>
      <c r="G2" s="191"/>
    </row>
    <row r="3" spans="1:7" s="192" customFormat="1" ht="18" customHeight="1" thickBot="1">
      <c r="A3" s="195" t="s">
        <v>58</v>
      </c>
      <c r="B3" s="196">
        <f ca="1">ROUND(B2*10000/'数据-汇总表'!E3,0)</f>
        <v>3610124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81.59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81.59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1274</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29403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49</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81.59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8.9999999999999998E-4</v>
      </c>
      <c r="D44" s="230"/>
      <c r="E44" s="230"/>
      <c r="F44" s="231"/>
      <c r="G44" s="3351"/>
    </row>
    <row r="45" spans="1:7" s="206" customFormat="1" ht="13.5" customHeight="1">
      <c r="A45" s="731" t="s">
        <v>341</v>
      </c>
      <c r="B45" s="236" t="s">
        <v>85</v>
      </c>
      <c r="C45" s="237">
        <f>C46</f>
        <v>12</v>
      </c>
      <c r="D45" s="227">
        <f>C47</f>
        <v>6.0000000000000001E-3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79</v>
      </c>
      <c r="D49" s="224"/>
      <c r="E49" s="224"/>
      <c r="F49" s="256"/>
      <c r="G49" s="226" t="s">
        <v>435</v>
      </c>
    </row>
    <row r="50" spans="1:7" s="250" customFormat="1" ht="24">
      <c r="A50" s="731" t="s">
        <v>344</v>
      </c>
      <c r="B50" s="202" t="s">
        <v>97</v>
      </c>
      <c r="C50" s="224"/>
      <c r="D50" s="224"/>
      <c r="E50" s="224"/>
      <c r="F50" s="256">
        <f>IF('数据-取费表'!B24=0,'数据-取费表'!N16,1)</f>
        <v>0.66</v>
      </c>
      <c r="G50" s="239" t="s">
        <v>98</v>
      </c>
    </row>
    <row r="51" spans="1:7" ht="16.5" customHeight="1">
      <c r="A51" s="731" t="s">
        <v>345</v>
      </c>
      <c r="B51" s="202" t="s">
        <v>105</v>
      </c>
      <c r="C51" s="224">
        <f ca="1">ROUND(C49*F50,0)</f>
        <v>52</v>
      </c>
      <c r="D51" s="224"/>
      <c r="E51" s="224"/>
      <c r="F51" s="256"/>
      <c r="G51" s="226" t="s">
        <v>37</v>
      </c>
    </row>
    <row r="52" spans="1:7" s="200" customFormat="1" ht="16.8" thickBot="1">
      <c r="A52" s="257" t="s">
        <v>38</v>
      </c>
      <c r="B52" s="258"/>
      <c r="C52" s="259">
        <f ca="1">C31+C51</f>
        <v>29455</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topLeftCell="A61"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6" t="s">
        <v>3181</v>
      </c>
      <c r="B1" s="348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7" t="s">
        <v>3232</v>
      </c>
      <c r="B1" s="3487"/>
      <c r="C1" s="3487"/>
      <c r="D1" s="3487"/>
      <c r="E1" s="3487"/>
      <c r="F1" s="348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25"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45849</v>
      </c>
      <c r="B1" s="2928" t="s">
        <v>3377</v>
      </c>
      <c r="C1" s="2929"/>
      <c r="D1" s="2929"/>
      <c r="E1" s="2929"/>
      <c r="F1" s="2929"/>
      <c r="G1" s="2929"/>
      <c r="H1" s="2929"/>
      <c r="I1" s="2929"/>
      <c r="J1" s="2895"/>
      <c r="K1" s="2929" t="s">
        <v>454</v>
      </c>
      <c r="L1" s="2929"/>
      <c r="M1" s="2929"/>
      <c r="N1" s="2929"/>
      <c r="O1" s="2929"/>
      <c r="P1" s="2929"/>
      <c r="Q1" s="2895"/>
      <c r="R1" s="3489" t="s">
        <v>456</v>
      </c>
      <c r="S1" s="3490"/>
      <c r="T1" s="3490"/>
      <c r="U1" s="3490"/>
      <c r="V1" s="3490"/>
      <c r="W1" s="3490"/>
      <c r="X1" s="2895"/>
      <c r="Y1" s="3489" t="s">
        <v>457</v>
      </c>
      <c r="Z1" s="3490"/>
      <c r="AA1" s="3490"/>
      <c r="AB1" s="3490"/>
      <c r="AC1" s="3490"/>
      <c r="AD1" s="3490"/>
    </row>
    <row r="2" spans="1:44"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3403</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5" customFormat="1" ht="13.2">
      <c r="A7" s="2906" t="s">
        <v>3401</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4" t="s">
        <v>3375</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4" t="s">
        <v>3374</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4" t="s">
        <v>3370</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4" t="s">
        <v>3369</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4" t="s">
        <v>3367</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4" t="s">
        <v>3366</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4" t="s">
        <v>3365</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4" t="s">
        <v>3363</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4" t="s">
        <v>3354</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8" t="s">
        <v>3378</v>
      </c>
      <c r="C29" s="2929"/>
      <c r="D29" s="2929"/>
      <c r="E29" s="2929"/>
      <c r="F29" s="2929"/>
      <c r="G29" s="2929"/>
      <c r="H29" s="2929"/>
      <c r="I29" s="2929"/>
      <c r="J29" s="2895"/>
      <c r="K29" s="2929" t="s">
        <v>2826</v>
      </c>
      <c r="L29" s="2929"/>
      <c r="M29" s="2929"/>
      <c r="N29" s="2929"/>
      <c r="O29" s="2929"/>
      <c r="P29" s="2929"/>
      <c r="Q29" s="2895"/>
      <c r="R29" s="3489" t="s">
        <v>2827</v>
      </c>
      <c r="S29" s="3490"/>
      <c r="T29" s="3490"/>
      <c r="U29" s="3490"/>
      <c r="V29" s="3490"/>
      <c r="W29" s="3490"/>
      <c r="X29" s="2895"/>
      <c r="Y29" s="3489" t="s">
        <v>2828</v>
      </c>
      <c r="Z29" s="3490"/>
      <c r="AA29" s="3490"/>
      <c r="AB29" s="3490"/>
      <c r="AC29" s="3490"/>
      <c r="AD29" s="3490"/>
    </row>
    <row r="30" spans="1:44" s="2009" customFormat="1" ht="1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3403</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5" customFormat="1" ht="13.2">
      <c r="A35" s="2906" t="s">
        <v>3410</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4" t="s">
        <v>3376</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4" t="s">
        <v>3373</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4" t="s">
        <v>3371</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4" t="s">
        <v>3369</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4" t="s">
        <v>3368</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4" t="s">
        <v>3366</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4" t="s">
        <v>3365</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4" t="s">
        <v>3364</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4" t="s">
        <v>3354</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2" t="s">
        <v>2839</v>
      </c>
      <c r="B1" s="3502"/>
      <c r="C1" s="3502"/>
      <c r="D1" s="3502"/>
      <c r="E1" s="3502"/>
      <c r="F1" s="3502"/>
      <c r="G1" s="350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15">
      <c r="A4" s="1403" t="str">
        <f>项目基本情况!S2</f>
        <v>北京市东城区王府井大街201号6层601房地产</v>
      </c>
      <c r="B4" s="801">
        <f>项目基本情况!C17</f>
        <v>81.59</v>
      </c>
      <c r="C4" s="801">
        <f>项目基本情况!C18</f>
        <v>0</v>
      </c>
      <c r="D4" s="801">
        <f>结果表!D118</f>
        <v>0</v>
      </c>
      <c r="E4" s="801">
        <f>结果表!E118</f>
        <v>0</v>
      </c>
      <c r="F4" s="801">
        <f>结果表!F118</f>
        <v>0</v>
      </c>
      <c r="G4" s="801">
        <f>结果表!G118</f>
        <v>0</v>
      </c>
      <c r="H4" s="801">
        <f ca="1">结果表!H118</f>
        <v>383</v>
      </c>
      <c r="I4" s="801">
        <f ca="1">结果表!I118</f>
        <v>46957</v>
      </c>
    </row>
    <row r="5" spans="1:9" ht="30" customHeight="1">
      <c r="A5" s="3181" t="s">
        <v>927</v>
      </c>
      <c r="B5" s="3181"/>
      <c r="C5" s="3181"/>
      <c r="D5" s="3181" t="str">
        <f>结果表!D119</f>
        <v>零元整</v>
      </c>
      <c r="E5" s="3181"/>
      <c r="F5" s="3181" t="str">
        <f>结果表!F119</f>
        <v>零元整</v>
      </c>
      <c r="G5" s="3181"/>
      <c r="H5" s="3181" t="str">
        <f ca="1">结果表!H119</f>
        <v>叁佰捌拾叁万元整</v>
      </c>
      <c r="I5" s="3181"/>
    </row>
    <row r="6" spans="1:9" ht="15.6">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6">
      <c r="A8" s="3180" t="str">
        <f>结果表!A122</f>
        <v>房地产抵押价值</v>
      </c>
      <c r="B8" s="3180"/>
      <c r="C8" s="3180"/>
      <c r="D8" s="3180">
        <f ca="1">结果表!D122</f>
        <v>383</v>
      </c>
      <c r="E8" s="3180"/>
      <c r="F8" s="3180"/>
      <c r="G8" s="3180"/>
      <c r="H8" s="3180"/>
      <c r="I8" s="3180"/>
    </row>
    <row r="9" spans="1:9" ht="15">
      <c r="A9" s="3181" t="s">
        <v>927</v>
      </c>
      <c r="B9" s="3181"/>
      <c r="C9" s="3181"/>
      <c r="D9" s="3181" t="str">
        <f ca="1">结果表!D123</f>
        <v>叁佰捌拾叁万元整</v>
      </c>
      <c r="E9" s="3181"/>
      <c r="F9" s="3181"/>
      <c r="G9" s="3181"/>
      <c r="H9" s="3181"/>
      <c r="I9" s="3181"/>
    </row>
    <row r="10" spans="1:9" ht="15.6">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6">
      <c r="A12" s="3180" t="str">
        <f>结果表!A126</f>
        <v/>
      </c>
      <c r="B12" s="3180"/>
      <c r="C12" s="3180"/>
      <c r="D12" s="3180" t="str">
        <f>结果表!D126</f>
        <v>——</v>
      </c>
      <c r="E12" s="3180"/>
      <c r="F12" s="3180"/>
      <c r="G12" s="3180"/>
      <c r="H12" s="3180"/>
      <c r="I12" s="3180"/>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45849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办公租金案例</vt:lpstr>
      <vt:lpstr>比较法-商业</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2025-07-11T09:15:44Z</dcterms:modified>
</cp:coreProperties>
</file>