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10" activeTab="1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租金" sheetId="77"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5"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'比较法-租金'!$B$88:$M$88</definedName>
    <definedName name="住宅朝向">'比较法-住宅'!$B$88:$M$88</definedName>
    <definedName name="住宅房型" localSheetId="25">'比较法-租金'!$B$118:$M$118</definedName>
    <definedName name="住宅房型">'比较法-住宅'!$B$118:$M$118</definedName>
    <definedName name="住宅公共部分装修" localSheetId="25">'比较法-租金'!$B$109:$M$109</definedName>
    <definedName name="住宅公共部分装修">'比较法-住宅'!$B$109:$M$109</definedName>
    <definedName name="住宅基础设施水平" localSheetId="25">'比较法-租金'!$B$116:$M$116</definedName>
    <definedName name="住宅基础设施水平">'比较法-住宅'!$B$116:$M$116</definedName>
    <definedName name="住宅建筑结构" localSheetId="25">'比较法-租金'!$B$105:$M$105</definedName>
    <definedName name="住宅建筑结构">'比较法-住宅'!$B$105:$M$105</definedName>
    <definedName name="住宅建筑类型" localSheetId="25">'比较法-租金'!$B$100:$M$100</definedName>
    <definedName name="住宅建筑类型">'比较法-住宅'!$B$100:$M$100</definedName>
    <definedName name="住宅建筑品质" localSheetId="25">'比较法-租金'!$B$107:$M$107</definedName>
    <definedName name="住宅建筑品质">'比较法-住宅'!$B$107:$M$107</definedName>
    <definedName name="住宅交易情况" localSheetId="25">'比较法-租金'!$A$61:$M$61</definedName>
    <definedName name="住宅交易情况">'比较法-住宅'!$A$61:$M$61</definedName>
    <definedName name="住宅楼层" localSheetId="25">'比较法-租金'!$B$86:$M$86</definedName>
    <definedName name="住宅楼层">'比较法-住宅'!$B$86:$M$86</definedName>
    <definedName name="住宅内部装修" localSheetId="25">'比较法-租金'!$B$122:$M$122</definedName>
    <definedName name="住宅内部装修">'比较法-住宅'!$B$122:$M$122</definedName>
    <definedName name="住宅物业管理" localSheetId="25">'比较法-租金'!$B$114:$M$114</definedName>
    <definedName name="住宅物业管理">'比较法-住宅'!$B$114:$M$114</definedName>
    <definedName name="住宅用途" localSheetId="25">'比较法-租金'!$B$63:$M$63</definedName>
    <definedName name="住宅用途">'比较法-住宅'!$B$63:$M$63</definedName>
    <definedName name="住宅主力户型面积" localSheetId="25">'比较法-租金'!$B$120:$M$120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U6" i="1" l="1"/>
  <c r="C145" i="77"/>
  <c r="J142" i="77"/>
  <c r="J140" i="77"/>
  <c r="K145" i="77" s="1"/>
  <c r="K139"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E113" i="77"/>
  <c r="F113" i="77" s="1"/>
  <c r="G113" i="77" s="1"/>
  <c r="H113" i="77" s="1"/>
  <c r="D113" i="77"/>
  <c r="H111" i="77"/>
  <c r="G111" i="77"/>
  <c r="F111" i="77"/>
  <c r="E111" i="77"/>
  <c r="D111" i="77"/>
  <c r="C111" i="77"/>
  <c r="E110" i="77"/>
  <c r="F110" i="77" s="1"/>
  <c r="G110" i="77" s="1"/>
  <c r="H110" i="77" s="1"/>
  <c r="I110" i="77" s="1"/>
  <c r="J110" i="77" s="1"/>
  <c r="K110" i="77" s="1"/>
  <c r="L110" i="77" s="1"/>
  <c r="M110" i="77" s="1"/>
  <c r="D110" i="77"/>
  <c r="E108" i="77"/>
  <c r="F108" i="77" s="1"/>
  <c r="G108" i="77" s="1"/>
  <c r="H108" i="77" s="1"/>
  <c r="I108" i="77" s="1"/>
  <c r="J108" i="77" s="1"/>
  <c r="K108" i="77" s="1"/>
  <c r="L108" i="77" s="1"/>
  <c r="M108" i="77" s="1"/>
  <c r="D108" i="77"/>
  <c r="E106" i="77"/>
  <c r="F106" i="77" s="1"/>
  <c r="G106" i="77" s="1"/>
  <c r="H106" i="77" s="1"/>
  <c r="I106" i="77" s="1"/>
  <c r="J106" i="77" s="1"/>
  <c r="K106" i="77" s="1"/>
  <c r="L106" i="77" s="1"/>
  <c r="M106" i="77" s="1"/>
  <c r="D106" i="77"/>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E89" i="77"/>
  <c r="F89" i="77" s="1"/>
  <c r="G89" i="77" s="1"/>
  <c r="H89" i="77" s="1"/>
  <c r="I89" i="77" s="1"/>
  <c r="J89" i="77" s="1"/>
  <c r="K89" i="77" s="1"/>
  <c r="L89" i="77" s="1"/>
  <c r="M89" i="77" s="1"/>
  <c r="D89" i="77"/>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C33" i="77"/>
  <c r="H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H17" i="77"/>
  <c r="AB17" i="77" s="1"/>
  <c r="F17" i="77"/>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W8" i="77" s="1"/>
  <c r="H8" i="77"/>
  <c r="AB8" i="77" s="1"/>
  <c r="F8" i="77"/>
  <c r="S8" i="77" s="1"/>
  <c r="C7" i="77"/>
  <c r="C58" i="77" s="1"/>
  <c r="D58" i="77" s="1"/>
  <c r="E58" i="77" s="1"/>
  <c r="F58" i="77" s="1"/>
  <c r="G58" i="77" s="1"/>
  <c r="H58" i="77" s="1"/>
  <c r="I58" i="77" s="1"/>
  <c r="J58" i="77" s="1"/>
  <c r="K58" i="77" s="1"/>
  <c r="L58" i="77" s="1"/>
  <c r="M58" i="77" s="1"/>
  <c r="N58" i="77" s="1"/>
  <c r="O58" i="77" s="1"/>
  <c r="D3" i="77"/>
  <c r="D2" i="77"/>
  <c r="H7" i="77" l="1"/>
  <c r="U8" i="77"/>
  <c r="AA8" i="77"/>
  <c r="AC8" i="77"/>
  <c r="U9" i="77"/>
  <c r="S10" i="77"/>
  <c r="W10" i="77"/>
  <c r="U11" i="77"/>
  <c r="S12" i="77"/>
  <c r="W12" i="77"/>
  <c r="U13" i="77"/>
  <c r="S14" i="77"/>
  <c r="W14" i="77"/>
  <c r="S15" i="77"/>
  <c r="W15" i="77"/>
  <c r="AA17" i="77"/>
  <c r="S17" i="77"/>
  <c r="AC17" i="77"/>
  <c r="W17" i="77"/>
  <c r="U17" i="77"/>
  <c r="U19" i="77"/>
  <c r="U21" i="77"/>
  <c r="AB33" i="77"/>
  <c r="U33" i="77"/>
  <c r="F7" i="77"/>
  <c r="J7" i="77"/>
  <c r="S9" i="77"/>
  <c r="W9" i="77"/>
  <c r="U10" i="77"/>
  <c r="S11" i="77"/>
  <c r="W11" i="77"/>
  <c r="U12" i="77"/>
  <c r="S13" i="77"/>
  <c r="W13" i="77"/>
  <c r="U14" i="77"/>
  <c r="U15" i="77"/>
  <c r="S19" i="77"/>
  <c r="W19" i="77"/>
  <c r="S21" i="77"/>
  <c r="W21" i="77"/>
  <c r="S23" i="77"/>
  <c r="W23" i="77"/>
  <c r="U25" i="77"/>
  <c r="S26" i="77"/>
  <c r="W26" i="77"/>
  <c r="U27" i="77"/>
  <c r="S28" i="77"/>
  <c r="W28" i="77"/>
  <c r="U29" i="77"/>
  <c r="S30" i="77"/>
  <c r="W30" i="77"/>
  <c r="U31" i="77"/>
  <c r="S32" i="77"/>
  <c r="W32" i="77"/>
  <c r="F33" i="77"/>
  <c r="J33" i="77"/>
  <c r="U34" i="77"/>
  <c r="S35" i="77"/>
  <c r="W35" i="77"/>
  <c r="U36" i="77"/>
  <c r="S37" i="77"/>
  <c r="W37" i="77"/>
  <c r="U38" i="77"/>
  <c r="S39" i="77"/>
  <c r="W39" i="77"/>
  <c r="U40" i="77"/>
  <c r="S41" i="77"/>
  <c r="W41" i="77"/>
  <c r="U42" i="77"/>
  <c r="S43" i="77"/>
  <c r="W43"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S46" i="77"/>
  <c r="W46" i="77"/>
  <c r="K141" i="77"/>
  <c r="K143" i="77"/>
  <c r="U44" i="77"/>
  <c r="S45" i="77"/>
  <c r="W45" i="77"/>
  <c r="U46" i="77"/>
  <c r="K144" i="77"/>
  <c r="AA33" i="77" l="1"/>
  <c r="S33" i="77"/>
  <c r="AC33" i="77"/>
  <c r="W33" i="77"/>
  <c r="AC7" i="77"/>
  <c r="V48" i="77" s="1"/>
  <c r="I48" i="77" s="1"/>
  <c r="W7" i="77"/>
  <c r="AA7" i="77"/>
  <c r="R48" i="77" s="1"/>
  <c r="S7" i="77"/>
  <c r="U7" i="77"/>
  <c r="AB7" i="77"/>
  <c r="T48" i="77" s="1"/>
  <c r="G48" i="77" s="1"/>
  <c r="R49" i="77" l="1"/>
  <c r="E48" i="77"/>
  <c r="G53" i="77"/>
  <c r="H53" i="77" s="1"/>
  <c r="G52" i="77"/>
  <c r="H52" i="77" s="1"/>
  <c r="I53" i="77"/>
  <c r="J53" i="77" s="1"/>
  <c r="I52" i="77"/>
  <c r="J52" i="77" s="1"/>
  <c r="R6" i="1"/>
  <c r="C33" i="21"/>
  <c r="Y6" i="1"/>
  <c r="N6" i="1"/>
  <c r="B24" i="31"/>
  <c r="F19" i="6"/>
  <c r="D3" i="4"/>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s="1"/>
  <c r="B14" i="74" s="1"/>
  <c r="B1" i="74" s="1"/>
  <c r="J4" i="71"/>
  <c r="K4" i="71"/>
  <c r="L4" i="71"/>
  <c r="I4" i="71"/>
  <c r="N4" i="71"/>
  <c r="B4" i="71"/>
  <c r="Q4" i="71"/>
  <c r="F4" i="71"/>
  <c r="P4" i="71"/>
  <c r="E4" i="71"/>
  <c r="O4" i="71"/>
  <c r="C4" i="71"/>
  <c r="D4" i="71"/>
  <c r="I5" i="71"/>
  <c r="L5" i="71"/>
  <c r="Q5" i="71"/>
  <c r="F5" i="71"/>
  <c r="K5" i="71"/>
  <c r="P5" i="71"/>
  <c r="E5" i="71"/>
  <c r="J5" i="71"/>
  <c r="O5" i="71"/>
  <c r="C5" i="71"/>
  <c r="D5" i="71"/>
  <c r="N5" i="71"/>
  <c r="B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6" i="71"/>
  <c r="P6" i="71"/>
  <c r="O6" i="71"/>
  <c r="N6"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C34" i="71"/>
  <c r="Q33" i="71"/>
  <c r="F34" i="71"/>
  <c r="F35" i="71"/>
  <c r="F36" i="71"/>
  <c r="V36" i="71"/>
  <c r="P33" i="71"/>
  <c r="E34" i="71"/>
  <c r="O33"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AB3" i="71"/>
  <c r="AB5" i="71"/>
  <c r="AB6" i="71"/>
  <c r="AB7" i="71"/>
  <c r="AB8" i="71"/>
  <c r="E8" i="71"/>
  <c r="E7" i="71"/>
  <c r="E6"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G26" i="31"/>
  <c r="I26" i="31"/>
  <c r="C27" i="31"/>
  <c r="G27" i="31"/>
  <c r="I27" i="31"/>
  <c r="C28" i="31"/>
  <c r="G28" i="31"/>
  <c r="I28" i="31"/>
  <c r="C29" i="31"/>
  <c r="G29" i="31"/>
  <c r="I29" i="31"/>
  <c r="C30" i="31"/>
  <c r="G30" i="31"/>
  <c r="I30" i="31"/>
  <c r="C31" i="31"/>
  <c r="G31" i="31"/>
  <c r="I31" i="31"/>
  <c r="C32" i="31"/>
  <c r="G32" i="31"/>
  <c r="I32" i="31"/>
  <c r="C33" i="31"/>
  <c r="G33" i="31"/>
  <c r="I33" i="31"/>
  <c r="C34" i="31"/>
  <c r="G34" i="31"/>
  <c r="I34" i="31"/>
  <c r="C35" i="31"/>
  <c r="G35" i="31"/>
  <c r="I35" i="31"/>
  <c r="C36" i="31"/>
  <c r="G36" i="31"/>
  <c r="I36" i="31"/>
  <c r="C37" i="31"/>
  <c r="G37" i="31"/>
  <c r="I37" i="31"/>
  <c r="C38" i="31"/>
  <c r="G38" i="31"/>
  <c r="I38" i="31"/>
  <c r="C39" i="31"/>
  <c r="G39" i="31"/>
  <c r="I39" i="31"/>
  <c r="C40" i="31"/>
  <c r="G40" i="31"/>
  <c r="I40" i="31"/>
  <c r="C41" i="31"/>
  <c r="G41" i="31"/>
  <c r="I41" i="31"/>
  <c r="C42" i="31"/>
  <c r="G42" i="31"/>
  <c r="I42" i="31"/>
  <c r="C43" i="31"/>
  <c r="G43" i="31"/>
  <c r="I43" i="31"/>
  <c r="C44" i="31"/>
  <c r="G44" i="31"/>
  <c r="I44" i="31"/>
  <c r="C45" i="31"/>
  <c r="G45" i="31"/>
  <c r="I45" i="31"/>
  <c r="C46" i="31"/>
  <c r="G46" i="31"/>
  <c r="I46" i="31"/>
  <c r="C47" i="31"/>
  <c r="G47" i="31"/>
  <c r="I47" i="31"/>
  <c r="C48" i="31"/>
  <c r="G48" i="31"/>
  <c r="I48" i="31"/>
  <c r="C49" i="31"/>
  <c r="G49" i="31"/>
  <c r="I49" i="31"/>
  <c r="C50" i="31"/>
  <c r="G50" i="31"/>
  <c r="I50" i="31"/>
  <c r="C51" i="31"/>
  <c r="G51" i="31"/>
  <c r="I51" i="31"/>
  <c r="C52" i="31"/>
  <c r="G52" i="31"/>
  <c r="I52" i="31"/>
  <c r="C53" i="31"/>
  <c r="G53" i="31"/>
  <c r="I53" i="31"/>
  <c r="C54" i="31"/>
  <c r="G54" i="31"/>
  <c r="I54" i="31"/>
  <c r="C55" i="31"/>
  <c r="G55" i="31"/>
  <c r="I55" i="31"/>
  <c r="C56" i="31"/>
  <c r="G56" i="31"/>
  <c r="I56" i="31"/>
  <c r="C57" i="31"/>
  <c r="G57" i="31"/>
  <c r="I57" i="31"/>
  <c r="C58" i="31"/>
  <c r="G58" i="31"/>
  <c r="I58" i="31"/>
  <c r="C59" i="31"/>
  <c r="G59" i="31"/>
  <c r="I59" i="31"/>
  <c r="C60" i="31"/>
  <c r="G60" i="31"/>
  <c r="I60" i="31"/>
  <c r="C61" i="31"/>
  <c r="G61" i="31"/>
  <c r="I61" i="31"/>
  <c r="C62" i="31"/>
  <c r="G62" i="31"/>
  <c r="I62" i="31"/>
  <c r="C63" i="31"/>
  <c r="G63" i="31"/>
  <c r="I63" i="31"/>
  <c r="C64" i="31"/>
  <c r="G64" i="31"/>
  <c r="I64" i="31"/>
  <c r="C65" i="31"/>
  <c r="G65" i="31"/>
  <c r="I65" i="31"/>
  <c r="C66" i="31"/>
  <c r="G66" i="31"/>
  <c r="I66" i="31"/>
  <c r="C67" i="31"/>
  <c r="G67" i="31"/>
  <c r="I67" i="31"/>
  <c r="C68" i="31"/>
  <c r="G68" i="31"/>
  <c r="I68" i="31"/>
  <c r="C69" i="31"/>
  <c r="G69" i="31"/>
  <c r="I69" i="31"/>
  <c r="C70" i="31"/>
  <c r="G70" i="31"/>
  <c r="I70" i="31"/>
  <c r="C71" i="31"/>
  <c r="G71" i="31"/>
  <c r="I71" i="31"/>
  <c r="C72" i="31"/>
  <c r="G72" i="31"/>
  <c r="I72" i="31"/>
  <c r="C73" i="31"/>
  <c r="G73" i="31"/>
  <c r="I73" i="31"/>
  <c r="C74" i="31"/>
  <c r="G74" i="31"/>
  <c r="I74" i="31"/>
  <c r="C75" i="31"/>
  <c r="G75" i="31"/>
  <c r="I75" i="31"/>
  <c r="C76" i="31"/>
  <c r="G76" i="31"/>
  <c r="I76" i="31"/>
  <c r="C77" i="31"/>
  <c r="G77" i="31"/>
  <c r="I77" i="31"/>
  <c r="C78" i="31"/>
  <c r="G78" i="31"/>
  <c r="I78" i="31"/>
  <c r="C79" i="31"/>
  <c r="G79" i="31"/>
  <c r="I79" i="31"/>
  <c r="C80" i="31"/>
  <c r="G80" i="31"/>
  <c r="I80" i="31"/>
  <c r="C81" i="31"/>
  <c r="G81" i="31"/>
  <c r="I81" i="31"/>
  <c r="C82" i="31"/>
  <c r="G82" i="31"/>
  <c r="I82" i="31"/>
  <c r="C83" i="31"/>
  <c r="G83" i="31"/>
  <c r="I83" i="31"/>
  <c r="C84" i="31"/>
  <c r="G84" i="31"/>
  <c r="I84" i="31"/>
  <c r="C85" i="31"/>
  <c r="G85" i="31"/>
  <c r="I85" i="31"/>
  <c r="C86" i="31"/>
  <c r="G86" i="31"/>
  <c r="I86" i="31"/>
  <c r="C87" i="31"/>
  <c r="G87" i="31"/>
  <c r="I87" i="31"/>
  <c r="C88" i="31"/>
  <c r="G88" i="31"/>
  <c r="I88" i="31"/>
  <c r="C89" i="31"/>
  <c r="G89" i="31"/>
  <c r="I89" i="31"/>
  <c r="C90" i="31"/>
  <c r="G90" i="31"/>
  <c r="I90" i="31"/>
  <c r="C91" i="31"/>
  <c r="G91" i="31"/>
  <c r="I91" i="31"/>
  <c r="C92" i="31"/>
  <c r="G92" i="31"/>
  <c r="I92" i="31"/>
  <c r="C93" i="31"/>
  <c r="G93" i="31"/>
  <c r="I93" i="31"/>
  <c r="C94" i="31"/>
  <c r="G94" i="31"/>
  <c r="I94" i="31"/>
  <c r="C95" i="31"/>
  <c r="G95" i="31"/>
  <c r="I95" i="31"/>
  <c r="C96" i="31"/>
  <c r="G96" i="31"/>
  <c r="I96" i="31"/>
  <c r="C97" i="31"/>
  <c r="G97" i="31"/>
  <c r="I97" i="31"/>
  <c r="C98" i="31"/>
  <c r="G98" i="31"/>
  <c r="I98" i="31"/>
  <c r="C99" i="31"/>
  <c r="G99" i="31"/>
  <c r="I99" i="31"/>
  <c r="C100" i="31"/>
  <c r="G100" i="31"/>
  <c r="I100" i="31"/>
  <c r="C101" i="31"/>
  <c r="G101" i="31"/>
  <c r="I101" i="31"/>
  <c r="C102" i="31"/>
  <c r="G102" i="31"/>
  <c r="I102" i="31"/>
  <c r="C103" i="31"/>
  <c r="E103" i="31"/>
  <c r="G103" i="31"/>
  <c r="I103"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B61" i="72"/>
  <c r="A5" i="62"/>
  <c r="B72" i="72"/>
  <c r="A4" i="62"/>
  <c r="B70" i="72"/>
  <c r="F33" i="9"/>
  <c r="B37" i="48"/>
  <c r="B2" i="72"/>
  <c r="B13" i="53"/>
  <c r="B29" i="72" s="1"/>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s="1"/>
  <c r="G12" i="1"/>
  <c r="J55" i="9"/>
  <c r="B31" i="1"/>
  <c r="B52" i="1"/>
  <c r="M20" i="15"/>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Q26" i="31"/>
  <c r="K26" i="31"/>
  <c r="Q27" i="31"/>
  <c r="K27"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E11" i="6"/>
  <c r="E61" i="39"/>
  <c r="BL17" i="3"/>
  <c r="AZ17" i="3"/>
  <c r="E65" i="39"/>
  <c r="G30" i="6"/>
  <c r="G31" i="6"/>
  <c r="J56" i="9"/>
  <c r="J57" i="9" s="1"/>
  <c r="J59" i="9" s="1"/>
  <c r="J61" i="9" s="1"/>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B9" i="49"/>
  <c r="E16" i="49"/>
  <c r="E8" i="49"/>
  <c r="E10" i="49"/>
  <c r="E5" i="49"/>
  <c r="B8" i="49"/>
  <c r="C4" i="4" s="1"/>
  <c r="E11" i="49"/>
  <c r="J53" i="67"/>
  <c r="I54" i="67"/>
  <c r="J53"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c r="E7" i="70"/>
  <c r="C24" i="12"/>
  <c r="AA39" i="40"/>
  <c r="S39" i="40"/>
  <c r="S12" i="33"/>
  <c r="AA12" i="33"/>
  <c r="C16" i="43"/>
  <c r="C5" i="43"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M17" i="15"/>
  <c r="F59" i="67"/>
  <c r="M17" i="67"/>
  <c r="F31" i="15"/>
  <c r="F31" i="67"/>
  <c r="F59" i="15"/>
  <c r="T7" i="1"/>
  <c r="AR7" i="1"/>
  <c r="C30" i="11"/>
  <c r="E6" i="70"/>
  <c r="K27" i="6"/>
  <c r="A18" i="62"/>
  <c r="B64" i="72"/>
  <c r="D3" i="34"/>
  <c r="D3" i="21"/>
  <c r="D3" i="33"/>
  <c r="C33" i="43"/>
  <c r="G33" i="43" s="1"/>
  <c r="I33" i="43" s="1"/>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s="1"/>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F34" i="68"/>
  <c r="C36" i="68" s="1"/>
  <c r="AC10" i="40"/>
  <c r="E33" i="43"/>
  <c r="G35" i="43"/>
  <c r="I35" i="43"/>
  <c r="E35" i="43"/>
  <c r="G36" i="43"/>
  <c r="I36" i="43"/>
  <c r="G34" i="43"/>
  <c r="I34" i="43"/>
  <c r="E34" i="43"/>
  <c r="J7" i="21"/>
  <c r="AC7" i="21"/>
  <c r="V48" i="21"/>
  <c r="I48" i="21" s="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26" i="6"/>
  <c r="R23" i="6"/>
  <c r="R24" i="6"/>
  <c r="R21" i="6"/>
  <c r="R8" i="1"/>
  <c r="R22" i="6"/>
  <c r="D30" i="6"/>
  <c r="D16" i="6"/>
  <c r="A7" i="51"/>
  <c r="B7" i="72"/>
  <c r="C4" i="52"/>
  <c r="B45" i="72"/>
  <c r="A10" i="51"/>
  <c r="B9" i="72"/>
  <c r="D27" i="6"/>
  <c r="U7" i="21"/>
  <c r="I40" i="36"/>
  <c r="J40" i="36"/>
  <c r="R43" i="37"/>
  <c r="E42" i="37"/>
  <c r="I47" i="37"/>
  <c r="J47" i="37"/>
  <c r="G43" i="35"/>
  <c r="H43" i="35"/>
  <c r="I42" i="35"/>
  <c r="J42" i="35"/>
  <c r="R39" i="35"/>
  <c r="E38" i="35"/>
  <c r="I43" i="35"/>
  <c r="J43" i="35"/>
  <c r="G47" i="37"/>
  <c r="H47" i="37"/>
  <c r="I46" i="37"/>
  <c r="J46" i="37"/>
  <c r="G63" i="40"/>
  <c r="F65" i="40"/>
  <c r="R50" i="34"/>
  <c r="E49" i="34"/>
  <c r="G70" i="39"/>
  <c r="H27" i="6"/>
  <c r="R19" i="6"/>
  <c r="C35" i="11"/>
  <c r="C38" i="11"/>
  <c r="D31" i="6"/>
  <c r="I6" i="6"/>
  <c r="G54" i="34"/>
  <c r="H54" i="34"/>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C49" i="34"/>
  <c r="C50" i="34"/>
  <c r="H63" i="40"/>
  <c r="G65" i="40"/>
  <c r="H70" i="39"/>
  <c r="C33" i="11"/>
  <c r="I5" i="6"/>
  <c r="I63" i="40"/>
  <c r="H65" i="40"/>
  <c r="C39" i="11"/>
  <c r="I70" i="39"/>
  <c r="J63" i="40"/>
  <c r="I65" i="40"/>
  <c r="C46" i="11"/>
  <c r="C45" i="11"/>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L46" i="67"/>
  <c r="T16" i="1"/>
  <c r="AE8" i="1"/>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s="1"/>
  <c r="B39" i="72" s="1"/>
  <c r="H111" i="9"/>
  <c r="D126" i="9"/>
  <c r="I14" i="74" s="1"/>
  <c r="B8" i="74" s="1"/>
  <c r="D8" i="74" s="1"/>
  <c r="D19" i="53"/>
  <c r="D59" i="9"/>
  <c r="M55" i="9" s="1"/>
  <c r="B38" i="72"/>
  <c r="D20" i="53"/>
  <c r="B40" i="72" s="1"/>
  <c r="C14" i="15"/>
  <c r="AO7" i="1"/>
  <c r="E8" i="76"/>
  <c r="D2" i="33"/>
  <c r="F6" i="67"/>
  <c r="E10" i="76"/>
  <c r="D5" i="73"/>
  <c r="D2" i="21"/>
  <c r="F37" i="15"/>
  <c r="F41" i="15"/>
  <c r="F7" i="67"/>
  <c r="D34" i="9"/>
  <c r="F42" i="67"/>
  <c r="F43" i="67"/>
  <c r="F8" i="67"/>
  <c r="F13" i="67"/>
  <c r="F26" i="67"/>
  <c r="M29" i="67"/>
  <c r="M6" i="15"/>
  <c r="AO9" i="1"/>
  <c r="D2" i="34"/>
  <c r="M26" i="15"/>
  <c r="D35" i="9"/>
  <c r="J15" i="67"/>
  <c r="AE6" i="1"/>
  <c r="F13" i="15"/>
  <c r="F38" i="15"/>
  <c r="D6" i="73"/>
  <c r="AO12" i="1"/>
  <c r="C76" i="15"/>
  <c r="E2" i="69"/>
  <c r="M9" i="67"/>
  <c r="B7" i="76"/>
  <c r="F35" i="15"/>
  <c r="D2" i="35"/>
  <c r="D3" i="73"/>
  <c r="M21" i="15"/>
  <c r="F6" i="15"/>
  <c r="F38" i="67"/>
  <c r="D2" i="37"/>
  <c r="M8" i="67"/>
  <c r="L48" i="67"/>
  <c r="F5" i="73"/>
  <c r="M22" i="67"/>
  <c r="M21" i="67"/>
  <c r="F8" i="15"/>
  <c r="F42" i="15"/>
  <c r="F16" i="67"/>
  <c r="C76" i="67"/>
  <c r="F35" i="67"/>
  <c r="F20" i="31"/>
  <c r="F3" i="73"/>
  <c r="D2" i="36"/>
  <c r="F36" i="15"/>
  <c r="M24" i="15"/>
  <c r="F7" i="15"/>
  <c r="B8" i="76"/>
  <c r="M27" i="15"/>
  <c r="D4" i="73"/>
  <c r="M6" i="67"/>
  <c r="L47" i="15"/>
  <c r="AO10" i="1"/>
  <c r="E11" i="76"/>
  <c r="B10" i="76"/>
  <c r="M28" i="15"/>
  <c r="B9" i="76"/>
  <c r="M22" i="15"/>
  <c r="J15" i="15"/>
  <c r="AO8" i="1"/>
  <c r="E7" i="76"/>
  <c r="F7" i="73"/>
  <c r="M23" i="67"/>
  <c r="E13" i="76"/>
  <c r="B13" i="76"/>
  <c r="B11" i="76"/>
  <c r="F6" i="73"/>
  <c r="F43" i="15"/>
  <c r="F40" i="67"/>
  <c r="F37" i="67"/>
  <c r="AO11" i="1"/>
  <c r="F9" i="15"/>
  <c r="F36" i="67"/>
  <c r="M26" i="67"/>
  <c r="M29" i="15"/>
  <c r="F9" i="67"/>
  <c r="M23" i="15"/>
  <c r="G1" i="73"/>
  <c r="L48" i="15"/>
  <c r="M28" i="67"/>
  <c r="D7" i="73"/>
  <c r="AO13" i="1"/>
  <c r="M24" i="67"/>
  <c r="E12" i="76"/>
  <c r="M27" i="67"/>
  <c r="F26" i="15"/>
  <c r="E2" i="68"/>
  <c r="F40" i="15"/>
  <c r="M9" i="15"/>
  <c r="B12" i="76"/>
  <c r="E9" i="76"/>
  <c r="F16" i="15"/>
  <c r="F4" i="73"/>
  <c r="M8" i="15"/>
  <c r="L47" i="67"/>
  <c r="C94" i="9" l="1"/>
  <c r="C92" i="9"/>
  <c r="D12" i="52"/>
  <c r="D127" i="9"/>
  <c r="D13" i="52" s="1"/>
  <c r="T48" i="21"/>
  <c r="G48" i="21" s="1"/>
  <c r="G52" i="21" s="1"/>
  <c r="H52" i="21" s="1"/>
  <c r="R48" i="21"/>
  <c r="R49" i="21" s="1"/>
  <c r="S40" i="21"/>
  <c r="C47" i="69"/>
  <c r="D45" i="69" s="1"/>
  <c r="C29"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8" i="74"/>
  <c r="E53" i="77"/>
  <c r="F53" i="77" s="1"/>
  <c r="E52" i="77"/>
  <c r="F52" i="77" s="1"/>
  <c r="C49" i="77"/>
  <c r="C48" i="77"/>
  <c r="R16" i="1"/>
  <c r="E4" i="49"/>
  <c r="B6" i="49"/>
  <c r="E9" i="49"/>
  <c r="E21" i="49"/>
  <c r="B11" i="49"/>
  <c r="B13" i="49"/>
  <c r="B4" i="49"/>
  <c r="E4" i="4" s="1"/>
  <c r="B5" i="62" s="1"/>
  <c r="B73" i="72" s="1"/>
  <c r="E6" i="49"/>
  <c r="E7" i="49"/>
  <c r="B16" i="49"/>
  <c r="B10" i="49"/>
  <c r="D19" i="69"/>
  <c r="D37" i="69" s="1"/>
  <c r="C37" i="69" s="1"/>
  <c r="F6" i="31"/>
  <c r="G6" i="31" s="1"/>
  <c r="H6" i="31" s="1"/>
  <c r="I6" i="31" s="1"/>
  <c r="J6" i="31" s="1"/>
  <c r="K6" i="31" s="1"/>
  <c r="L6" i="31" s="1"/>
  <c r="M6" i="31" s="1"/>
  <c r="N6" i="31" s="1"/>
  <c r="O6" i="31" s="1"/>
  <c r="P6" i="31" s="1"/>
  <c r="Q6" i="31" s="1"/>
  <c r="R6" i="31" s="1"/>
  <c r="S6" i="31" s="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C10" i="69"/>
  <c r="C8" i="69" s="1"/>
  <c r="C5" i="69" s="1"/>
  <c r="C15" i="12"/>
  <c r="D19" i="68"/>
  <c r="C14" i="12"/>
  <c r="C18" i="12"/>
  <c r="G53" i="21"/>
  <c r="H53" i="21" s="1"/>
  <c r="I52" i="21"/>
  <c r="J52" i="21" s="1"/>
  <c r="E48" i="21"/>
  <c r="I53" i="21" s="1"/>
  <c r="J53" i="21" s="1"/>
  <c r="C34" i="68"/>
  <c r="C16" i="12"/>
  <c r="B7" i="70"/>
  <c r="B2" i="36"/>
  <c r="B3" i="36" s="1"/>
  <c r="B8" i="70"/>
  <c r="C15" i="15"/>
  <c r="C18" i="15"/>
  <c r="C34" i="15"/>
  <c r="F63" i="15"/>
  <c r="C62" i="15" s="1"/>
  <c r="B2" i="34"/>
  <c r="B3" i="34" s="1"/>
  <c r="B2" i="35"/>
  <c r="B3" i="35" s="1"/>
  <c r="B2" i="37"/>
  <c r="B3" i="37" s="1"/>
  <c r="B2" i="33"/>
  <c r="B3" i="33" s="1"/>
  <c r="F69" i="15"/>
  <c r="J20" i="15"/>
  <c r="J20" i="67"/>
  <c r="M59" i="15"/>
  <c r="L59" i="15"/>
  <c r="L58" i="15"/>
  <c r="N59" i="15"/>
  <c r="F68" i="15"/>
  <c r="L58" i="67"/>
  <c r="L59" i="67"/>
  <c r="N59" i="67"/>
  <c r="M59" i="67"/>
  <c r="F50" i="15"/>
  <c r="M7" i="15"/>
  <c r="J6" i="15" s="1"/>
  <c r="Q71" i="67"/>
  <c r="F71" i="15"/>
  <c r="F51" i="15"/>
  <c r="C49" i="15" s="1"/>
  <c r="F64" i="15"/>
  <c r="C6" i="15"/>
  <c r="L56" i="67"/>
  <c r="J57" i="67"/>
  <c r="J55" i="67" s="1"/>
  <c r="J58" i="67" s="1"/>
  <c r="Q50" i="67" s="1"/>
  <c r="J60" i="67"/>
  <c r="Q48" i="67" s="1"/>
  <c r="J59" i="67"/>
  <c r="L60" i="67"/>
  <c r="Q71" i="15"/>
  <c r="C27" i="15"/>
  <c r="F66" i="15"/>
  <c r="F65" i="15"/>
  <c r="I54" i="15"/>
  <c r="L56" i="15"/>
  <c r="J57" i="15"/>
  <c r="J55" i="15" s="1"/>
  <c r="J58" i="15" s="1"/>
  <c r="Q50" i="15" s="1"/>
  <c r="B13" i="70"/>
  <c r="B11" i="70"/>
  <c r="B12" i="70"/>
  <c r="F70" i="67"/>
  <c r="F66" i="67"/>
  <c r="F65" i="67"/>
  <c r="F64" i="67"/>
  <c r="C27" i="67"/>
  <c r="B40" i="1"/>
  <c r="F71" i="67"/>
  <c r="M7" i="67"/>
  <c r="F50" i="67"/>
  <c r="C6" i="67"/>
  <c r="B9" i="70"/>
  <c r="B10" i="70"/>
  <c r="E20" i="43"/>
  <c r="J6" i="67"/>
  <c r="F68" i="67"/>
  <c r="C34" i="67"/>
  <c r="F63" i="67"/>
  <c r="C62" i="67" s="1"/>
  <c r="I1" i="73"/>
  <c r="B39" i="1" s="1"/>
  <c r="F51" i="67"/>
  <c r="C19" i="69"/>
  <c r="C20" i="69" s="1"/>
  <c r="C38" i="69"/>
  <c r="C47" i="68"/>
  <c r="D45" i="68" s="1"/>
  <c r="B4" i="62"/>
  <c r="B71" i="72" s="1"/>
  <c r="C17" i="15"/>
  <c r="C14" i="67"/>
  <c r="F41" i="67"/>
  <c r="C16" i="67"/>
  <c r="C17" i="67"/>
  <c r="C16" i="15"/>
  <c r="B3" i="77" l="1"/>
  <c r="B2" i="77"/>
  <c r="G38" i="43"/>
  <c r="I38" i="43" s="1"/>
  <c r="E38" i="43"/>
  <c r="G37" i="43"/>
  <c r="I37" i="43" s="1"/>
  <c r="E37" i="43"/>
  <c r="C30" i="43"/>
  <c r="E30" i="43" s="1"/>
  <c r="C27" i="43" s="1"/>
  <c r="E29" i="43"/>
  <c r="C26" i="43" s="1"/>
  <c r="K4" i="4"/>
  <c r="B46" i="48" s="1"/>
  <c r="B4" i="72" s="1"/>
  <c r="F69" i="67"/>
  <c r="C21" i="12"/>
  <c r="C22" i="12" s="1"/>
  <c r="C19" i="68"/>
  <c r="D37" i="68"/>
  <c r="C37" i="68" s="1"/>
  <c r="E52" i="21"/>
  <c r="F52" i="21" s="1"/>
  <c r="E53" i="21"/>
  <c r="F53" i="21" s="1"/>
  <c r="C48" i="21"/>
  <c r="C49" i="21"/>
  <c r="C33" i="69"/>
  <c r="C38" i="68"/>
  <c r="C35" i="68"/>
  <c r="C15" i="67"/>
  <c r="C18" i="67"/>
  <c r="C19" i="15"/>
  <c r="C39" i="69"/>
  <c r="C28" i="69"/>
  <c r="C27" i="69" s="1"/>
  <c r="F11" i="67"/>
  <c r="M11" i="67"/>
  <c r="J10" i="67" s="1"/>
  <c r="J5" i="67" s="1"/>
  <c r="M11" i="15"/>
  <c r="J10" i="15" s="1"/>
  <c r="J5" i="15" s="1"/>
  <c r="F11" i="15"/>
  <c r="F24" i="67"/>
  <c r="C24" i="67" s="1"/>
  <c r="F25" i="12"/>
  <c r="F22" i="68"/>
  <c r="F24" i="15"/>
  <c r="C24" i="15" s="1"/>
  <c r="F22" i="11"/>
  <c r="F22" i="69"/>
  <c r="C24" i="69" s="1"/>
  <c r="Q60" i="67"/>
  <c r="Q73" i="67"/>
  <c r="Q74" i="15"/>
  <c r="Q61" i="15"/>
  <c r="C49" i="67"/>
  <c r="O17" i="43"/>
  <c r="N17" i="43"/>
  <c r="M17" i="43"/>
  <c r="P17" i="43"/>
  <c r="Q57" i="67"/>
  <c r="Q66" i="67"/>
  <c r="Q74" i="67"/>
  <c r="Q61" i="67"/>
  <c r="Q73" i="15"/>
  <c r="Q60" i="15"/>
  <c r="E6" i="76"/>
  <c r="E2" i="76" l="1"/>
  <c r="B2" i="43"/>
  <c r="C30" i="12"/>
  <c r="C28" i="12" s="1"/>
  <c r="C42" i="69"/>
  <c r="C20" i="68"/>
  <c r="C28" i="68" s="1"/>
  <c r="C27" i="68" s="1"/>
  <c r="B3" i="21"/>
  <c r="B2" i="21"/>
  <c r="C33" i="68"/>
  <c r="C39" i="68" s="1"/>
  <c r="C46" i="68" s="1"/>
  <c r="C45" i="68" s="1"/>
  <c r="C19" i="67"/>
  <c r="J24" i="15"/>
  <c r="J18" i="15"/>
  <c r="J26" i="15"/>
  <c r="J29" i="15" s="1"/>
  <c r="C20" i="67"/>
  <c r="C26" i="67" s="1"/>
  <c r="C26" i="11"/>
  <c r="D22" i="11" s="1"/>
  <c r="C24" i="11"/>
  <c r="C43" i="11"/>
  <c r="C25" i="11"/>
  <c r="C44" i="11"/>
  <c r="D41" i="11" s="1"/>
  <c r="C23" i="11"/>
  <c r="C22" i="11" s="1"/>
  <c r="C42" i="11"/>
  <c r="C41" i="11" s="1"/>
  <c r="C49" i="11" s="1"/>
  <c r="C51" i="11" s="1"/>
  <c r="C23" i="68"/>
  <c r="C26" i="68"/>
  <c r="D22" i="68" s="1"/>
  <c r="C44" i="68"/>
  <c r="D41" i="68" s="1"/>
  <c r="C24" i="68"/>
  <c r="J26" i="67"/>
  <c r="J29" i="67" s="1"/>
  <c r="J24" i="67"/>
  <c r="J18" i="67"/>
  <c r="C53" i="67"/>
  <c r="C48" i="67" s="1"/>
  <c r="C10" i="67"/>
  <c r="C5" i="67" s="1"/>
  <c r="C25" i="69"/>
  <c r="C43" i="69"/>
  <c r="C20" i="15"/>
  <c r="C23" i="15" s="1"/>
  <c r="C26" i="69"/>
  <c r="D22" i="69" s="1"/>
  <c r="C44" i="69"/>
  <c r="D41" i="69" s="1"/>
  <c r="C23" i="69"/>
  <c r="C26" i="12"/>
  <c r="D25" i="12" s="1"/>
  <c r="C27" i="12"/>
  <c r="C25" i="12" s="1"/>
  <c r="C10" i="15"/>
  <c r="C5" i="15" s="1"/>
  <c r="C53" i="15"/>
  <c r="C48" i="15" s="1"/>
  <c r="C46" i="69"/>
  <c r="C45" i="69" s="1"/>
  <c r="C20" i="9"/>
  <c r="B6" i="76"/>
  <c r="C19" i="9"/>
  <c r="C41" i="69" l="1"/>
  <c r="C49" i="69" s="1"/>
  <c r="C51" i="69" s="1"/>
  <c r="C42" i="68"/>
  <c r="B2" i="76"/>
  <c r="B3" i="76" s="1"/>
  <c r="B3" i="43"/>
  <c r="C25" i="68"/>
  <c r="C22" i="68" s="1"/>
  <c r="C31" i="68" s="1"/>
  <c r="C26" i="15"/>
  <c r="C29" i="15" s="1"/>
  <c r="C43" i="68"/>
  <c r="C31" i="11"/>
  <c r="C52" i="11" s="1"/>
  <c r="B2" i="11" s="1"/>
  <c r="B3" i="11" s="1"/>
  <c r="C102" i="9"/>
  <c r="C21" i="9"/>
  <c r="C103" i="9"/>
  <c r="C32" i="15"/>
  <c r="C38" i="15"/>
  <c r="C60" i="67"/>
  <c r="C66" i="67"/>
  <c r="C23" i="67"/>
  <c r="C29" i="67" s="1"/>
  <c r="C60" i="15"/>
  <c r="C66" i="15"/>
  <c r="C32" i="12"/>
  <c r="B2" i="12" s="1"/>
  <c r="B3" i="12" s="1"/>
  <c r="C22" i="69"/>
  <c r="C31" i="69" s="1"/>
  <c r="C32" i="67"/>
  <c r="C38" i="67"/>
  <c r="C52" i="69" l="1"/>
  <c r="B2" i="69" s="1"/>
  <c r="B3" i="69" s="1"/>
  <c r="C41" i="68"/>
  <c r="C49" i="68" s="1"/>
  <c r="C51" i="68" s="1"/>
  <c r="C52" i="68" s="1"/>
  <c r="B2" i="68" s="1"/>
  <c r="B3" i="68" s="1"/>
  <c r="C33" i="67"/>
  <c r="C31" i="67" s="1"/>
  <c r="C36" i="67"/>
  <c r="C13" i="67"/>
  <c r="C57" i="67"/>
  <c r="J19" i="67"/>
  <c r="J17" i="67" s="1"/>
  <c r="Q49" i="67"/>
  <c r="J14" i="67"/>
  <c r="C57" i="15"/>
  <c r="C33" i="15"/>
  <c r="C13" i="15"/>
  <c r="C36" i="15"/>
  <c r="Q49" i="15"/>
  <c r="J14" i="15"/>
  <c r="J19" i="15"/>
  <c r="J17" i="15" s="1"/>
  <c r="J59" i="15"/>
  <c r="J60" i="15" s="1"/>
  <c r="C56" i="11"/>
  <c r="C57" i="11" s="1"/>
  <c r="C31" i="15"/>
  <c r="C57" i="69" l="1"/>
  <c r="C56" i="69" s="1"/>
  <c r="C57" i="68"/>
  <c r="C56" i="68" s="1"/>
  <c r="Q48" i="15"/>
  <c r="L46" i="15"/>
  <c r="J22" i="15"/>
  <c r="J13" i="15"/>
  <c r="J23" i="15" s="1"/>
  <c r="C56" i="15"/>
  <c r="C65" i="15" s="1"/>
  <c r="C75" i="15"/>
  <c r="Q70" i="15"/>
  <c r="C37" i="15"/>
  <c r="C30" i="15" s="1"/>
  <c r="C39" i="15" s="1"/>
  <c r="C64" i="15"/>
  <c r="C61" i="15"/>
  <c r="C59" i="15" s="1"/>
  <c r="C64" i="67"/>
  <c r="C61" i="67"/>
  <c r="C59" i="67" s="1"/>
  <c r="J13" i="67"/>
  <c r="J23" i="67" s="1"/>
  <c r="J22" i="67"/>
  <c r="C37" i="67"/>
  <c r="C30" i="67" s="1"/>
  <c r="C39" i="67" s="1"/>
  <c r="Q70" i="67"/>
  <c r="C75" i="67"/>
  <c r="C56" i="67"/>
  <c r="C65" i="67" s="1"/>
  <c r="J16" i="67" l="1"/>
  <c r="J25" i="67" s="1"/>
  <c r="C58" i="15"/>
  <c r="C67" i="15" s="1"/>
  <c r="C68" i="15" s="1"/>
  <c r="C71" i="15" s="1"/>
  <c r="C58" i="67"/>
  <c r="C67" i="67" s="1"/>
  <c r="C68" i="67" s="1"/>
  <c r="C71" i="67" s="1"/>
  <c r="J16" i="15"/>
  <c r="J25" i="15" s="1"/>
  <c r="C40" i="67"/>
  <c r="Q69" i="67"/>
  <c r="Q68" i="67" s="1"/>
  <c r="C80" i="67"/>
  <c r="C79" i="67" s="1"/>
  <c r="C40" i="15"/>
  <c r="Q69" i="15"/>
  <c r="Q68" i="15" s="1"/>
  <c r="C80" i="15"/>
  <c r="C79" i="15" s="1"/>
  <c r="L51" i="15"/>
  <c r="L51" i="67"/>
  <c r="C45" i="67" l="1"/>
  <c r="C46" i="67" s="1"/>
  <c r="C46" i="15"/>
  <c r="Q67" i="15"/>
  <c r="L57" i="15"/>
  <c r="L60" i="15" s="1"/>
  <c r="Q67" i="67"/>
  <c r="L57" i="67"/>
  <c r="Q65" i="15"/>
  <c r="Q47" i="15"/>
  <c r="Q53" i="15" s="1"/>
  <c r="Q56" i="15"/>
  <c r="B2" i="15"/>
  <c r="B3" i="15" s="1"/>
  <c r="C43" i="15"/>
  <c r="C83" i="15"/>
  <c r="C82" i="15" s="1"/>
  <c r="D2" i="67"/>
  <c r="C43" i="67"/>
  <c r="Q56" i="67"/>
  <c r="Q62" i="67" s="1"/>
  <c r="Q65" i="67"/>
  <c r="Q75" i="67" s="1"/>
  <c r="Q47" i="67"/>
  <c r="Q53" i="67" s="1"/>
  <c r="C83" i="67"/>
  <c r="C82" i="67" s="1"/>
  <c r="Q66" i="15" l="1"/>
  <c r="Q75" i="15" s="1"/>
  <c r="Q57" i="15"/>
  <c r="Q62" i="15" s="1"/>
  <c r="B3" i="67"/>
  <c r="B2" i="67"/>
  <c r="AO6" i="1"/>
  <c r="D20" i="9"/>
  <c r="D19" i="9"/>
  <c r="B6" i="70" l="1"/>
  <c r="B2" i="70" s="1"/>
  <c r="B3" i="70" s="1"/>
  <c r="D102" i="9"/>
  <c r="D21" i="9"/>
  <c r="D22" i="9"/>
  <c r="G19" i="9"/>
  <c r="D103" i="9"/>
  <c r="G20" i="9"/>
  <c r="R24" i="31" s="1"/>
  <c r="R105" i="31" s="1"/>
  <c r="S105" i="31" s="1"/>
  <c r="R104" i="31" l="1"/>
  <c r="S104" i="31" s="1"/>
  <c r="R106" i="31"/>
  <c r="S106" i="31" s="1"/>
  <c r="R26" i="3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25" i="31"/>
  <c r="S25"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S24" i="31"/>
  <c r="G21" i="9"/>
  <c r="C32" i="9"/>
  <c r="D15" i="74" l="1"/>
  <c r="S22" i="31"/>
  <c r="B20" i="31" s="1"/>
  <c r="C35" i="9"/>
  <c r="F118" i="9" s="1"/>
  <c r="H118" i="9"/>
  <c r="H15" i="74" l="1"/>
  <c r="E15" i="74"/>
  <c r="F15" i="74"/>
  <c r="R22" i="31"/>
  <c r="B21" i="31" s="1"/>
  <c r="H101" i="9"/>
  <c r="H109" i="9" s="1"/>
  <c r="C104" i="9"/>
  <c r="I118" i="9"/>
  <c r="H119" i="9"/>
  <c r="H5" i="52" s="1"/>
  <c r="H4" i="52"/>
  <c r="D14" i="74"/>
  <c r="C34" i="9"/>
  <c r="D118" i="9" s="1"/>
  <c r="F4" i="52"/>
  <c r="B51" i="72" s="1"/>
  <c r="F119" i="9"/>
  <c r="F5" i="52" s="1"/>
  <c r="B53" i="72" s="1"/>
  <c r="G118" i="9"/>
  <c r="G4" i="52" s="1"/>
  <c r="B52" i="72" s="1"/>
  <c r="H110" i="9" l="1"/>
  <c r="D18" i="53" s="1"/>
  <c r="B35" i="72" s="1"/>
  <c r="D16" i="53"/>
  <c r="D124" i="9"/>
  <c r="E14" i="74"/>
  <c r="F14" i="74"/>
  <c r="B5" i="74"/>
  <c r="D119" i="9"/>
  <c r="D5" i="52" s="1"/>
  <c r="B49" i="72" s="1"/>
  <c r="D4" i="52"/>
  <c r="B47" i="72" s="1"/>
  <c r="H102" i="9"/>
  <c r="D7" i="53" s="1"/>
  <c r="B21" i="72" s="1"/>
  <c r="I4" i="52"/>
  <c r="E118" i="9"/>
  <c r="E4" i="52" s="1"/>
  <c r="B48" i="72" s="1"/>
  <c r="C105" i="9"/>
  <c r="D5" i="53"/>
  <c r="H107" i="9"/>
  <c r="D45" i="9"/>
  <c r="M48" i="9"/>
  <c r="D17" i="53" l="1"/>
  <c r="B36" i="72" s="1"/>
  <c r="B34" i="72"/>
  <c r="D10" i="52"/>
  <c r="D125" i="9"/>
  <c r="D11" i="52" s="1"/>
  <c r="H14" i="74"/>
  <c r="B7" i="74" s="1"/>
  <c r="D53" i="9"/>
  <c r="C93" i="9"/>
  <c r="C86" i="9" s="1"/>
  <c r="C72" i="9"/>
  <c r="C78" i="9"/>
  <c r="C73" i="9" s="1"/>
  <c r="C85" i="9"/>
  <c r="D55" i="9"/>
  <c r="M53" i="9" s="1"/>
  <c r="C64" i="9"/>
  <c r="C63" i="9" s="1"/>
  <c r="C67" i="9" s="1"/>
  <c r="C68" i="9" s="1"/>
  <c r="D54" i="9" s="1"/>
  <c r="D52" i="9"/>
  <c r="D6" i="53"/>
  <c r="B22" i="72" s="1"/>
  <c r="B20" i="72"/>
  <c r="M49" i="9"/>
  <c r="H108" i="9"/>
  <c r="D15" i="53" s="1"/>
  <c r="B31" i="72" s="1"/>
  <c r="D122" i="9"/>
  <c r="D13" i="53"/>
  <c r="D5" i="74"/>
  <c r="C5" i="74"/>
  <c r="D7" i="74" l="1"/>
  <c r="C7" i="74"/>
  <c r="C95" i="9"/>
  <c r="C96" i="9" s="1"/>
  <c r="E96" i="9" s="1"/>
  <c r="E97" i="9" s="1"/>
  <c r="C79" i="9"/>
  <c r="C80" i="9" s="1"/>
  <c r="E80" i="9" s="1"/>
  <c r="E81" i="9" s="1"/>
  <c r="G14" i="74"/>
  <c r="B6" i="74" s="1"/>
  <c r="D8" i="52"/>
  <c r="D123" i="9"/>
  <c r="D9" i="52" s="1"/>
  <c r="L65" i="9"/>
  <c r="M65" i="9" s="1"/>
  <c r="L64" i="9"/>
  <c r="M64" i="9" s="1"/>
  <c r="L67" i="9"/>
  <c r="M67" i="9" s="1"/>
  <c r="L68" i="9"/>
  <c r="M68" i="9" s="1"/>
  <c r="L66" i="9"/>
  <c r="M66" i="9" s="1"/>
  <c r="L63" i="9"/>
  <c r="M63" i="9" s="1"/>
  <c r="D14" i="53"/>
  <c r="B32" i="72" s="1"/>
  <c r="B30" i="72"/>
  <c r="M69" i="9" l="1"/>
  <c r="N69" i="9" s="1"/>
  <c r="C81" i="9"/>
  <c r="C97" i="9"/>
  <c r="D58" i="9" s="1"/>
  <c r="D56" i="9" s="1"/>
  <c r="M54" i="9" s="1"/>
  <c r="N57" i="9" s="1"/>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<sst xmlns="http://schemas.openxmlformats.org/spreadsheetml/2006/main" count="8190" uniqueCount="3193">
  <si>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</si>
  <si>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</si>
  <si>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</si>
  <si>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</si>
  <si>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</si>
  <si>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</si>
  <si>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</si>
  <si>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</si>
  <si>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</si>
  <si>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</si>
  <si>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</si>
  <si>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</si>
  <si>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</si>
  <si>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</si>
  <si>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</si>
  <si>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</si>
  <si>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</si>
  <si>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</si>
  <si>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</si>
  <si>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</si>
  <si>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</si>
  <si>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</si>
  <si>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</si>
  <si>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</si>
  <si>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</si>
  <si>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</si>
  <si>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</si>
  <si>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</si>
  <si>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</si>
  <si>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</si>
  <si>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</si>
  <si>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</si>
  <si>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</si>
  <si>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</si>
  <si>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</si>
  <si>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</si>
  <si>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</si>
  <si>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</si>
  <si>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</si>
  <si>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</si>
  <si>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</si>
  <si>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</si>
  <si>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</si>
  <si>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</si>
  <si>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</si>
  <si>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</si>
  <si>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</si>
  <si>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</si>
  <si>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</si>
  <si>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</si>
  <si>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</si>
  <si>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</si>
  <si>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</si>
  <si>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</si>
  <si>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</si>
  <si>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</si>
  <si>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</si>
  <si>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</si>
  <si>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</si>
  <si>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</si>
  <si>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</si>
  <si>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</si>
  <si>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</si>
  <si>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</si>
  <si>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</si>
  <si>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</si>
  <si>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</si>
  <si>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</si>
  <si>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</si>
  <si>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</si>
  <si>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</si>
  <si>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</si>
  <si>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</si>
  <si>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</si>
  <si>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</si>
  <si>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</si>
  <si>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</si>
  <si>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</si>
  <si>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</si>
  <si>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</si>
  <si>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</si>
  <si>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</si>
  <si>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</si>
  <si>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</si>
  <si>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</si>
  <si>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</si>
  <si>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</si>
  <si>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</si>
  <si>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</si>
  <si>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</si>
  <si>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</si>
  <si>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</si>
  <si>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</si>
  <si>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</si>
  <si>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</si>
  <si>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</si>
  <si>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</si>
  <si>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</si>
  <si>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</si>
  <si>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</si>
  <si>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</si>
  <si>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</si>
  <si>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</si>
  <si>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</si>
  <si>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</si>
  <si>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</si>
  <si>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</si>
  <si>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</si>
  <si>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</si>
  <si>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</si>
  <si>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</si>
  <si>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</si>
  <si>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</si>
  <si>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</si>
  <si>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</si>
  <si>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</si>
  <si>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</si>
  <si>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</si>
  <si>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</si>
  <si>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</si>
  <si>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</si>
  <si>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</si>
  <si>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</si>
  <si>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</si>
  <si>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</si>
  <si>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</si>
  <si>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</si>
  <si>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</si>
  <si>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</si>
  <si>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</si>
  <si>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</si>
  <si>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</si>
  <si>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</si>
  <si>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</si>
  <si>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</si>
  <si>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</si>
  <si>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</si>
  <si>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</si>
  <si>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</si>
  <si>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</si>
  <si>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</si>
  <si>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</si>
  <si>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</si>
  <si>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</si>
  <si>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</si>
  <si>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</si>
  <si>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</si>
  <si>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</si>
  <si>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</si>
  <si>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</si>
  <si>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</si>
  <si>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</si>
  <si>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</si>
  <si>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</si>
  <si>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</si>
  <si>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</si>
  <si>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</si>
  <si>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</si>
  <si>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</si>
  <si>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</si>
  <si>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</si>
  <si>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</si>
  <si>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</si>
  <si>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</si>
  <si>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</si>
  <si>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</si>
  <si>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</si>
  <si>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</si>
  <si>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</si>
  <si>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</si>
  <si>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</si>
  <si>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</si>
  <si>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</si>
  <si>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</si>
  <si>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</si>
  <si>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</si>
  <si>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</si>
  <si>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</si>
  <si>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</si>
  <si>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</si>
  <si>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</si>
  <si>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</si>
  <si>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</si>
  <si>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</si>
  <si>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</si>
  <si>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</si>
  <si>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</si>
  <si>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</si>
  <si>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</si>
  <si>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</si>
  <si>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</si>
  <si>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</si>
  <si>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</si>
  <si>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</si>
  <si>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</si>
  <si>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</si>
  <si>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</si>
  <si>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</si>
  <si>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</si>
  <si>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</si>
  <si>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</si>
  <si>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</si>
  <si>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</si>
  <si>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</si>
  <si>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</si>
  <si>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</si>
  <si>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</si>
  <si>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</si>
  <si>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</si>
  <si>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</si>
  <si>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</si>
  <si>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</si>
  <si>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</si>
  <si>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</si>
  <si>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</si>
  <si>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</si>
  <si>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</si>
  <si>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</si>
  <si>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</si>
  <si>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</si>
  <si>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</si>
  <si>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</si>
  <si>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</si>
  <si>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</si>
  <si>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</si>
  <si>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</si>
  <si>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</si>
  <si>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</si>
  <si>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</si>
  <si>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</si>
  <si>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</si>
  <si>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</si>
  <si>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</si>
  <si>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</si>
  <si>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</si>
  <si>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</si>
  <si>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</si>
  <si>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</si>
  <si>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</si>
  <si>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</si>
  <si>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</si>
  <si>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</si>
  <si>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</si>
  <si>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</si>
  <si>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</si>
  <si>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</si>
  <si>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</si>
  <si>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</si>
  <si>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</si>
  <si>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</si>
  <si>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</si>
  <si>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</si>
  <si>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</si>
  <si>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</si>
  <si>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</si>
  <si>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</si>
  <si>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</si>
  <si>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</si>
  <si>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</si>
  <si>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</si>
  <si>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</si>
  <si>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</si>
  <si>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</si>
  <si>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</si>
  <si>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</si>
  <si>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</si>
  <si>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</si>
  <si>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</si>
  <si>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</si>
  <si>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</si>
  <si>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</si>
  <si>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</si>
  <si>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</si>
  <si>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</si>
  <si>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</si>
  <si>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</si>
  <si>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</si>
  <si>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</si>
  <si>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</si>
  <si>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</si>
  <si>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</si>
  <si>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</si>
  <si>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</si>
  <si>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</si>
  <si>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</si>
  <si>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</si>
  <si>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</si>
  <si>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</si>
  <si>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</si>
  <si>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</si>
  <si>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</si>
  <si>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</si>
  <si>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</si>
  <si>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</si>
  <si>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</si>
  <si>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</si>
  <si>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</si>
  <si>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</si>
  <si>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</si>
  <si>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</si>
  <si>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</si>
  <si>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</si>
  <si>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</si>
  <si>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</si>
  <si>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</si>
  <si>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</si>
  <si>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</si>
  <si>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</si>
  <si>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</si>
  <si>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</si>
  <si>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</si>
  <si>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</si>
  <si>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</si>
  <si>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</si>
  <si>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</si>
  <si>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</si>
  <si>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</si>
  <si>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</si>
  <si>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</si>
  <si>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</si>
  <si>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</si>
  <si>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</si>
  <si>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</si>
  <si>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</si>
  <si>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</si>
  <si>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</si>
  <si>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</si>
  <si>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</si>
  <si>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</si>
  <si>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</si>
  <si>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</si>
  <si>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</si>
  <si>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</si>
  <si>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</si>
  <si>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</si>
  <si>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</si>
  <si>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</si>
  <si>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</si>
  <si>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</si>
  <si>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</si>
  <si>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</si>
  <si>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</si>
  <si>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</si>
  <si>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</si>
  <si>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</si>
  <si>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</si>
  <si>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</si>
  <si>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</si>
  <si>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</si>
  <si>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</si>
  <si>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</si>
  <si>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</si>
  <si>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</si>
  <si>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</si>
  <si>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</si>
  <si>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</si>
  <si>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</si>
  <si>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</si>
  <si>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</si>
  <si>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</si>
  <si>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</si>
  <si>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</si>
  <si>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</si>
  <si>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</si>
  <si>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</si>
  <si>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</si>
  <si>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</si>
  <si>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</si>
  <si>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</si>
  <si>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</si>
  <si>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</si>
  <si>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</si>
  <si>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</si>
  <si>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</si>
  <si>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</si>
  <si>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</si>
  <si>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</si>
  <si>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</si>
  <si>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</si>
  <si>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</si>
  <si>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</si>
  <si>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</si>
  <si>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</si>
  <si>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</si>
  <si>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</si>
  <si>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</si>
  <si>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</si>
  <si>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</si>
  <si>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</si>
  <si>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</si>
  <si>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</si>
  <si>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</si>
  <si>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</si>
  <si>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</si>
  <si>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</si>
  <si>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</si>
  <si>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</si>
  <si>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</si>
  <si>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</si>
  <si>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</si>
  <si>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</si>
  <si>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</si>
  <si>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</si>
  <si>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</si>
  <si>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</si>
  <si>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</si>
  <si>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</si>
  <si>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</si>
  <si>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</si>
  <si>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</si>
  <si>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</si>
  <si>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</si>
  <si>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</si>
  <si>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</si>
  <si>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</si>
  <si>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</si>
  <si>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</si>
  <si>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</si>
  <si>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</si>
  <si>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</si>
  <si>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</si>
  <si>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</si>
  <si>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</si>
  <si>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</si>
  <si>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</si>
  <si>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</si>
  <si>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</si>
  <si>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</si>
  <si>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</si>
  <si>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</si>
  <si>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</si>
  <si>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</si>
  <si>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</si>
  <si>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</si>
  <si>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</si>
  <si>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</si>
  <si>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</si>
  <si>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</si>
  <si>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</si>
  <si>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</si>
  <si>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</si>
  <si>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</si>
  <si>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</si>
  <si>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</si>
  <si>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</si>
  <si>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</si>
  <si>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</si>
  <si>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</si>
  <si>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</si>
  <si>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</si>
  <si>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</si>
  <si>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</si>
  <si>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</si>
  <si>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</si>
  <si>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</si>
  <si>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</si>
  <si>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</si>
  <si>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</si>
  <si>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</si>
  <si>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</si>
  <si>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</si>
  <si>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</si>
  <si>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</si>
  <si>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</si>
  <si>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</si>
  <si>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</si>
  <si>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</si>
  <si>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</si>
  <si>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</si>
  <si>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</si>
  <si>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</si>
  <si>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</si>
  <si>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</si>
  <si>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</si>
  <si>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</si>
  <si>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</si>
  <si>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</si>
  <si>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</si>
  <si>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</si>
  <si>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</si>
  <si>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</si>
  <si>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</si>
  <si>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</si>
  <si>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</si>
  <si>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</si>
  <si>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</si>
  <si>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</si>
  <si>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</si>
  <si>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</si>
  <si>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</si>
  <si>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</si>
  <si>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</si>
  <si>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</si>
  <si>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</si>
  <si>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</si>
  <si>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</si>
  <si>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</si>
  <si>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</si>
  <si>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</si>
  <si>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</si>
  <si>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</si>
  <si>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</si>
  <si>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</si>
  <si>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</si>
  <si>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</si>
  <si>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</si>
  <si>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</si>
  <si>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</si>
  <si>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</si>
  <si>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</si>
  <si>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</si>
  <si>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</si>
  <si>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</si>
  <si>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</si>
  <si>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</si>
  <si>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</si>
  <si>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</si>
  <si>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</si>
  <si>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</si>
  <si>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</si>
  <si>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</si>
  <si>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</si>
  <si>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</si>
  <si>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</si>
  <si>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</si>
  <si>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</si>
  <si>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</si>
  <si>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</si>
  <si>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</si>
  <si>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</si>
  <si>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</si>
  <si>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</si>
  <si>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</si>
  <si>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</si>
  <si>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</si>
  <si>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</si>
  <si>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</si>
  <si>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</si>
  <si>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</si>
  <si>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</si>
  <si>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</si>
  <si>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</si>
  <si>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</si>
  <si>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</si>
  <si>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</si>
  <si>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</si>
  <si>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</si>
  <si>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</si>
  <si>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</si>
  <si>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</si>
  <si>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</si>
  <si>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</si>
  <si>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</si>
  <si>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</si>
  <si>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</si>
  <si>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</si>
  <si>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</si>
  <si>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</si>
  <si>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</si>
  <si>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</si>
  <si>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</si>
  <si>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</si>
  <si>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</si>
  <si>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</si>
  <si>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</si>
  <si>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</si>
  <si>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</si>
  <si>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</si>
  <si>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</si>
  <si>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</si>
  <si>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</si>
  <si>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</si>
  <si>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</si>
  <si>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</si>
  <si>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</si>
  <si>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</si>
  <si>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</si>
  <si>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</si>
  <si>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</si>
  <si>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</si>
  <si>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</si>
  <si>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</si>
  <si>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</si>
  <si>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</si>
  <si>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</si>
  <si>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</si>
  <si>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</si>
  <si>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</si>
  <si>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</si>
  <si>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</si>
  <si>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</si>
  <si>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</si>
  <si>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</si>
  <si>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</si>
  <si>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</si>
  <si>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</si>
  <si>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</si>
  <si>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</si>
  <si>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</si>
  <si>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</si>
  <si>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</si>
  <si>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</si>
  <si>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</si>
  <si>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</si>
  <si>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</si>
  <si>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</si>
  <si>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</si>
  <si>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</si>
  <si>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</si>
  <si>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</si>
  <si>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</si>
  <si>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</si>
  <si>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</si>
  <si>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</si>
  <si>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</si>
  <si>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</si>
  <si>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</si>
  <si>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</si>
  <si>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</si>
  <si>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</si>
  <si>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</si>
  <si>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</si>
  <si>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</si>
  <si>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</si>
  <si>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</si>
  <si>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</si>
  <si>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</si>
  <si>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</si>
  <si>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</si>
  <si>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</si>
  <si>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</si>
  <si>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</si>
  <si>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</si>
  <si>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</si>
  <si>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</si>
  <si>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</si>
  <si>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</si>
  <si>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</si>
  <si>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</si>
  <si>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</si>
  <si>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</si>
  <si>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</si>
  <si>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</si>
  <si>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</si>
  <si>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</si>
  <si>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</si>
  <si>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</si>
  <si>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</si>
  <si>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</si>
  <si>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</si>
  <si>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</si>
  <si>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</si>
  <si>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</si>
  <si>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</si>
  <si>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</si>
  <si>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</si>
  <si>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</si>
  <si>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</si>
  <si>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</si>
  <si>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</si>
  <si>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</si>
  <si>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</si>
  <si>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</si>
  <si>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</si>
  <si>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</si>
  <si>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</si>
  <si>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</si>
  <si>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</si>
  <si>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</si>
  <si>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</si>
  <si>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</si>
  <si>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</si>
  <si>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</si>
  <si>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</si>
  <si>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</si>
  <si>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</si>
  <si>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</si>
  <si>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</si>
  <si>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</si>
  <si>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</si>
  <si>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</si>
  <si>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</si>
  <si>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</si>
  <si>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</si>
  <si>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</si>
  <si>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</si>
  <si>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</si>
  <si>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</si>
  <si>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</si>
  <si>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</si>
  <si>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</si>
  <si>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</si>
  <si>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</si>
  <si>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</si>
  <si>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</si>
  <si>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</si>
  <si>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</si>
  <si>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</si>
  <si>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</si>
  <si>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</si>
  <si>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</si>
  <si>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</si>
  <si>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</si>
  <si>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</si>
  <si>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</si>
  <si>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</si>
  <si>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</si>
  <si>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</si>
  <si>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</si>
  <si>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</si>
  <si>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</si>
  <si>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</si>
  <si>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</si>
  <si>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</si>
  <si>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</si>
  <si>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</si>
  <si>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</si>
  <si>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</si>
  <si>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</si>
  <si>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</si>
  <si>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</si>
  <si>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</si>
  <si>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</si>
  <si>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</si>
  <si>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</si>
  <si>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</si>
  <si>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</si>
  <si>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</si>
  <si>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</si>
  <si>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</si>
  <si>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</si>
  <si>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</si>
  <si>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</si>
  <si>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</si>
  <si>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</si>
  <si>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</si>
  <si>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</si>
  <si>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</si>
  <si>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</si>
  <si>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</si>
  <si>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</si>
  <si>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</si>
  <si>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</si>
  <si>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</si>
  <si>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</si>
  <si>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</si>
  <si>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</si>
  <si>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</si>
  <si>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</si>
  <si>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</si>
  <si>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</si>
  <si>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</si>
  <si>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</si>
  <si>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</si>
  <si>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</si>
  <si>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</si>
  <si>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</si>
  <si>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</si>
  <si>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</si>
  <si>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</si>
  <si>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</si>
  <si>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</si>
  <si>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</si>
  <si>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</si>
  <si>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</si>
  <si>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</si>
  <si>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</si>
  <si>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</si>
  <si>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</si>
  <si>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</si>
  <si>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</si>
  <si>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</si>
  <si>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</si>
  <si>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</si>
  <si>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</si>
  <si>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</si>
  <si>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</si>
  <si>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</si>
  <si>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</si>
  <si>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</si>
  <si>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</si>
  <si>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</si>
  <si>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</si>
  <si>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</si>
  <si>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</si>
  <si>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</si>
  <si>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</si>
  <si>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</si>
  <si>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</si>
  <si>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</si>
  <si>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</si>
  <si>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</si>
  <si>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</si>
  <si>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</si>
  <si>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</si>
  <si>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</si>
  <si>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</si>
  <si>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</si>
  <si>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</si>
  <si>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</si>
  <si>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</si>
  <si>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</si>
  <si>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</si>
  <si>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</si>
  <si>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</si>
  <si>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</si>
  <si>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</si>
  <si>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</si>
  <si>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</si>
  <si>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</si>
  <si>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</si>
  <si>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</si>
  <si>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</si>
  <si>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</si>
  <si>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</si>
  <si>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</si>
  <si>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</si>
  <si>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</si>
  <si>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</si>
  <si>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</si>
  <si>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</si>
  <si>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</si>
  <si>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</si>
  <si>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</si>
  <si>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</si>
  <si>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</si>
  <si>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</si>
  <si>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</si>
  <si>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</si>
  <si>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</si>
  <si>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</si>
  <si>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</si>
  <si>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</si>
  <si>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</si>
  <si>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</si>
  <si>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</si>
  <si>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</si>
  <si>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</si>
  <si>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</si>
  <si>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</si>
  <si>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</si>
  <si>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</si>
  <si>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</si>
  <si>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</si>
  <si>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</si>
  <si>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</si>
  <si>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</si>
  <si>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</si>
  <si>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</si>
  <si>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</si>
  <si>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</si>
  <si>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</si>
  <si>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</si>
  <si>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</si>
  <si>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</si>
  <si>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</si>
  <si>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</si>
  <si>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</si>
  <si>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</si>
  <si>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</si>
  <si>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</si>
  <si>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</si>
  <si>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</si>
  <si>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</si>
  <si>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</si>
  <si>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</si>
  <si>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</si>
  <si>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</si>
  <si>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</si>
  <si>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</si>
  <si>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</si>
  <si>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</si>
  <si>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</si>
  <si>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</si>
  <si>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</si>
  <si>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</si>
  <si>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</si>
  <si>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</si>
  <si>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</si>
  <si>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</si>
  <si>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</si>
  <si>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</si>
  <si>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</si>
  <si>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</si>
  <si>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</si>
  <si>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</si>
  <si>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</si>
  <si>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</si>
  <si>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</si>
  <si>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</si>
  <si>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</si>
  <si>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</si>
  <si>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</si>
  <si>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</si>
  <si>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</si>
  <si>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</si>
  <si>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</si>
  <si>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</si>
  <si>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</si>
  <si>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</si>
  <si>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</si>
  <si>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</si>
  <si>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</si>
  <si>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</si>
  <si>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</si>
  <si>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</si>
  <si>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</si>
  <si>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</si>
  <si>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</si>
  <si>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</si>
  <si>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</si>
  <si>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</si>
  <si>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</si>
  <si>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</si>
  <si>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</si>
  <si>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</si>
  <si>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</si>
  <si>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</si>
  <si>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</si>
  <si>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</si>
  <si>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</si>
  <si>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</si>
  <si>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</si>
  <si>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</si>
  <si>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</si>
  <si>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</si>
  <si>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</si>
  <si>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</si>
  <si>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</si>
  <si>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</si>
  <si>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</si>
  <si>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</si>
  <si>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</si>
  <si>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</si>
  <si>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</si>
  <si>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</si>
  <si>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</si>
  <si>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</si>
  <si>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</si>
  <si>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</si>
  <si>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</si>
  <si>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</si>
  <si>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</si>
  <si>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</si>
  <si>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</si>
  <si>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</si>
  <si>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</si>
  <si>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</si>
  <si>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</si>
  <si>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</si>
  <si>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</si>
  <si>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</si>
  <si>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</si>
  <si>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</si>
  <si>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</si>
  <si>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</si>
  <si>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</si>
  <si>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</si>
  <si>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</si>
  <si>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</si>
  <si>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</si>
  <si>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</si>
  <si>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</si>
  <si>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</si>
  <si>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</si>
  <si>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</si>
  <si>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</si>
  <si>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</si>
  <si>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</si>
  <si>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</si>
  <si>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</si>
  <si>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</si>
  <si>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</si>
  <si>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</si>
  <si>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</si>
  <si>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</si>
  <si>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</si>
  <si>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</si>
  <si>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</si>
  <si>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</si>
  <si>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</si>
  <si>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</si>
  <si>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</si>
  <si>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</si>
  <si>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</si>
  <si>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</si>
  <si>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</si>
  <si>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</si>
  <si>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</si>
  <si>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</si>
  <si>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</si>
  <si>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</si>
  <si>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</si>
  <si>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</si>
  <si>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</si>
  <si>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</si>
  <si>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</si>
  <si>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</si>
  <si>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</si>
  <si>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</si>
  <si>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</si>
  <si>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</si>
  <si>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</si>
  <si>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</si>
  <si>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</si>
  <si>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</si>
  <si>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</si>
  <si>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</si>
  <si>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</si>
  <si>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</si>
  <si>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</si>
  <si>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</si>
  <si>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</si>
  <si>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</si>
  <si>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</si>
  <si>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</si>
  <si>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</si>
  <si>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</si>
  <si>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</si>
  <si>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</si>
  <si>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</si>
  <si>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</si>
  <si>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</si>
  <si>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</si>
  <si>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</si>
  <si>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</si>
  <si>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</si>
  <si>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</si>
  <si>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</si>
  <si>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</si>
  <si>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</si>
  <si>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</si>
  <si>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</si>
  <si>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</si>
  <si>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</si>
  <si>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</si>
  <si>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</si>
  <si>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</si>
  <si>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</si>
  <si>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</si>
  <si>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</si>
  <si>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</si>
  <si>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</si>
  <si>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</si>
  <si>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</si>
  <si>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</si>
  <si>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</si>
  <si>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</si>
  <si>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</si>
  <si>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</si>
  <si>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</si>
  <si>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</si>
  <si>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</si>
  <si>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</si>
  <si>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</si>
  <si>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</si>
  <si>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</si>
  <si>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</si>
  <si>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</si>
  <si>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</si>
  <si>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</si>
  <si>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</si>
  <si>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</si>
  <si>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</si>
  <si>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</si>
  <si>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</si>
  <si>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</si>
  <si>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</si>
  <si>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</si>
  <si>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</si>
  <si>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</si>
  <si>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</si>
  <si>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</si>
  <si>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</si>
  <si>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</si>
  <si>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</si>
  <si>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</si>
  <si>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</si>
  <si>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</si>
  <si>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</si>
  <si>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</si>
  <si>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</si>
  <si>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</si>
  <si>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</si>
  <si>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</si>
  <si>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</si>
  <si>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</si>
  <si>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</si>
  <si>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</si>
  <si>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</si>
  <si>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</si>
  <si>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</si>
  <si>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</si>
  <si>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</si>
  <si>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</si>
  <si>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</si>
  <si>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</si>
  <si>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</si>
  <si>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</si>
  <si>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</si>
  <si>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</si>
  <si>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</si>
  <si>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</si>
  <si>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</si>
  <si>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</si>
  <si>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</si>
  <si>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</si>
  <si>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</si>
  <si>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</si>
  <si>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</si>
  <si>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</si>
  <si>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</si>
  <si>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</si>
  <si>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</si>
  <si>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</si>
  <si>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</si>
  <si>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</si>
  <si>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</si>
  <si>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</si>
  <si>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</si>
  <si>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</si>
  <si>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</si>
  <si>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</si>
  <si>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</si>
  <si>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</si>
  <si>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</si>
  <si>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</si>
  <si>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</si>
  <si>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</si>
  <si>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</si>
  <si>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</si>
  <si>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</si>
  <si>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</si>
  <si>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</si>
  <si>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</si>
  <si>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</si>
  <si>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</si>
  <si>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</si>
  <si>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</si>
  <si>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</si>
  <si>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</si>
  <si>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</si>
  <si>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</si>
  <si>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</si>
  <si>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</si>
  <si>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</si>
  <si>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</si>
  <si>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</si>
  <si>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</si>
  <si>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</si>
  <si>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</si>
  <si>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</si>
  <si>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</si>
  <si>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</si>
  <si>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</si>
  <si>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</si>
  <si>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</si>
  <si>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</si>
  <si>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</si>
  <si>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</si>
  <si>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</si>
  <si>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</si>
  <si>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</si>
  <si>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</si>
  <si>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</si>
  <si>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</si>
  <si>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</si>
  <si>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</si>
  <si>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</si>
  <si>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</si>
  <si>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</si>
  <si>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</si>
  <si>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</si>
  <si>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</si>
  <si>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</si>
  <si>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</si>
  <si>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</si>
  <si>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</si>
  <si>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</si>
  <si>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</si>
  <si>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</si>
  <si>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</si>
  <si>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</si>
  <si>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</si>
  <si>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</si>
  <si>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</si>
  <si>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</si>
  <si>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</si>
  <si>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</si>
  <si>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</si>
  <si>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</si>
  <si>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</si>
  <si>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</si>
  <si>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</si>
  <si>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</si>
  <si>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</si>
  <si>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</si>
  <si>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</si>
  <si>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</si>
  <si>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</si>
  <si>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</si>
  <si>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</si>
  <si>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</si>
  <si>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</si>
  <si>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</si>
  <si>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</si>
  <si>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</si>
  <si>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</si>
  <si>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</si>
  <si>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</si>
  <si>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</si>
  <si>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</si>
  <si>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</si>
  <si>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</si>
  <si>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</si>
  <si>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</si>
  <si>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</si>
  <si>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</si>
  <si>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</si>
  <si>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</si>
  <si>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</si>
  <si>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</si>
  <si>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</si>
  <si>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</si>
  <si>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</si>
  <si>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</si>
  <si>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</si>
  <si>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</si>
  <si>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</si>
  <si>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</si>
  <si>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</si>
  <si>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</si>
  <si>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</si>
  <si>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</si>
  <si>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</si>
  <si>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</si>
  <si>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</si>
  <si>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</si>
  <si>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</si>
  <si>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</si>
  <si>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</si>
  <si>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</si>
  <si>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</si>
  <si>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</si>
  <si>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</si>
  <si>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</si>
  <si>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</si>
  <si>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</si>
  <si>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</si>
  <si>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</si>
  <si>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</si>
  <si>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</si>
  <si>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</si>
  <si>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</si>
  <si>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</si>
  <si>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</si>
  <si>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</si>
  <si>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</si>
  <si>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</si>
  <si>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</si>
  <si>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</si>
  <si>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</si>
  <si>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</si>
  <si>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</si>
  <si>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</si>
  <si>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</si>
  <si>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</si>
  <si>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</si>
  <si>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</si>
  <si>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</si>
  <si>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</si>
  <si>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</si>
  <si>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</si>
  <si>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</si>
  <si>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</si>
  <si>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</si>
  <si>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</si>
  <si>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</si>
  <si>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</si>
  <si>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</si>
  <si>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</si>
  <si>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</si>
  <si>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</si>
  <si>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</si>
  <si>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</si>
  <si>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</si>
  <si>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</si>
  <si>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</si>
  <si>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</si>
  <si>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</si>
  <si>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</si>
  <si>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</si>
  <si>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</si>
  <si>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</si>
  <si>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</si>
  <si>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</si>
  <si>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</si>
  <si>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</si>
  <si>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</si>
  <si>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</si>
  <si>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</si>
  <si>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</si>
  <si>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</si>
  <si>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</si>
  <si>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</si>
  <si>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</si>
  <si>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</si>
  <si>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</si>
  <si>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</si>
  <si>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</si>
  <si>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</si>
  <si>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</si>
  <si>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</si>
  <si>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</si>
  <si>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</si>
  <si>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</si>
  <si>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</si>
  <si>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</si>
  <si>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</si>
  <si>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</si>
  <si>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</si>
  <si>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</si>
  <si>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</si>
  <si>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</si>
  <si>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</si>
  <si>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</si>
  <si>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</si>
  <si>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</si>
  <si>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</si>
  <si>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</si>
  <si>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</si>
  <si>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</si>
  <si>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</si>
  <si>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</si>
  <si>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</si>
  <si>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</si>
  <si>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</si>
  <si>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</si>
  <si>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</si>
  <si>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</si>
  <si>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</si>
  <si>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</si>
  <si>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</si>
  <si>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</si>
  <si>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</si>
  <si>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</si>
  <si>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</si>
  <si>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</si>
  <si>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</si>
  <si>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</si>
  <si>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</si>
  <si>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</si>
  <si>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</si>
  <si>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</si>
  <si>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</si>
  <si>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</si>
  <si>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</si>
  <si>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</si>
  <si>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</si>
  <si>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</si>
  <si>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</si>
  <si>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</si>
  <si>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</si>
  <si>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</si>
  <si>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</si>
  <si>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</si>
  <si>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</si>
  <si>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</si>
  <si>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</si>
  <si>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</si>
  <si>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</si>
  <si>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</si>
  <si>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</si>
  <si>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</si>
  <si>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</si>
  <si>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</si>
  <si>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</si>
  <si>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</si>
  <si>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</si>
  <si>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</si>
  <si>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</si>
  <si>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</si>
  <si>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</si>
  <si>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</si>
  <si>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</si>
  <si>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</si>
  <si>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</si>
  <si>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</si>
  <si>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</si>
  <si>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</si>
  <si>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</si>
  <si>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</si>
  <si>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</si>
  <si>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</si>
  <si>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</si>
  <si>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</si>
  <si>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</si>
  <si>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</si>
  <si>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</si>
  <si>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</si>
  <si>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</si>
  <si>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</si>
  <si>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</si>
  <si>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</si>
  <si>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</si>
  <si>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</si>
  <si>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</si>
  <si>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</si>
  <si>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</si>
  <si>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</si>
  <si>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</si>
  <si>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</si>
  <si>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</si>
  <si>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</si>
  <si>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</si>
  <si>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</si>
  <si>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</si>
  <si>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</si>
  <si>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</si>
  <si>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</si>
  <si>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</si>
  <si>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</si>
  <si>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</si>
  <si>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</si>
  <si>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</si>
  <si>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</si>
  <si>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</si>
  <si>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</si>
  <si>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</si>
  <si>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</si>
  <si>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</si>
  <si>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</si>
  <si>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</si>
  <si>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</si>
  <si>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</si>
  <si>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</si>
  <si>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</si>
  <si>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</si>
  <si>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</si>
  <si>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</si>
  <si>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</si>
  <si>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</si>
  <si>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</si>
  <si>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</si>
  <si>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</si>
  <si>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</si>
  <si>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</si>
  <si>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</si>
  <si>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</si>
  <si>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</si>
  <si>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</si>
  <si>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</si>
  <si>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</si>
  <si>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</si>
  <si>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</si>
  <si>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</si>
  <si>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</si>
  <si>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</si>
  <si>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</si>
  <si>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</si>
  <si>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</si>
  <si>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</si>
  <si>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</si>
  <si>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</si>
  <si>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</si>
  <si>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</si>
  <si>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</si>
  <si>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</si>
  <si>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</si>
  <si>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</si>
  <si>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</si>
  <si>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</si>
  <si>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</si>
  <si>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</si>
  <si>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</si>
  <si>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</si>
  <si>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</si>
  <si>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</si>
  <si>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</si>
  <si>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</si>
  <si>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</si>
  <si>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</si>
  <si>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</si>
  <si>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</si>
  <si>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</si>
  <si>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</si>
  <si>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</si>
  <si>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</si>
  <si>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</si>
  <si>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</si>
  <si>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</si>
  <si>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</si>
  <si>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</si>
  <si>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</si>
  <si>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</si>
  <si>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</si>
  <si>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</si>
  <si>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</si>
  <si>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</si>
  <si>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</si>
  <si>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</si>
  <si>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</si>
  <si>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</si>
  <si>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</si>
  <si>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</si>
  <si>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</si>
  <si>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</si>
  <si>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</si>
  <si>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</si>
  <si>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</si>
  <si>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</si>
  <si>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</si>
  <si>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</si>
  <si>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</si>
  <si>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</si>
  <si>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</si>
  <si>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</si>
  <si>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</si>
  <si>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</si>
  <si>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</si>
  <si>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</si>
  <si>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</si>
  <si>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</si>
  <si>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</si>
  <si>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</si>
  <si>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</si>
  <si>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</si>
  <si>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</si>
  <si>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</si>
  <si>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</si>
  <si>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</si>
  <si>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</si>
  <si>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</si>
  <si>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</si>
  <si>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</si>
  <si>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</si>
  <si>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</si>
  <si>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</si>
  <si>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</si>
  <si>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</si>
  <si>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</si>
  <si>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</si>
  <si>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</si>
  <si>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</si>
  <si>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</si>
  <si>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</si>
  <si>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</si>
  <si>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</si>
  <si>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</si>
  <si>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</si>
  <si>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</si>
  <si>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</si>
  <si>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</si>
  <si>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</si>
  <si>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</si>
  <si>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</si>
  <si>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</si>
  <si>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</si>
  <si>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</si>
  <si>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</si>
  <si>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</si>
  <si>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</si>
  <si>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</si>
  <si>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</si>
  <si>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</si>
  <si>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</si>
  <si>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</si>
  <si>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</si>
  <si>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</si>
  <si>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</si>
  <si>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</si>
  <si>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</si>
  <si>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</si>
  <si>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</si>
  <si>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</si>
  <si>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</si>
  <si>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</si>
  <si>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</si>
  <si>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</si>
  <si>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</si>
  <si>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</si>
  <si>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</si>
  <si>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</si>
  <si>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</si>
  <si>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</si>
  <si>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</si>
  <si>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</si>
  <si>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</si>
  <si>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</si>
  <si>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</si>
  <si>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</si>
  <si>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</si>
  <si>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</si>
  <si>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</si>
  <si>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</si>
  <si>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</si>
  <si>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</si>
  <si>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</si>
  <si>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</si>
  <si>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</si>
  <si>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</si>
  <si>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</si>
  <si>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</si>
  <si>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</si>
  <si>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</si>
  <si>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</si>
  <si>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</si>
  <si>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</si>
  <si>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</si>
  <si>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</si>
  <si>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</si>
  <si>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</si>
  <si>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</si>
  <si>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</si>
  <si>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</si>
  <si>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</si>
  <si>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</si>
  <si>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</si>
  <si>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</si>
  <si>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</si>
  <si>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</si>
  <si>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</si>
  <si>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</si>
  <si>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</si>
  <si>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</si>
  <si>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</si>
  <si>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</si>
  <si>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</si>
  <si>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</si>
  <si>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</si>
  <si>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</si>
  <si>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</si>
  <si>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</si>
  <si>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</si>
  <si>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</si>
  <si>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</si>
  <si>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</si>
  <si>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</si>
  <si>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</si>
  <si>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</si>
  <si>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</si>
  <si>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</si>
  <si>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</si>
  <si>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</si>
  <si>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</si>
  <si>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</si>
  <si>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</si>
  <si>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</si>
  <si>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</si>
  <si>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</si>
  <si>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</si>
  <si>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</si>
  <si>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</si>
  <si>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</si>
  <si>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</si>
  <si>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</si>
  <si>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</si>
  <si>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</si>
  <si>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</si>
  <si>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</si>
  <si>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</si>
  <si>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</si>
  <si>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</si>
  <si>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</si>
  <si>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</si>
  <si>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</si>
  <si>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</si>
  <si>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</si>
  <si>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</si>
  <si>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</si>
  <si>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</si>
  <si>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</si>
  <si>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</si>
  <si>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</si>
  <si>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</si>
  <si>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</si>
  <si>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</si>
  <si>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</si>
  <si>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</si>
  <si>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</si>
  <si>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</si>
  <si>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</si>
  <si>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</si>
  <si>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</si>
  <si>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</si>
  <si>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</si>
  <si>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</si>
  <si>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</si>
  <si>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</si>
  <si>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</si>
  <si>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</si>
  <si>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</si>
  <si>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</si>
  <si>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</si>
  <si>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</si>
  <si>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</si>
  <si>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</si>
  <si>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</si>
  <si>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</si>
  <si>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</si>
  <si>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</si>
  <si>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</si>
  <si>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</si>
  <si>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</si>
  <si>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</si>
  <si>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</si>
  <si>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</si>
  <si>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</si>
  <si>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</si>
  <si>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</si>
  <si>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</si>
  <si>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</si>
  <si>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</si>
  <si>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</si>
  <si>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</si>
  <si>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</si>
  <si>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</si>
  <si>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</si>
  <si>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</si>
  <si>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</si>
  <si>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</si>
  <si>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</si>
  <si>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</si>
  <si>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</si>
  <si>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</si>
  <si>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</si>
  <si>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</si>
  <si>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</si>
  <si>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</si>
  <si>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</si>
  <si>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</si>
  <si>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</si>
  <si>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</si>
  <si>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</si>
  <si>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</si>
  <si>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</si>
  <si>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</si>
  <si>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</si>
  <si>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</si>
  <si>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</si>
  <si>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</si>
  <si>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</si>
  <si>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</si>
  <si>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</si>
  <si>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</si>
  <si>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</si>
  <si>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</si>
  <si>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</si>
  <si>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</si>
  <si>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</si>
  <si>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</si>
  <si>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</si>
  <si>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</si>
  <si>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</si>
  <si>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</si>
  <si>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</si>
  <si>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</si>
  <si>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</si>
  <si>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</si>
  <si>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</si>
  <si>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</si>
  <si>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</si>
  <si>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</si>
  <si>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</si>
  <si>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</si>
  <si>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</si>
  <si>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</si>
  <si>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</si>
  <si>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</si>
  <si>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</si>
  <si>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</si>
  <si>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</si>
  <si>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</si>
  <si>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</si>
  <si>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</si>
  <si>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</si>
  <si>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</si>
  <si>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</si>
  <si>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</si>
  <si>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</si>
  <si>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</si>
  <si>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</si>
  <si>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</si>
  <si>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</si>
  <si>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</si>
  <si>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</si>
  <si>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</si>
  <si>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</si>
  <si>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</si>
  <si>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</si>
  <si>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</si>
  <si>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</si>
  <si>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</si>
  <si>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</si>
  <si>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</si>
  <si>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</si>
  <si>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</si>
  <si>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</si>
  <si>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</si>
  <si>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</si>
  <si>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</si>
  <si>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</si>
  <si>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</si>
  <si>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</si>
  <si>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</si>
  <si>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</si>
  <si>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</si>
  <si>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</si>
  <si>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</si>
  <si>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</si>
  <si>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</si>
  <si>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</si>
  <si>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</si>
  <si>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</si>
  <si>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</si>
  <si>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</si>
  <si>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</si>
  <si>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</si>
  <si>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</si>
  <si>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</si>
  <si>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</si>
  <si>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</si>
  <si>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</si>
  <si>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</si>
  <si>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</si>
  <si>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</si>
  <si>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</si>
  <si>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</si>
  <si>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</si>
  <si>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</si>
  <si>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</si>
  <si>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</si>
  <si>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</si>
  <si>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</si>
  <si>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</si>
  <si>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</si>
  <si>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</si>
  <si>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</si>
  <si>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</si>
  <si>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</si>
  <si>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</si>
  <si>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</si>
  <si>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</si>
  <si>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</si>
  <si>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</si>
  <si>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</si>
  <si>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</si>
  <si>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</si>
  <si>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</si>
  <si>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</si>
  <si>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</si>
  <si>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</si>
  <si>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</si>
  <si>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</si>
  <si>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</si>
  <si>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</si>
  <si>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</si>
  <si>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</si>
  <si>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</si>
  <si>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</si>
  <si>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</si>
  <si>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</si>
  <si>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</si>
  <si>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</si>
  <si>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</si>
  <si>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</si>
  <si>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</si>
  <si>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</si>
  <si>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</si>
  <si>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</si>
  <si>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</si>
  <si>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</si>
  <si>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</si>
  <si>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</si>
  <si>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</si>
  <si>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</si>
  <si>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</si>
  <si>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</si>
  <si>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</si>
  <si>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</si>
  <si>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</si>
  <si>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</si>
  <si>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</si>
  <si>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</si>
  <si>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</si>
  <si>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</si>
  <si>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</si>
  <si>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</si>
  <si>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</si>
  <si>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</si>
  <si>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</si>
  <si>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</si>
  <si>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</si>
  <si>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</si>
  <si>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</si>
  <si>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</si>
  <si>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</si>
  <si>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</si>
  <si>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</si>
  <si>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</si>
  <si>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</si>
  <si>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</si>
  <si>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</si>
  <si>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</si>
  <si>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</si>
  <si>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</si>
  <si>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</si>
  <si>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</si>
  <si>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</si>
  <si>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</si>
  <si>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</si>
  <si>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</si>
  <si>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</si>
  <si>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</si>
  <si>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</si>
  <si>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</si>
  <si>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</si>
  <si>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</si>
  <si>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</si>
  <si>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</si>
  <si>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</si>
  <si>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</si>
  <si>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</si>
  <si>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</si>
  <si>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</si>
  <si>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</si>
  <si>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</si>
  <si>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</si>
  <si>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</si>
  <si>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</si>
  <si>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</si>
  <si>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</si>
  <si>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</si>
  <si>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</si>
  <si>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</si>
  <si>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</si>
  <si>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</si>
  <si>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</si>
  <si>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</si>
  <si>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</si>
  <si>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</si>
  <si>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</si>
  <si>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</si>
  <si>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</si>
  <si>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</si>
  <si>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</si>
  <si>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</si>
  <si>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</si>
  <si>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</si>
  <si>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</si>
  <si>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</si>
  <si>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</si>
  <si>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</si>
  <si>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</si>
  <si>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</si>
  <si>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</si>
  <si>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</si>
  <si>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</si>
  <si>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</si>
  <si>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</si>
  <si>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</si>
  <si>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</si>
  <si>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</si>
  <si>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</si>
  <si>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</si>
  <si>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</si>
  <si>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</si>
  <si>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</si>
  <si>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</si>
  <si>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</si>
  <si>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</si>
  <si>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</si>
  <si>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</si>
  <si>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</si>
  <si>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</si>
  <si>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</si>
  <si>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</si>
  <si>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</si>
  <si>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</si>
  <si>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</si>
  <si>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</si>
  <si>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</si>
  <si>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</si>
  <si>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</si>
  <si>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</si>
  <si>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</si>
  <si>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</si>
  <si>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</si>
  <si>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</si>
  <si>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</si>
  <si>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</si>
  <si>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</si>
  <si>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</si>
  <si>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</si>
  <si>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</si>
  <si>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</si>
  <si>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</si>
  <si>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</si>
  <si>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</si>
  <si>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</si>
  <si>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</si>
  <si>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</si>
  <si>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</si>
  <si>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</si>
  <si>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</si>
  <si>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</si>
  <si>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</si>
  <si>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</si>
  <si>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</si>
  <si>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</si>
  <si>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</si>
  <si>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</si>
  <si>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</si>
  <si>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</si>
  <si>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</si>
  <si>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</si>
  <si>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</si>
  <si>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</si>
  <si>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</si>
  <si>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</si>
  <si>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</si>
  <si>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</si>
  <si>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</si>
  <si>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</si>
  <si>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</si>
  <si>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</si>
  <si>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</si>
  <si>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</si>
  <si>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</si>
  <si>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</si>
  <si>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</si>
  <si>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</si>
  <si>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</si>
  <si>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</si>
  <si>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</si>
  <si>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</si>
  <si>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</si>
  <si>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</si>
  <si>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</si>
  <si>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</si>
  <si>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</si>
  <si>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</si>
  <si>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</si>
  <si>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</si>
  <si>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</si>
  <si>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</si>
  <si>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</si>
  <si>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</si>
  <si>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</si>
  <si>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</si>
  <si>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</si>
  <si>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</si>
  <si>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</si>
  <si>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</si>
  <si>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</si>
  <si>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</si>
  <si>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</si>
  <si>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</si>
  <si>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</si>
  <si>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</si>
  <si>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</si>
  <si>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</si>
  <si>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</si>
  <si>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</si>
  <si>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</si>
  <si>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</si>
  <si>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</si>
  <si>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</si>
  <si>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</si>
  <si>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</si>
  <si>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</si>
  <si>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</si>
  <si>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</si>
  <si>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</si>
  <si>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</si>
  <si>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</si>
  <si>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</si>
  <si>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</si>
  <si>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</si>
  <si>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</si>
  <si>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</si>
  <si>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</si>
  <si>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</si>
  <si>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</si>
  <si>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</si>
  <si>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</si>
  <si>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</si>
  <si>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</si>
  <si>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</si>
  <si>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</si>
  <si>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</si>
  <si>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</si>
  <si>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</si>
  <si>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</si>
  <si>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</si>
  <si>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</si>
  <si>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</si>
  <si>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</si>
  <si>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</si>
  <si>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</si>
  <si>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</si>
  <si>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</si>
  <si>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</si>
  <si>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</si>
  <si>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</si>
  <si>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</si>
  <si>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</si>
  <si>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</si>
  <si>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</si>
  <si>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</si>
  <si>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</si>
  <si>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</si>
  <si>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</si>
  <si>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</si>
  <si>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</si>
  <si>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</si>
  <si>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</si>
  <si>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</si>
  <si>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</si>
  <si>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</si>
  <si>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</si>
  <si>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</si>
  <si>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</si>
  <si>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</si>
  <si>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</si>
  <si>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</si>
  <si>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</si>
  <si>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</si>
  <si>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</si>
  <si>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</si>
  <si>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</si>
  <si>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</si>
  <si>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</si>
  <si>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</si>
  <si>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</si>
  <si>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</si>
  <si>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</si>
  <si>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</si>
  <si>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</si>
  <si>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</si>
  <si>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</si>
  <si>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</si>
  <si>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</si>
  <si>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</si>
  <si>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</si>
  <si>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</si>
  <si>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</si>
  <si>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</si>
  <si>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</si>
  <si>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</si>
  <si>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</si>
  <si>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</si>
  <si>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</si>
  <si>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</si>
  <si>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</si>
  <si>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</si>
  <si>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</si>
  <si>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</si>
  <si>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</si>
  <si>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</si>
  <si>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</si>
  <si>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</si>
  <si>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</si>
  <si>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</si>
  <si>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</si>
  <si>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</si>
  <si>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</si>
  <si>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</si>
  <si>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</si>
  <si>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</si>
  <si>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</si>
  <si>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</si>
  <si>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</si>
  <si>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</si>
  <si>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</si>
  <si>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</si>
  <si>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</si>
  <si>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</si>
  <si>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</si>
  <si>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</si>
  <si>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</si>
  <si>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</si>
  <si>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</si>
  <si>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</si>
  <si>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</si>
  <si>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</si>
  <si>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</si>
  <si>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</si>
  <si>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</si>
  <si>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</si>
  <si>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</si>
  <si>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</si>
  <si>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</si>
  <si>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</si>
  <si>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</si>
  <si>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</si>
  <si>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</si>
  <si>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</si>
  <si>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</si>
  <si>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</si>
  <si>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</si>
  <si>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</si>
  <si>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</si>
  <si>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</si>
  <si>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</si>
  <si>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</si>
  <si>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</si>
  <si>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</si>
  <si>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</si>
  <si>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</si>
  <si>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</si>
  <si>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</si>
  <si>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</si>
  <si>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</si>
  <si>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</si>
  <si>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</si>
  <si>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</si>
  <si>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</si>
  <si>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</si>
  <si>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</si>
  <si>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</si>
  <si>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</si>
  <si>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</si>
  <si>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</si>
  <si>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</si>
  <si>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</si>
  <si>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</si>
  <si>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</si>
  <si>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</si>
  <si>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</si>
  <si>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</si>
  <si>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</si>
  <si>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</si>
  <si>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</si>
  <si>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</si>
  <si>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</si>
  <si>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</si>
  <si>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</si>
  <si>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</si>
  <si>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</si>
  <si>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</si>
  <si>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</si>
  <si>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</si>
  <si>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</si>
  <si>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</si>
  <si>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</si>
  <si>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</si>
  <si>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</si>
  <si>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</si>
  <si>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</si>
  <si>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</si>
  <si>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</si>
  <si>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</si>
  <si>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</si>
  <si>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</si>
  <si>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</si>
  <si>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</si>
  <si>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</si>
  <si>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</si>
  <si>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</si>
  <si>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</si>
  <si>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</si>
  <si>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</si>
  <si>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</si>
  <si>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</si>
  <si>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</si>
  <si>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</si>
  <si>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</si>
  <si>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</si>
  <si>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</si>
  <si>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</si>
  <si>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</si>
  <si>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</si>
  <si>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</si>
  <si>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</si>
  <si>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</si>
  <si>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</si>
  <si>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</si>
  <si>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</si>
  <si>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</si>
  <si>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</si>
  <si>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</si>
  <si>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</si>
  <si>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</si>
  <si>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</si>
  <si>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</si>
  <si>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</si>
  <si>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</si>
  <si>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</si>
  <si>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</si>
  <si>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</si>
  <si>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</si>
  <si>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</si>
  <si>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</si>
  <si>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</si>
  <si>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</si>
  <si>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</si>
  <si>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</si>
  <si>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</si>
  <si>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</si>
  <si>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</si>
  <si>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</si>
  <si>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</si>
  <si>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</si>
  <si>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</si>
  <si>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</si>
  <si>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</si>
  <si>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</si>
  <si>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</si>
  <si>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</si>
  <si>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</si>
  <si>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</si>
  <si>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</si>
  <si>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</si>
  <si>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</si>
  <si>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</si>
  <si>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</si>
  <si>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</si>
  <si>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</si>
  <si>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</si>
  <si>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</si>
  <si>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</si>
  <si>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</si>
  <si>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</si>
  <si>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</si>
  <si>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</si>
  <si>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</si>
  <si>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</si>
  <si>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</si>
  <si>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</si>
  <si>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</si>
  <si>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</si>
  <si>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</si>
  <si>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</si>
  <si>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</si>
  <si>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</si>
  <si>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</si>
  <si>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</si>
  <si>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</si>
  <si>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</si>
  <si>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</si>
  <si>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</si>
  <si>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</si>
  <si>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</si>
  <si>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</si>
  <si>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</si>
  <si>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</si>
  <si>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</si>
  <si>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</si>
  <si>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</si>
  <si>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</si>
  <si>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</si>
  <si>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</si>
  <si>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</si>
  <si>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</si>
  <si>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</si>
  <si>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</si>
  <si>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</si>
  <si>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</si>
  <si>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</si>
  <si>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</si>
  <si>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</si>
  <si>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</si>
  <si>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</si>
  <si>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</si>
  <si>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</si>
  <si>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</si>
  <si>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</si>
  <si>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</si>
  <si>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</si>
  <si>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</si>
  <si>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</si>
  <si>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</si>
  <si>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</si>
  <si>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</si>
  <si>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</si>
  <si>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</si>
  <si>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</si>
  <si>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</si>
  <si>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</si>
  <si>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</si>
  <si>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</si>
  <si>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</si>
  <si>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</si>
  <si>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</si>
  <si>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</si>
  <si>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</si>
  <si>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</si>
  <si>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</si>
  <si>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</si>
  <si>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</si>
  <si>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</si>
  <si>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</si>
  <si>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</si>
  <si>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</si>
  <si>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</si>
  <si>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</si>
  <si>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</si>
  <si>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</si>
  <si>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</si>
  <si>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</si>
  <si>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</si>
  <si>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</si>
  <si>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</si>
  <si>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</si>
  <si>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</si>
  <si>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</si>
  <si>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</si>
  <si>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</si>
  <si>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</si>
  <si>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</si>
  <si>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</si>
  <si>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</si>
  <si>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</si>
  <si>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</si>
  <si>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</si>
  <si>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</si>
  <si>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</si>
  <si>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</si>
  <si>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</si>
  <si>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</si>
  <si>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</si>
  <si>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</si>
  <si>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</si>
  <si>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</si>
  <si>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</si>
  <si>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</si>
  <si>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</si>
  <si>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</si>
  <si>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</si>
  <si>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</si>
  <si>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</si>
  <si>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</si>
  <si>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</si>
  <si>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</si>
  <si>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</si>
  <si>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</si>
  <si>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</si>
  <si>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</si>
  <si>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</si>
  <si>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</si>
  <si>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</si>
  <si>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</si>
  <si>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</si>
  <si>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</si>
  <si>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</si>
  <si>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</si>
  <si>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</si>
  <si>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</si>
  <si>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</si>
  <si>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</si>
  <si>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</si>
  <si>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</si>
  <si>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</si>
  <si>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</si>
  <si>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</si>
  <si>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</si>
  <si>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</si>
  <si>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</si>
  <si>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</si>
  <si>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</si>
  <si>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</si>
  <si>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</si>
  <si>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</si>
  <si>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</si>
  <si>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</si>
  <si>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</si>
  <si>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</si>
  <si>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</si>
  <si>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</si>
  <si>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</si>
  <si>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</si>
  <si>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</si>
  <si>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</si>
  <si>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</si>
  <si>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</si>
  <si>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</si>
  <si>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</si>
  <si>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</si>
  <si>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</si>
  <si>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</si>
  <si>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</si>
  <si>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</si>
  <si>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</si>
  <si>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</si>
  <si>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</si>
  <si>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</si>
  <si>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</si>
  <si>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</si>
  <si>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</si>
  <si>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</si>
  <si>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</si>
  <si>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</si>
  <si>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</si>
  <si>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</si>
  <si>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</si>
  <si>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</si>
  <si>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</si>
  <si>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</si>
  <si>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</si>
  <si>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</si>
  <si>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</si>
  <si>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</si>
  <si>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</si>
  <si>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</si>
  <si>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</si>
  <si>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</si>
  <si>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</si>
  <si>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</si>
  <si>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</si>
  <si>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</si>
  <si>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</si>
  <si>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</si>
  <si>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</si>
  <si>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</si>
  <si>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</si>
  <si>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</si>
  <si>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</si>
  <si>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</si>
  <si>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</si>
  <si>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</si>
  <si>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</si>
  <si>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</si>
  <si>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</si>
  <si>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</si>
  <si>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</si>
  <si>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</si>
  <si>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</si>
  <si>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</si>
  <si>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</si>
  <si>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</si>
  <si>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</si>
  <si>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</si>
  <si>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</si>
  <si>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</si>
  <si>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</si>
  <si>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</si>
  <si>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</si>
  <si>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</si>
  <si>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</si>
  <si>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</si>
  <si>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</si>
  <si>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</si>
  <si>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</si>
  <si>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</si>
  <si>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</si>
  <si>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</si>
  <si>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</si>
  <si>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</si>
  <si>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</si>
  <si>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</si>
  <si>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</si>
  <si>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</si>
  <si>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</si>
  <si>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</si>
  <si>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</si>
  <si>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</si>
  <si>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</si>
  <si>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</si>
  <si>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</si>
  <si>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</si>
  <si>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</si>
  <si>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</si>
  <si>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</si>
  <si>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</si>
  <si>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</si>
  <si>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</si>
  <si>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</si>
  <si>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</si>
  <si>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</si>
  <si>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</si>
  <si>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</si>
  <si>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</si>
  <si>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</si>
  <si>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</si>
  <si>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</si>
  <si>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</si>
  <si>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</si>
  <si>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</si>
  <si>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</si>
  <si>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</si>
  <si>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</si>
  <si>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</si>
  <si>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</si>
  <si>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</si>
  <si>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</si>
  <si>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</si>
  <si>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</si>
  <si>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</si>
  <si>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</si>
  <si>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</si>
  <si>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</si>
  <si>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</si>
  <si>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</si>
  <si>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</si>
  <si>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</si>
  <si>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</si>
  <si>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</si>
  <si>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</si>
  <si>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</si>
  <si>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</si>
  <si>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</si>
  <si>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</si>
  <si>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</si>
  <si>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</si>
  <si>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</si>
  <si>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</si>
  <si>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</si>
  <si>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</si>
  <si>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</si>
  <si>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</si>
  <si>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</si>
  <si>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</si>
  <si>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</si>
  <si>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</si>
  <si>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</si>
  <si>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</si>
  <si>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</si>
  <si>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</si>
  <si>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</si>
  <si>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</si>
  <si>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</si>
  <si>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</si>
  <si>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</si>
  <si>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</si>
  <si>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</si>
  <si>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</si>
  <si>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</si>
  <si>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</si>
  <si>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</si>
  <si>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</si>
  <si>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</si>
  <si>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</si>
  <si>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</si>
  <si>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</si>
  <si>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</si>
  <si>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</si>
  <si>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</si>
  <si>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</si>
  <si>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</si>
  <si>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</si>
  <si>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</si>
  <si>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</si>
  <si>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</si>
  <si>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</si>
  <si>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</si>
  <si>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</si>
  <si>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</si>
  <si>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</si>
  <si>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</si>
  <si>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</si>
  <si>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</si>
  <si>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</si>
  <si>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</si>
  <si>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</si>
  <si>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</si>
  <si>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</si>
  <si>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</si>
  <si>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</si>
  <si>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</si>
  <si>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</si>
  <si>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</si>
  <si>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</si>
  <si>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</si>
  <si>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</si>
  <si>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</si>
  <si>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</si>
  <si>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</si>
  <si>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</si>
  <si>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</si>
  <si>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</si>
  <si>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</si>
  <si>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</si>
  <si>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</si>
  <si>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</si>
  <si>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</si>
  <si>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</si>
  <si>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</si>
  <si>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</si>
  <si>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</si>
  <si>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</si>
  <si>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</si>
  <si>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</si>
  <si>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</si>
  <si>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</si>
  <si>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</si>
  <si>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</si>
  <si>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</si>
  <si>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</si>
  <si>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</si>
  <si>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</si>
  <si>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</si>
  <si>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</si>
  <si>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</si>
  <si>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</si>
  <si>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</si>
  <si>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</si>
  <si>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</si>
  <si>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</si>
  <si>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</si>
  <si>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</si>
  <si>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</si>
  <si>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</si>
  <si>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</si>
  <si>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</si>
  <si>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</si>
  <si>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</si>
  <si>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</si>
  <si>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</si>
  <si>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</si>
  <si>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</si>
  <si>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</si>
  <si>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</si>
  <si>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</si>
  <si>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</si>
  <si>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</si>
  <si>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</si>
  <si>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</si>
  <si>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</si>
  <si>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</si>
  <si>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</si>
  <si>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</si>
  <si>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</si>
  <si>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</si>
  <si>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</si>
  <si>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</si>
  <si>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</si>
  <si>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</si>
  <si>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</si>
  <si>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</si>
  <si>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</si>
  <si>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</si>
  <si>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</si>
  <si>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</si>
  <si>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</si>
  <si>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</si>
  <si>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</si>
  <si>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</si>
  <si>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</si>
  <si>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</si>
  <si>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</si>
  <si>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</si>
  <si>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</si>
  <si>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</si>
  <si>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</si>
  <si>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</si>
  <si>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</si>
  <si>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</si>
  <si>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</si>
  <si>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</si>
  <si>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</si>
  <si>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</si>
  <si>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</si>
  <si>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</si>
  <si>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</si>
  <si>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</si>
  <si>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</si>
  <si>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</si>
  <si>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</si>
  <si>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</si>
  <si>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</si>
  <si>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</si>
  <si>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</si>
  <si>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</si>
  <si>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</si>
  <si>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</si>
  <si>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</si>
  <si>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</si>
  <si>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</si>
  <si>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</si>
  <si>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</si>
  <si>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</si>
  <si>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</si>
  <si>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</si>
  <si>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</si>
  <si>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</si>
  <si>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</si>
  <si>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</si>
  <si>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</si>
  <si>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</si>
  <si>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</si>
  <si>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</si>
  <si>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</si>
  <si>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</si>
  <si>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</si>
  <si>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</si>
  <si>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</si>
  <si>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</si>
  <si>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</si>
  <si>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</si>
  <si>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</si>
  <si>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</si>
  <si>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</si>
  <si>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</si>
  <si>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</si>
  <si>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</si>
  <si>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</si>
  <si>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</si>
  <si>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</si>
  <si>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</si>
  <si>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</si>
  <si>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</si>
  <si>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</si>
  <si>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</si>
  <si>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</si>
  <si>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</si>
  <si>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</si>
  <si>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</si>
  <si>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</si>
  <si>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</si>
  <si>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</si>
  <si>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</si>
  <si>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</si>
  <si>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</si>
  <si>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</si>
  <si>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</si>
  <si>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</si>
  <si>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</si>
  <si>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</si>
  <si>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</si>
  <si>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</si>
  <si>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</si>
  <si>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</si>
  <si>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</si>
  <si>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</si>
  <si>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</si>
  <si>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</si>
  <si>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</si>
  <si>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</si>
  <si>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</si>
  <si>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</si>
  <si>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</si>
  <si>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</si>
  <si>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</si>
  <si>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</si>
  <si>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</si>
  <si>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</si>
  <si>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</si>
  <si>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</si>
  <si>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</si>
  <si>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</si>
  <si>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</si>
  <si>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</si>
  <si>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</si>
  <si>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</si>
  <si>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</si>
  <si>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</si>
  <si>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</si>
  <si>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</si>
  <si>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</si>
  <si>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</si>
  <si>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</si>
  <si>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</si>
  <si>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</si>
  <si>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</si>
  <si>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</si>
  <si>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</si>
  <si>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</si>
  <si>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</si>
  <si>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</si>
  <si>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</si>
  <si>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</si>
  <si>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</si>
  <si>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</si>
  <si>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</si>
  <si>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</si>
  <si>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</si>
  <si>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</si>
  <si>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</si>
  <si>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</si>
  <si>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</si>
  <si>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</si>
  <si>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</si>
  <si>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</si>
  <si>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</si>
  <si>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</si>
  <si>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</si>
  <si>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</si>
  <si>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</si>
  <si>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</si>
  <si>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</si>
  <si>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</si>
  <si>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</si>
  <si>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</si>
  <si>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</si>
  <si>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</si>
  <si>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</si>
  <si>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</si>
  <si>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</si>
  <si>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</si>
  <si>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</si>
  <si>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</si>
  <si>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</si>
  <si>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</si>
  <si>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</si>
  <si>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</si>
  <si>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</si>
  <si>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</si>
  <si>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</si>
  <si>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</si>
  <si>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</si>
  <si>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</si>
  <si>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</si>
  <si>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</si>
  <si>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</si>
  <si>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</si>
  <si>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</si>
  <si>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</si>
  <si>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</si>
  <si>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</si>
  <si>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</si>
  <si>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</si>
  <si>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</si>
  <si>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</si>
  <si>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</si>
  <si>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</si>
  <si>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</si>
  <si>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</si>
  <si>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</si>
  <si>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</si>
  <si>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</si>
  <si>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</si>
  <si>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</si>
  <si>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</si>
  <si>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</si>
  <si>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</si>
  <si>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</si>
  <si>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</si>
  <si>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</si>
  <si>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</si>
  <si>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</si>
  <si>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</si>
  <si>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</si>
  <si>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</si>
  <si>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</si>
  <si>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</si>
  <si>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</si>
  <si>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</si>
  <si>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</si>
  <si>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</si>
  <si>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</si>
  <si>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</si>
  <si>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</si>
  <si>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</si>
  <si>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</si>
  <si>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</si>
  <si>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</si>
  <si>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</si>
  <si>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</si>
  <si>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</si>
  <si>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</si>
  <si>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</si>
  <si>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</si>
  <si>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</si>
  <si>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</si>
  <si>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</si>
  <si>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</si>
  <si>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</si>
  <si>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</si>
  <si>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</si>
  <si>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</si>
  <si>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</si>
  <si>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</si>
  <si>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</si>
  <si>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</si>
  <si>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</si>
  <si>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</si>
  <si>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</si>
  <si>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</si>
  <si>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</si>
  <si>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</si>
  <si>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</si>
  <si>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</si>
  <si>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</si>
  <si>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</si>
  <si>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</si>
  <si>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</si>
  <si>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</si>
  <si>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</si>
  <si>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</si>
  <si>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</si>
  <si>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</si>
  <si>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</si>
  <si>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</si>
  <si>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</si>
  <si>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</si>
  <si>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</si>
  <si>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</si>
  <si>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</si>
  <si>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</si>
  <si>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</si>
  <si>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</si>
  <si>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</si>
  <si>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</si>
  <si>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</si>
  <si>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</si>
  <si>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</si>
  <si>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</si>
  <si>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</si>
  <si>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</si>
  <si>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</si>
  <si>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</si>
  <si>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</si>
  <si>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</si>
  <si>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</si>
  <si>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</si>
  <si>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</si>
  <si>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</si>
  <si>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</si>
  <si>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</si>
  <si>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</si>
  <si>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</si>
  <si>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</si>
  <si>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</si>
  <si>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</si>
  <si>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</si>
  <si>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</si>
  <si>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</si>
  <si>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</si>
  <si>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</si>
  <si>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</si>
  <si>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</si>
  <si>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</si>
  <si>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</si>
  <si>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</si>
  <si>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</si>
  <si>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</si>
  <si>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</si>
  <si>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</si>
  <si>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</si>
  <si>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</si>
  <si>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</si>
  <si>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</si>
  <si>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</si>
  <si>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</si>
  <si>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</si>
  <si>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</si>
  <si>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</si>
  <si>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</si>
  <si>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</si>
  <si>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</si>
  <si>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</si>
  <si>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</si>
  <si>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</si>
  <si>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</si>
  <si>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北京新京润房地产有限公司</t>
    <phoneticPr fontId="6" type="noConversion"/>
  </si>
  <si>
    <t>中国工商银行股份有限公司北京王府井支行</t>
    <phoneticPr fontId="6" type="noConversion"/>
  </si>
  <si>
    <t>北京新京润房地产有限公司</t>
    <phoneticPr fontId="6" type="noConversion"/>
  </si>
  <si>
    <t>抵押</t>
  </si>
  <si>
    <t>房地产抵押价值</t>
  </si>
  <si>
    <t>北京市</t>
  </si>
  <si>
    <r>
      <rPr>
        <sz val="12"/>
        <color theme="9" tint="-0.249977111117893"/>
        <rFont val="宋体"/>
        <family val="3"/>
        <charset val="134"/>
      </rPr>
      <t>朝阳区霄云路</t>
    </r>
    <r>
      <rPr>
        <sz val="12"/>
        <color theme="9" tint="-0.249977111117893"/>
        <rFont val="Arial"/>
        <family val="2"/>
      </rPr>
      <t>8</t>
    </r>
    <r>
      <rPr>
        <sz val="12"/>
        <color theme="9" tint="-0.249977111117893"/>
        <rFont val="宋体"/>
        <family val="3"/>
        <charset val="134"/>
      </rPr>
      <t>号院</t>
    </r>
    <phoneticPr fontId="6" type="noConversion"/>
  </si>
  <si>
    <t>企业</t>
  </si>
  <si>
    <t>出让</t>
  </si>
  <si>
    <t>住宅</t>
  </si>
  <si>
    <t>住宅</t>
    <phoneticPr fontId="6" type="noConversion"/>
  </si>
  <si>
    <r>
      <t>57.14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</si>
  <si>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1242074</t>
    </r>
    <r>
      <rPr>
        <sz val="12"/>
        <color theme="9" tint="-0.249977111117893"/>
        <rFont val="宋体"/>
        <family val="3"/>
        <charset val="134"/>
      </rPr>
      <t>、</t>
    </r>
    <r>
      <rPr>
        <sz val="12"/>
        <color theme="9" tint="-0.249977111117893"/>
        <rFont val="Arial"/>
        <family val="2"/>
      </rPr>
      <t>1242083</t>
    </r>
    <r>
      <rPr>
        <sz val="12"/>
        <color theme="9" tint="-0.249977111117893"/>
        <rFont val="宋体"/>
        <family val="3"/>
        <charset val="134"/>
      </rPr>
      <t>、</t>
    </r>
    <r>
      <rPr>
        <sz val="12"/>
        <color theme="9" tint="-0.249977111117893"/>
        <rFont val="Arial"/>
        <family val="2"/>
      </rPr>
      <t>1372114</t>
    </r>
    <r>
      <rPr>
        <sz val="12"/>
        <color theme="9" tint="-0.249977111117893"/>
        <rFont val="宋体"/>
        <family val="3"/>
        <charset val="134"/>
      </rPr>
      <t>、</t>
    </r>
    <r>
      <rPr>
        <sz val="12"/>
        <color theme="9" tint="-0.249977111117893"/>
        <rFont val="Arial"/>
        <family val="2"/>
      </rPr>
      <t>1372122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</si>
  <si>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0331</t>
    </r>
    <r>
      <rPr>
        <sz val="12"/>
        <color theme="9" tint="-0.249977111117893"/>
        <rFont val="宋体"/>
        <family val="3"/>
        <charset val="134"/>
      </rPr>
      <t>号</t>
    </r>
    <r>
      <rPr>
        <sz val="12"/>
        <color theme="9" tint="-0.249977111117893"/>
        <rFont val="Arial"/>
        <family val="2"/>
      </rPr>
      <t>]</t>
    </r>
    <phoneticPr fontId="6" type="noConversion"/>
  </si>
  <si>
    <t>否</t>
  </si>
  <si>
    <t>复印件</t>
  </si>
  <si>
    <t>地上</t>
  </si>
  <si>
    <t>平层住宅</t>
  </si>
  <si>
    <t>是</t>
  </si>
  <si>
    <t>住宅</t>
    <phoneticPr fontId="7" type="noConversion"/>
  </si>
  <si>
    <t>1单元-102</t>
  </si>
  <si>
    <t>1单元-2801</t>
  </si>
  <si>
    <t>1单元-2802</t>
  </si>
  <si>
    <t>2单元-101</t>
  </si>
  <si>
    <t>2单元-102</t>
  </si>
  <si>
    <t>2单元-2801</t>
  </si>
  <si>
    <t>2单元-2802</t>
  </si>
  <si>
    <t>1单元-101</t>
  </si>
  <si>
    <t>2单元-201</t>
  </si>
  <si>
    <t>2单元-202</t>
  </si>
  <si>
    <t>2单元-301</t>
  </si>
  <si>
    <t>2单元-302</t>
  </si>
  <si>
    <t>2单元-401</t>
  </si>
  <si>
    <t>2单元-402</t>
  </si>
  <si>
    <t>2单元-2102</t>
  </si>
  <si>
    <t>2单元-2201</t>
  </si>
  <si>
    <t>2单元-2202</t>
  </si>
  <si>
    <t>2单元-2301</t>
  </si>
  <si>
    <t>2单元-2302</t>
  </si>
  <si>
    <t>2单元-2401</t>
  </si>
  <si>
    <t>2单元-2402</t>
  </si>
  <si>
    <t>2单元-2501</t>
  </si>
  <si>
    <t>2单元-2502</t>
  </si>
  <si>
    <t>2单元-2601</t>
  </si>
  <si>
    <t>2单元-2602</t>
  </si>
  <si>
    <t>2单元-2701</t>
  </si>
  <si>
    <t>2单元-2702</t>
  </si>
  <si>
    <t>1单元-201</t>
  </si>
  <si>
    <t>1单元-202</t>
  </si>
  <si>
    <t>1单元-702</t>
  </si>
  <si>
    <t>1单元-802</t>
  </si>
  <si>
    <t>1单元-901</t>
  </si>
  <si>
    <t>1单元-902</t>
  </si>
  <si>
    <t>1单元-1201</t>
  </si>
  <si>
    <t>1单元-1301</t>
  </si>
  <si>
    <t>1单元-1401</t>
  </si>
  <si>
    <t>1单元-1402</t>
  </si>
  <si>
    <t>1单元-1501</t>
  </si>
  <si>
    <t>1单元-1502</t>
  </si>
  <si>
    <t>1单元-1702</t>
  </si>
  <si>
    <t>1单元-1802</t>
  </si>
  <si>
    <t>1单元-1902</t>
  </si>
  <si>
    <t>1单元-2201</t>
  </si>
  <si>
    <t>1单元-2202</t>
  </si>
  <si>
    <t>1单元-2301</t>
  </si>
  <si>
    <t>1单元-2302</t>
  </si>
  <si>
    <t>1单元-2401</t>
  </si>
  <si>
    <t>1单元-2402</t>
  </si>
  <si>
    <t>1单元-2601</t>
  </si>
  <si>
    <t>1单元-2602</t>
  </si>
  <si>
    <t>1单元-2701</t>
  </si>
  <si>
    <t>1单元-2702</t>
  </si>
  <si>
    <t>2单元-1201</t>
  </si>
  <si>
    <t>2单元-1202</t>
  </si>
  <si>
    <t>2单元-1701</t>
  </si>
  <si>
    <t>2单元-1901</t>
  </si>
  <si>
    <t>2单元-2101</t>
  </si>
  <si>
    <t>比较法-住宅</t>
  </si>
  <si>
    <t>收益法 (元)</t>
  </si>
  <si>
    <t>现房</t>
  </si>
  <si>
    <t>成新度</t>
  </si>
  <si>
    <t>押一</t>
  </si>
  <si>
    <t>钢混</t>
  </si>
  <si>
    <t>非生产用房</t>
  </si>
  <si>
    <t>住宅</t>
    <phoneticPr fontId="25" type="noConversion"/>
  </si>
  <si>
    <t>50-60（含）</t>
  </si>
  <si>
    <t>较好</t>
  </si>
  <si>
    <t>七通</t>
  </si>
  <si>
    <t>平层</t>
  </si>
  <si>
    <t>钢混</t>
    <phoneticPr fontId="25"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</si>
  <si>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</si>
  <si>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</si>
  <si>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</si>
  <si>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</si>
  <si>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</si>
  <si>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</si>
  <si>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精装修</t>
  </si>
  <si>
    <t>精装修</t>
    <phoneticPr fontId="25" type="noConversion"/>
  </si>
  <si>
    <t>简单装修</t>
    <phoneticPr fontId="25" type="noConversion"/>
  </si>
  <si>
    <t>普通装修</t>
    <phoneticPr fontId="25" type="noConversion"/>
  </si>
  <si>
    <t>毛坯</t>
    <phoneticPr fontId="25" type="noConversion"/>
  </si>
  <si>
    <t>专业</t>
  </si>
  <si>
    <t>专业</t>
    <phoneticPr fontId="25" type="noConversion"/>
  </si>
  <si>
    <t>普通</t>
    <phoneticPr fontId="25" type="noConversion"/>
  </si>
  <si>
    <t>六通</t>
  </si>
  <si>
    <t>五通</t>
  </si>
  <si>
    <t>四通</t>
  </si>
  <si>
    <t>三通</t>
  </si>
  <si>
    <t>板楼</t>
  </si>
  <si>
    <t>板楼</t>
    <phoneticPr fontId="25" type="noConversion"/>
  </si>
  <si>
    <t>塔楼</t>
    <phoneticPr fontId="25" type="noConversion"/>
  </si>
  <si>
    <t>平层</t>
    <phoneticPr fontId="25" type="noConversion"/>
  </si>
  <si>
    <t>霄云路8号院</t>
    <phoneticPr fontId="3" type="noConversion"/>
  </si>
  <si>
    <t>低层</t>
  </si>
  <si>
    <t>中层</t>
    <phoneticPr fontId="25" type="noConversion"/>
  </si>
  <si>
    <t>高层</t>
    <phoneticPr fontId="25" type="noConversion"/>
  </si>
  <si>
    <t>低层</t>
    <phoneticPr fontId="25" type="noConversion"/>
  </si>
  <si>
    <t>南北</t>
    <phoneticPr fontId="25" type="noConversion"/>
  </si>
  <si>
    <t>中层</t>
  </si>
  <si>
    <t>楼层</t>
    <phoneticPr fontId="25" type="noConversion"/>
  </si>
  <si>
    <t>低层</t>
    <phoneticPr fontId="25" type="noConversion"/>
  </si>
  <si>
    <t>中层</t>
    <phoneticPr fontId="25" type="noConversion"/>
  </si>
  <si>
    <t>南北</t>
  </si>
  <si>
    <t>南北</t>
    <phoneticPr fontId="25" type="noConversion"/>
  </si>
  <si>
    <t>楼层</t>
    <phoneticPr fontId="3" type="noConversion"/>
  </si>
  <si>
    <t>高层</t>
  </si>
  <si>
    <t>高层</t>
    <phoneticPr fontId="25" type="noConversion"/>
  </si>
  <si>
    <t>中层</t>
    <phoneticPr fontId="25" type="noConversion"/>
  </si>
  <si>
    <t>低层</t>
    <phoneticPr fontId="25" type="noConversion"/>
  </si>
  <si>
    <t>房型</t>
    <phoneticPr fontId="3" type="noConversion"/>
  </si>
  <si>
    <t>复式</t>
  </si>
  <si>
    <t>复式</t>
    <phoneticPr fontId="25" type="noConversion"/>
  </si>
  <si>
    <t>平层</t>
    <phoneticPr fontId="25" type="noConversion"/>
  </si>
  <si>
    <t>朝向</t>
    <phoneticPr fontId="3" type="noConversion"/>
  </si>
  <si>
    <t>南北</t>
    <phoneticPr fontId="25" type="noConversion"/>
  </si>
  <si>
    <t>租金</t>
  </si>
  <si>
    <t>楼号</t>
    <phoneticPr fontId="25" type="noConversion"/>
  </si>
  <si>
    <t>7号楼</t>
  </si>
  <si>
    <t>6号楼</t>
  </si>
  <si>
    <t>4号楼</t>
  </si>
  <si>
    <t>5号楼</t>
  </si>
  <si>
    <r>
      <t>7</t>
    </r>
    <r>
      <rPr>
        <sz val="10"/>
        <color rgb="FFFFFF00"/>
        <rFont val="宋体"/>
        <family val="3"/>
        <charset val="134"/>
      </rPr>
      <t>号楼</t>
    </r>
    <phoneticPr fontId="25" type="noConversion"/>
  </si>
  <si>
    <r>
      <t>4</t>
    </r>
    <r>
      <rPr>
        <sz val="10"/>
        <color rgb="FFFFFF00"/>
        <rFont val="宋体"/>
        <family val="3"/>
        <charset val="134"/>
      </rPr>
      <t>号楼</t>
    </r>
    <phoneticPr fontId="25" type="noConversion"/>
  </si>
  <si>
    <t>2单元-2802</t>
    <phoneticPr fontId="25" type="noConversion"/>
  </si>
  <si>
    <r>
      <t>2</t>
    </r>
    <r>
      <rPr>
        <sz val="10"/>
        <color rgb="FFFFFF00"/>
        <rFont val="宋体"/>
        <family val="3"/>
        <charset val="134"/>
      </rPr>
      <t>单元</t>
    </r>
    <r>
      <rPr>
        <sz val="10"/>
        <color rgb="FFFFFF00"/>
        <rFont val="Arial"/>
        <family val="2"/>
      </rPr>
      <t>-1402</t>
    </r>
    <phoneticPr fontId="25" type="noConversion"/>
  </si>
  <si>
    <r>
      <t>1</t>
    </r>
    <r>
      <rPr>
        <sz val="10"/>
        <color rgb="FFFFFF00"/>
        <rFont val="宋体"/>
        <family val="3"/>
        <charset val="134"/>
      </rPr>
      <t>单元</t>
    </r>
    <r>
      <rPr>
        <sz val="10"/>
        <color rgb="FFFFFF00"/>
        <rFont val="Arial"/>
        <family val="2"/>
      </rPr>
      <t>-1902</t>
    </r>
    <phoneticPr fontId="25" type="noConversion"/>
  </si>
  <si>
    <r>
      <t>2</t>
    </r>
    <r>
      <rPr>
        <sz val="10"/>
        <color rgb="FFFFFF00"/>
        <rFont val="宋体"/>
        <family val="3"/>
        <charset val="134"/>
      </rPr>
      <t>单元</t>
    </r>
    <r>
      <rPr>
        <sz val="10"/>
        <color rgb="FFFFFF00"/>
        <rFont val="Arial"/>
        <family val="2"/>
      </rPr>
      <t>-2501</t>
    </r>
    <phoneticPr fontId="25" type="noConversion"/>
  </si>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</sst>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sz val="10.5"/>
      <color rgb="FF000000"/>
      <name val="宋体"/>
      <family val="3"/>
      <charset val="134"/>
      <scheme val="minor"/>
    </font>
    <font>
      <sz val="10"/>
      <color rgb="FFFFFF00"/>
      <name val="Arial"/>
      <family val="2"/>
    </font>
    <font>
      <sz val="10"/>
      <color rgb="FFFFFF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5" fillId="16" borderId="1" xfId="0" applyFont="1" applyFill="1" applyBorder="1" applyAlignment="1" applyProtection="1">
      <alignment horizontal="center" vertical="center" wrapText="1"/>
      <protection locked="0"/>
    </xf>
    <xf numFmtId="0" fontId="255" fillId="17" borderId="1" xfId="0" applyFont="1" applyFill="1" applyBorder="1" applyAlignment="1" applyProtection="1">
      <alignment horizontal="center" vertical="center" wrapText="1"/>
      <protection locked="0"/>
    </xf>
    <xf numFmtId="0" fontId="0" fillId="17" borderId="1" xfId="0" applyFont="1" applyFill="1" applyBorder="1" applyAlignment="1" applyProtection="1">
      <alignment horizontal="center" vertical="center"/>
      <protection locked="0"/>
    </xf>
    <xf numFmtId="0" fontId="255" fillId="18" borderId="1" xfId="0" applyFont="1" applyFill="1" applyBorder="1" applyAlignment="1" applyProtection="1">
      <alignment horizontal="center" vertical="center" wrapText="1"/>
      <protection locked="0"/>
    </xf>
    <xf numFmtId="0" fontId="0" fillId="18" borderId="1" xfId="0" applyFont="1" applyFill="1" applyBorder="1" applyAlignment="1" applyProtection="1">
      <alignment horizontal="center" vertical="center"/>
      <protection locked="0"/>
    </xf>
    <xf numFmtId="14" fontId="64" fillId="19" borderId="13"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6" fillId="0" borderId="37" xfId="0" applyFont="1" applyFill="1" applyBorder="1" applyAlignment="1" applyProtection="1">
      <alignment horizontal="center" vertical="center" wrapText="1"/>
      <protection locked="0"/>
    </xf>
    <xf numFmtId="0" fontId="226" fillId="0" borderId="48"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80" fillId="7" borderId="0" xfId="0" applyFont="1" applyFill="1" applyAlignment="1" applyProtection="1">
      <alignment horizontal="center" vertical="center" wrapText="1"/>
      <protection locked="0"/>
    </xf>
    <xf numFmtId="0" fontId="255" fillId="7" borderId="1" xfId="0" applyFont="1" applyFill="1" applyBorder="1" applyAlignment="1" applyProtection="1">
      <alignment horizontal="center" vertical="center" wrapText="1"/>
      <protection locked="0"/>
    </xf>
    <xf numFmtId="0" fontId="255" fillId="5" borderId="1" xfId="0" applyFont="1" applyFill="1" applyBorder="1" applyAlignment="1" applyProtection="1">
      <alignment horizontal="center" vertical="center" wrapText="1"/>
      <protection locked="0"/>
    </xf>
    <xf numFmtId="0" fontId="257" fillId="8" borderId="1" xfId="0" applyFont="1" applyFill="1" applyBorder="1" applyProtection="1">
      <alignment vertical="center"/>
      <protection locked="0"/>
    </xf>
    <xf numFmtId="0" fontId="257" fillId="8" borderId="0" xfId="0" applyFont="1" applyFill="1" applyProtection="1">
      <alignment vertical="center"/>
      <protection locked="0"/>
    </xf>
    <xf numFmtId="0" fontId="257" fillId="0" borderId="1" xfId="0" applyFont="1" applyFill="1" applyBorder="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23"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8" xfId="0" applyFont="1" applyFill="1" applyBorder="1" applyAlignment="1" applyProtection="1">
      <alignment horizontal="center" vertical="center" wrapText="1"/>
      <protection locked="0"/>
    </xf>
    <xf numFmtId="0" fontId="179" fillId="0" borderId="68"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北京市朝阳区霄云路8号院房地产抵押价值预评估</v>
      </c>
    </row>
    <row r="3" spans="1:2" s="1597" customFormat="1">
      <c r="A3" s="1595" t="s">
        <v>1222</v>
      </c>
      <c r="B3" s="1596" t="str">
        <f>'预评函-封皮'!B40</f>
        <v>北京新京润房地产有限公司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受贵公司委托，我公司对北京市朝阳区霄云路8号院房地产抵押价值进行了预评估。</v>
      </c>
    </row>
    <row r="7" spans="1:2" s="1597" customFormat="1">
      <c r="A7" s="1595" t="s">
        <v>1265</v>
      </c>
      <c r="B7" s="1596" t="str">
        <f>'预评函-1'!A7</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为估价委托人在向中国工商银行股份有限公司北京王府井支行办理贷款手续过程中，确定房地产抵押贷款额度提供参考依据而评估房地产抵押价值。</v>
      </c>
    </row>
    <row r="12" spans="1:2" s="1597" customFormat="1">
      <c r="A12" s="1595" t="s">
        <v>1227</v>
      </c>
      <c r="B12" s="1596" t="str">
        <f>'预评函-1'!A15</f>
        <v>2017年10月9日（评估专业人员实地查勘之日）</v>
      </c>
    </row>
    <row r="13" spans="1:2" s="1597" customFormat="1">
      <c r="A13" s="1595" t="s">
        <v>1228</v>
      </c>
      <c r="B13" s="1596" t="str">
        <f>'预评函-1'!A18</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4" spans="1:2" s="1597" customFormat="1">
      <c r="A14" s="1595" t="s">
        <v>1229</v>
      </c>
      <c r="B14" s="1596" t="str">
        <f>'预评函-1'!A19</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本次估价的“抵押担保权已注销时的房地产抵押价值”是指估价对象在价值时点的“房地产价值”扣减估价师于价值时点所知悉的除抵押担保权以外的其他法定优先受偿款后的余额。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3548</v>
      </c>
    </row>
    <row r="21" spans="1:2" s="1597" customFormat="1">
      <c r="A21" s="1595" t="s">
        <v>1236</v>
      </c>
      <c r="B21" s="1596">
        <f ca="1">'预评函-2'!D7</f>
        <v>79621</v>
      </c>
    </row>
    <row r="22" spans="1:2" s="1597" customFormat="1">
      <c r="A22" s="1595" t="s">
        <v>1237</v>
      </c>
      <c r="B22" s="1596" t="str">
        <f ca="1">'预评函-2'!D6</f>
        <v>叁仟伍佰肆拾捌万元整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v>
      </c>
    </row>
    <row r="30" spans="1:2" s="1597" customFormat="1">
      <c r="A30" s="1595" t="s">
        <v>1293</v>
      </c>
      <c r="B30" s="1596" t="str">
        <f>'预评函-2'!D13</f>
        <v>——</v>
      </c>
    </row>
    <row r="31" spans="1:2" s="1597" customFormat="1">
      <c r="A31" s="1595" t="s">
        <v>1275</v>
      </c>
      <c r="B31" s="1596" t="e">
        <f>'预评函-2'!D15</f>
        <v>#VALUE!</v>
      </c>
    </row>
    <row r="32" spans="1:2" s="1597" customFormat="1">
      <c r="A32" s="1595" t="s">
        <v>1242</v>
      </c>
      <c r="B32" s="1596" t="e">
        <f>'预评函-2'!D14</f>
        <v>#VALUE!</v>
      </c>
    </row>
    <row r="33" spans="1:2" s="1597" customFormat="1">
      <c r="A33" s="1595" t="s">
        <v>1277</v>
      </c>
      <c r="B33" s="1596" t="str">
        <f>'预评函-2'!B16</f>
        <v>3.抵押担保权已注销时的房地产抵押价值</v>
      </c>
    </row>
    <row r="34" spans="1:2" s="1597" customFormat="1">
      <c r="A34" s="1595" t="s">
        <v>1295</v>
      </c>
      <c r="B34" s="1596">
        <f ca="1">'预评函-2'!D16</f>
        <v>3548</v>
      </c>
    </row>
    <row r="35" spans="1:2" s="1597" customFormat="1">
      <c r="A35" s="1595" t="s">
        <v>1276</v>
      </c>
      <c r="B35" s="1596">
        <f ca="1">'预评函-2'!D18</f>
        <v>79621</v>
      </c>
    </row>
    <row r="36" spans="1:2" s="1597" customFormat="1">
      <c r="A36" s="1595" t="s">
        <v>1243</v>
      </c>
      <c r="B36" s="1596" t="str">
        <f ca="1">'预评函-2'!D17</f>
        <v>叁仟伍佰肆拾捌万元整</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北京市朝阳区霄云路8号院房地产</v>
      </c>
    </row>
    <row r="42" spans="1:2" s="1597" customFormat="1">
      <c r="A42" s="1595" t="s">
        <v>1289</v>
      </c>
      <c r="B42" s="1596" t="str">
        <f>'预评函-3'!B2</f>
        <v>建筑面积</v>
      </c>
    </row>
    <row r="43" spans="1:2" s="1597" customFormat="1">
      <c r="A43" s="1595" t="s">
        <v>1290</v>
      </c>
      <c r="B43" s="1596">
        <f>'预评函-3'!B4</f>
        <v>445.61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抵押担保权已注销时的房地产抵押价值</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（1）根据估价对象《房屋所有权证》复印件、《国有土地使用权》复印件，截至价值时点，估价对象抵押权未见登记。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京润房地产有限公司拟使用北京市朝阳区霄云路8号院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1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2"/>
      <c r="B54" s="2025" t="s">
        <v>864</v>
      </c>
      <c r="C54" s="2022" t="s">
        <v>1282</v>
      </c>
    </row>
    <row r="55" spans="1:4">
      <c r="A55" s="3012"/>
      <c r="B55" s="2025" t="s">
        <v>865</v>
      </c>
      <c r="C55" s="2022" t="s">
        <v>1283</v>
      </c>
    </row>
    <row r="56" spans="1:4">
      <c r="A56" s="3012"/>
      <c r="B56" s="2025" t="s">
        <v>866</v>
      </c>
      <c r="C56" s="2022" t="s">
        <v>1287</v>
      </c>
    </row>
    <row r="57" spans="1:4">
      <c r="A57" s="3012"/>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1778</v>
      </c>
      <c r="B1" s="3013" t="str">
        <f>IF(B10="北京市","北京市",C10)&amp;F10&amp;IF(结果表!G1="在建","出让国有建设用地使用权及在建建筑物",IF(结果表!G1="土地","出让国有建设用地使用权",))&amp;B9&amp;"预评估"</f>
        <v>北京市朝阳区霄云路8号院房地产抵押价值预评估</v>
      </c>
      <c r="C1" s="3014"/>
      <c r="D1" s="3014"/>
      <c r="E1" s="3014"/>
      <c r="F1" s="3014"/>
      <c r="G1" s="3014"/>
      <c r="H1" s="3014"/>
      <c r="I1" s="3015"/>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北京市朝阳区霄云路8号院房地产抵押价值</v>
      </c>
    </row>
    <row r="2" spans="1:19" ht="18" customHeight="1">
      <c r="A2" s="2029" t="s">
        <v>1779</v>
      </c>
      <c r="B2" s="1043"/>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北京市朝阳区霄云路8号院房地产</v>
      </c>
    </row>
    <row r="3" spans="1:19" ht="18" customHeight="1">
      <c r="A3" s="2038" t="s">
        <v>1780</v>
      </c>
      <c r="B3" s="2939">
        <v>43017</v>
      </c>
      <c r="C3" s="2040" t="s">
        <v>1781</v>
      </c>
      <c r="D3" s="2039">
        <f>B3</f>
        <v>43017</v>
      </c>
      <c r="E3" s="2029"/>
      <c r="F3" s="2029"/>
      <c r="G3" s="2029"/>
      <c r="H3" s="2029"/>
      <c r="I3" s="2029"/>
      <c r="J3" s="2029"/>
      <c r="K3" s="2030"/>
      <c r="L3" s="2031"/>
      <c r="M3" s="2031"/>
      <c r="N3" s="2032"/>
      <c r="O3" s="2033"/>
      <c r="P3" s="2032"/>
      <c r="Q3" s="2032"/>
      <c r="R3" s="2032"/>
      <c r="S3" s="2034"/>
    </row>
    <row r="4" spans="1:19" ht="18" customHeight="1" thickBot="1">
      <c r="A4" s="2041" t="s">
        <v>1782</v>
      </c>
      <c r="B4" s="2042" t="s">
        <v>3043</v>
      </c>
      <c r="C4" s="1041">
        <f ca="1">SUMIF(注册房地产估价师,B4,估价师及机构信息!B3:B24)</f>
        <v>1120000080</v>
      </c>
      <c r="D4" s="2042" t="s">
        <v>3044</v>
      </c>
      <c r="E4" s="1042">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1783</v>
      </c>
      <c r="B5" s="2927"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28" t="s">
        <v>3046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929" t="s">
        <v>3045</v>
      </c>
      <c r="C7" s="2051"/>
      <c r="D7" s="2052"/>
      <c r="E7" s="2037"/>
      <c r="F7" s="2045"/>
      <c r="G7" s="2045"/>
      <c r="H7" s="2045"/>
      <c r="I7" s="2045"/>
      <c r="J7" s="2045"/>
      <c r="K7" s="2054"/>
      <c r="L7" s="2031"/>
      <c r="M7" s="2031"/>
      <c r="N7" s="2032"/>
      <c r="O7" s="2033"/>
      <c r="P7" s="2032"/>
      <c r="Q7" s="2032"/>
      <c r="R7" s="2032"/>
    </row>
    <row r="8" spans="1:19" ht="18" customHeight="1">
      <c r="A8" s="2050" t="s">
        <v>1786</v>
      </c>
      <c r="B8" s="2055" t="s">
        <v>3048</v>
      </c>
      <c r="C8" s="2056"/>
      <c r="D8" s="3016" t="s">
        <v>1787</v>
      </c>
      <c r="E8" s="2057" t="s">
        <v>3192</v>
      </c>
      <c r="F8" s="2058"/>
      <c r="G8" s="2029"/>
      <c r="H8" s="2029"/>
      <c r="I8" s="2029"/>
      <c r="J8" s="2045"/>
      <c r="K8" s="2046"/>
      <c r="L8" s="2031"/>
      <c r="M8" s="2031"/>
      <c r="N8" s="2032"/>
      <c r="O8" s="2033"/>
      <c r="P8" s="2032"/>
      <c r="Q8" s="2032"/>
      <c r="R8" s="2032"/>
    </row>
    <row r="9" spans="1:19" ht="18" customHeight="1" thickBot="1">
      <c r="A9" s="2043" t="s">
        <v>1788</v>
      </c>
      <c r="B9" s="2059" t="s">
        <v>3049</v>
      </c>
      <c r="C9" s="2060"/>
      <c r="D9" s="3017"/>
      <c r="E9" s="2059" t="s">
        <v>70</v>
      </c>
      <c r="F9" s="2061"/>
      <c r="G9" s="2062"/>
      <c r="H9" s="2062"/>
      <c r="I9" s="2062"/>
      <c r="J9" s="2045"/>
      <c r="K9" s="2054"/>
      <c r="L9" s="2031"/>
      <c r="M9" s="2031"/>
      <c r="N9" s="2032"/>
      <c r="O9" s="2033"/>
      <c r="P9" s="2032"/>
      <c r="Q9" s="2032"/>
      <c r="R9" s="2032"/>
    </row>
    <row r="10" spans="1:19" ht="18" customHeight="1" thickTop="1">
      <c r="A10" s="2063" t="s">
        <v>1789</v>
      </c>
      <c r="B10" s="2064" t="s">
        <v>3050</v>
      </c>
      <c r="C10" s="2065"/>
      <c r="D10" s="2049"/>
      <c r="E10" s="2066" t="s">
        <v>1790</v>
      </c>
      <c r="F10" s="2067" t="s">
        <v>3051</v>
      </c>
      <c r="G10" s="2068"/>
      <c r="H10" s="2069"/>
      <c r="I10" s="2049"/>
      <c r="J10" s="2045"/>
      <c r="K10" s="2054"/>
      <c r="L10" s="2031"/>
      <c r="M10" s="2031"/>
      <c r="N10" s="2032"/>
      <c r="O10" s="2033"/>
      <c r="P10" s="2032"/>
      <c r="Q10" s="2032"/>
      <c r="R10" s="2032"/>
    </row>
    <row r="11" spans="1:19" ht="18" customHeight="1">
      <c r="A11" s="2070" t="s">
        <v>1791</v>
      </c>
      <c r="B11" s="2071" t="s">
        <v>3052</v>
      </c>
      <c r="C11" s="2930" t="s">
        <v>3045</v>
      </c>
      <c r="D11" s="2072"/>
      <c r="E11" s="2045"/>
      <c r="F11" s="2045"/>
      <c r="G11" s="2045"/>
      <c r="H11" s="2045"/>
      <c r="I11" s="2045"/>
      <c r="J11" s="2045"/>
      <c r="K11" s="2054"/>
      <c r="L11" s="2031"/>
      <c r="M11" s="2031"/>
      <c r="N11" s="2032"/>
      <c r="O11" s="2033"/>
      <c r="P11" s="2032"/>
      <c r="Q11" s="2032"/>
      <c r="R11" s="2032"/>
    </row>
    <row r="12" spans="1:19" ht="18" customHeight="1">
      <c r="A12" s="2073" t="s">
        <v>1792</v>
      </c>
      <c r="B12" s="2071" t="s">
        <v>3053</v>
      </c>
      <c r="C12" s="2074" t="s">
        <v>1793</v>
      </c>
      <c r="D12" s="2075" t="s">
        <v>1794</v>
      </c>
      <c r="E12" s="2075" t="s">
        <v>1795</v>
      </c>
      <c r="F12" s="2075" t="s">
        <v>1796</v>
      </c>
      <c r="G12" s="2075" t="s">
        <v>1797</v>
      </c>
      <c r="H12" s="2075" t="s">
        <v>1798</v>
      </c>
      <c r="I12" s="2075" t="s">
        <v>1799</v>
      </c>
      <c r="J12" s="2045"/>
      <c r="K12" s="2054"/>
      <c r="L12" s="2031"/>
      <c r="M12" s="2031"/>
      <c r="N12" s="2032"/>
      <c r="O12" s="2033"/>
      <c r="P12" s="2032"/>
      <c r="Q12" s="2032"/>
      <c r="R12" s="2032"/>
    </row>
    <row r="13" spans="1:19" ht="18" customHeight="1">
      <c r="A13" s="2076"/>
      <c r="B13" s="2077"/>
      <c r="C13" s="2078" t="s">
        <v>1800</v>
      </c>
      <c r="D13" s="2079">
        <v>63907</v>
      </c>
      <c r="E13" s="2079"/>
      <c r="F13" s="2079"/>
      <c r="G13" s="2079"/>
      <c r="H13" s="2079"/>
      <c r="I13" s="1051"/>
      <c r="J13" s="2045"/>
      <c r="K13" s="2054"/>
      <c r="L13" s="2031"/>
      <c r="M13" s="2031"/>
      <c r="N13" s="2032"/>
      <c r="O13" s="2033"/>
      <c r="P13" s="2032"/>
      <c r="Q13" s="2032"/>
      <c r="R13" s="2032"/>
    </row>
    <row r="14" spans="1:19" ht="18" customHeight="1">
      <c r="A14" s="2076"/>
      <c r="B14" s="2077"/>
      <c r="C14" s="2078" t="s">
        <v>1801</v>
      </c>
      <c r="D14" s="1054">
        <v>70</v>
      </c>
      <c r="E14" s="1054"/>
      <c r="F14" s="1054"/>
      <c r="G14" s="1054"/>
      <c r="H14" s="1054"/>
      <c r="I14" s="1054"/>
      <c r="J14" s="2045"/>
      <c r="K14" s="2080"/>
      <c r="L14" s="2031"/>
      <c r="M14" s="2031"/>
      <c r="N14" s="2032"/>
      <c r="O14" s="2033"/>
      <c r="P14" s="2032"/>
      <c r="Q14" s="2032"/>
      <c r="R14" s="2032"/>
    </row>
    <row r="15" spans="1:19" ht="18" customHeight="1">
      <c r="A15" s="2063"/>
      <c r="B15" s="2081"/>
      <c r="C15" s="2078" t="s">
        <v>1802</v>
      </c>
      <c r="D15" s="1053">
        <f>IF(B12="出让",IF(D13="","",ROUNDDOWN(MIN((D13-$D$3)/365,D14),2)),D14)</f>
        <v>57.23</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5"/>
      <c r="K15" s="2082"/>
      <c r="L15" s="2083"/>
      <c r="M15" s="2083"/>
      <c r="N15" s="2084"/>
      <c r="O15" s="2083"/>
      <c r="P15" s="2084"/>
      <c r="Q15" s="2032"/>
      <c r="R15" s="2032"/>
    </row>
    <row r="16" spans="1:19" ht="30.75" customHeight="1">
      <c r="A16" s="2066" t="s">
        <v>1803</v>
      </c>
      <c r="B16" s="3023" t="s">
        <v>3055</v>
      </c>
      <c r="C16" s="3024"/>
      <c r="D16" s="3025"/>
      <c r="E16" s="2085" t="s">
        <v>1804</v>
      </c>
      <c r="F16" s="3026" t="s">
        <v>3056</v>
      </c>
      <c r="G16" s="3027"/>
      <c r="H16" s="3027"/>
      <c r="I16" s="3028"/>
      <c r="J16" s="2032"/>
      <c r="K16" s="2082"/>
      <c r="L16" s="2083"/>
      <c r="M16" s="2083"/>
      <c r="N16" s="2084"/>
      <c r="O16" s="2083"/>
      <c r="P16" s="2084"/>
      <c r="Q16" s="2032"/>
      <c r="R16" s="2032"/>
    </row>
    <row r="17" spans="1:22" ht="18" customHeight="1">
      <c r="A17" s="2086" t="s">
        <v>1805</v>
      </c>
      <c r="B17" s="2038" t="s">
        <v>1806</v>
      </c>
      <c r="C17" s="1058">
        <f>'数据-汇总表'!E3</f>
        <v>445.61</v>
      </c>
      <c r="D17" s="2087" t="s">
        <v>1807</v>
      </c>
      <c r="E17" s="3029" t="s">
        <v>3057</v>
      </c>
      <c r="F17" s="3030"/>
      <c r="G17" s="3030"/>
      <c r="H17" s="3030"/>
      <c r="I17" s="3031"/>
      <c r="J17" s="2032"/>
      <c r="K17" s="2088"/>
      <c r="L17" s="2083"/>
      <c r="M17" s="2083"/>
      <c r="N17" s="2084"/>
      <c r="O17" s="2083"/>
      <c r="P17" s="2084"/>
      <c r="Q17" s="2032"/>
      <c r="R17" s="2032"/>
      <c r="S17" s="2032"/>
      <c r="T17" s="2032"/>
      <c r="U17" s="2032"/>
      <c r="V17" s="2032"/>
    </row>
    <row r="18" spans="1:22" ht="36" customHeight="1" thickBot="1">
      <c r="A18" s="2089" t="s">
        <v>1808</v>
      </c>
      <c r="B18" s="2041" t="s">
        <v>1809</v>
      </c>
      <c r="C18" s="1447">
        <f>'数据-汇总表'!D3</f>
        <v>0</v>
      </c>
      <c r="D18" s="2090" t="s">
        <v>1807</v>
      </c>
      <c r="E18" s="3032" t="s">
        <v>3058</v>
      </c>
      <c r="F18" s="3033"/>
      <c r="G18" s="3033"/>
      <c r="H18" s="3033"/>
      <c r="I18" s="3034"/>
      <c r="J18" s="2032"/>
      <c r="K18" s="2088"/>
      <c r="L18" s="2083"/>
      <c r="M18" s="2083"/>
      <c r="N18" s="2084"/>
      <c r="O18" s="2083"/>
      <c r="P18" s="2084"/>
      <c r="Q18" s="2032"/>
      <c r="R18" s="2032"/>
      <c r="S18" s="2032"/>
      <c r="T18" s="2032"/>
      <c r="U18" s="2032"/>
      <c r="V18" s="2032"/>
    </row>
    <row r="19" spans="1:22" ht="37.5" customHeight="1" thickTop="1" thickBot="1">
      <c r="A19" s="374" t="s">
        <v>1810</v>
      </c>
      <c r="B19" s="353" t="s">
        <v>1811</v>
      </c>
      <c r="C19" s="2091" t="s">
        <v>3059</v>
      </c>
      <c r="D19" s="2092" t="s">
        <v>1812</v>
      </c>
      <c r="E19" s="2093" t="s">
        <v>3059</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1813</v>
      </c>
      <c r="B20" s="3019" t="s">
        <v>1814</v>
      </c>
      <c r="C20" s="3020"/>
      <c r="D20" s="3021" t="s">
        <v>1815</v>
      </c>
      <c r="E20" s="3022"/>
      <c r="F20" s="2097" t="s">
        <v>1816</v>
      </c>
      <c r="G20" s="2045"/>
      <c r="H20" s="2045"/>
      <c r="I20" s="2045"/>
      <c r="J20" s="2045"/>
      <c r="K20" s="3018" t="s">
        <v>1817</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3060</v>
      </c>
      <c r="D21" s="2100"/>
      <c r="E21" s="2101"/>
      <c r="F21" s="2102"/>
      <c r="G21" s="2045"/>
      <c r="H21" s="2045"/>
      <c r="I21" s="2045"/>
      <c r="J21" s="2045"/>
      <c r="K21" s="3018"/>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18"/>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4" t="s">
        <v>1822</v>
      </c>
      <c r="C23" s="2106"/>
      <c r="D23" s="2107" t="s">
        <v>1822</v>
      </c>
      <c r="E23" s="2108"/>
      <c r="F23" s="2104"/>
      <c r="G23" s="2045"/>
      <c r="H23" s="2045"/>
      <c r="I23" s="2045"/>
      <c r="J23" s="2045"/>
      <c r="K23" s="2109"/>
      <c r="L23" s="749"/>
      <c r="M23" s="2031"/>
      <c r="N23" s="2084"/>
      <c r="O23" s="2083"/>
      <c r="P23" s="2084"/>
      <c r="Q23" s="2032"/>
      <c r="R23" s="2032"/>
      <c r="S23" s="2032"/>
      <c r="T23" s="2032"/>
      <c r="U23" s="2032"/>
      <c r="V23" s="2032"/>
    </row>
    <row r="24" spans="1:22" ht="18" customHeight="1">
      <c r="A24" s="2110"/>
      <c r="B24" s="184" t="s">
        <v>1823</v>
      </c>
      <c r="C24" s="2111"/>
      <c r="D24" s="2105" t="s">
        <v>1823</v>
      </c>
      <c r="E24" s="2112"/>
      <c r="F24" s="2104"/>
      <c r="G24" s="2045"/>
      <c r="H24" s="2045"/>
      <c r="I24" s="2045"/>
      <c r="J24" s="2045"/>
      <c r="K24" s="2109"/>
      <c r="L24" s="749"/>
      <c r="M24" s="2031"/>
      <c r="N24" s="2084"/>
      <c r="O24" s="2083"/>
      <c r="P24" s="2084"/>
      <c r="Q24" s="2032"/>
      <c r="R24" s="2032"/>
      <c r="S24" s="2032"/>
      <c r="T24" s="2032"/>
      <c r="U24" s="2032"/>
      <c r="V24" s="2032"/>
    </row>
    <row r="25" spans="1:22" ht="18" customHeight="1">
      <c r="A25" s="2110"/>
      <c r="B25" s="184" t="s">
        <v>1824</v>
      </c>
      <c r="C25" s="2111"/>
      <c r="D25" s="2105" t="s">
        <v>1824</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36" t="s">
        <v>1827</v>
      </c>
      <c r="B27" s="2063" t="s">
        <v>1828</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6"/>
      <c r="B28" s="2038" t="s">
        <v>1829</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36"/>
      <c r="B29" s="2038" t="s">
        <v>1830</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7"/>
      <c r="B30" s="2038" t="s">
        <v>1831</v>
      </c>
      <c r="C30" s="3038"/>
      <c r="D30" s="3039"/>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40" t="s">
        <v>1832</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41"/>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41"/>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3"/>
      <c r="C34" s="2133"/>
      <c r="D34" s="2133"/>
      <c r="E34" s="2133"/>
      <c r="F34" s="2133"/>
      <c r="G34" s="2133"/>
      <c r="H34" s="2133"/>
      <c r="I34" s="2045"/>
      <c r="J34" s="2045"/>
      <c r="K34" s="1798">
        <f>COUNTIF(B34:H34,"——")</f>
        <v>0</v>
      </c>
      <c r="L34" s="2074" t="s">
        <v>1834</v>
      </c>
      <c r="M34" s="2074" t="s">
        <v>1835</v>
      </c>
      <c r="N34" s="2074" t="s">
        <v>1836</v>
      </c>
      <c r="O34" s="2074" t="s">
        <v>1837</v>
      </c>
      <c r="P34" s="2074" t="s">
        <v>1838</v>
      </c>
      <c r="Q34" s="2074" t="s">
        <v>1839</v>
      </c>
      <c r="R34" s="2074" t="s">
        <v>1840</v>
      </c>
      <c r="S34" s="3035" t="s">
        <v>1841</v>
      </c>
      <c r="T34" s="2134" t="str">
        <f>NUMBERSTRING(7-K34,1)&amp;"通"</f>
        <v>七通</v>
      </c>
      <c r="U34" s="2032"/>
      <c r="V34" s="2032"/>
    </row>
    <row r="35" spans="1:22" ht="18" customHeight="1">
      <c r="A35" s="2135"/>
      <c r="B35" s="3042" t="s">
        <v>1842</v>
      </c>
      <c r="C35" s="3042"/>
      <c r="D35" s="3042"/>
      <c r="E35" s="3042"/>
      <c r="F35" s="2136">
        <f>C10</f>
        <v>0</v>
      </c>
      <c r="G35" s="2045"/>
      <c r="H35" s="2045"/>
      <c r="I35" s="2045"/>
      <c r="J35" s="2045"/>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32"/>
      <c r="V35" s="2032"/>
    </row>
    <row r="36" spans="1:22" ht="18" customHeight="1">
      <c r="A36" s="2137"/>
      <c r="B36" s="2136" t="s">
        <v>1843</v>
      </c>
      <c r="C36" s="2136" t="s">
        <v>1844</v>
      </c>
      <c r="D36" s="2136" t="s">
        <v>1845</v>
      </c>
      <c r="E36" s="2136" t="s">
        <v>1846</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1847</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1848</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7"/>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445.61</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445.61</v>
      </c>
      <c r="H5" s="16">
        <f t="shared" ref="H5:AT5" si="0">SUM(H13:H656)</f>
        <v>445.61</v>
      </c>
      <c r="I5" s="16">
        <f t="shared" si="0"/>
        <v>445.61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445.61</v>
      </c>
      <c r="BA5" s="18">
        <f t="shared" si="1"/>
        <v>445.61</v>
      </c>
      <c r="BB5" s="18">
        <f t="shared" si="1"/>
        <v>445.61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5"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3061</v>
      </c>
      <c r="J9" s="985"/>
      <c r="K9" s="2191"/>
      <c r="L9" s="985"/>
      <c r="M9" s="2191"/>
      <c r="N9" s="985"/>
      <c r="O9" s="2191"/>
      <c r="P9" s="985"/>
      <c r="Q9" s="2191"/>
      <c r="R9" s="985"/>
      <c r="S9" s="2191"/>
      <c r="T9" s="985"/>
      <c r="U9" s="2191"/>
      <c r="V9" s="985"/>
      <c r="W9" s="2191"/>
      <c r="X9" s="2192"/>
      <c r="Y9" s="2191"/>
      <c r="Z9" s="985"/>
      <c r="AA9" s="2191"/>
      <c r="AB9" s="985"/>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3054</v>
      </c>
      <c r="J10" s="985"/>
      <c r="K10" s="2197"/>
      <c r="L10" s="985"/>
      <c r="M10" s="2197"/>
      <c r="N10" s="985"/>
      <c r="O10" s="2197"/>
      <c r="P10" s="985"/>
      <c r="Q10" s="2197"/>
      <c r="R10" s="985"/>
      <c r="S10" s="2197"/>
      <c r="T10" s="985"/>
      <c r="U10" s="2197"/>
      <c r="V10" s="985"/>
      <c r="W10" s="2197"/>
      <c r="X10" s="985"/>
      <c r="Y10" s="2197"/>
      <c r="Z10" s="985"/>
      <c r="AA10" s="2197"/>
      <c r="AB10" s="985"/>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3062</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3063</v>
      </c>
      <c r="E13" s="16">
        <f>IF($C$3="是",ROUND($A$3*G13/$B$3,2),ROUND($A$3*(G13-AT13)/$B$3,2))</f>
        <v>0</v>
      </c>
      <c r="F13" s="32"/>
      <c r="G13" s="33">
        <f>H13+AC13+AT13</f>
        <v>445.61</v>
      </c>
      <c r="H13" s="20">
        <f>SUMIF(I$12:AB$12,"总值",I13:AB13)</f>
        <v>445.61</v>
      </c>
      <c r="I13" s="2214">
        <v>445.61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0</v>
      </c>
      <c r="AZ13" s="16">
        <f>BA13+BL13</f>
        <v>445.61</v>
      </c>
      <c r="BA13" s="16">
        <f>SUM(BB13:BK13)</f>
        <v>445.61</v>
      </c>
      <c r="BB13" s="16">
        <f>IF($D13="是",I13-J13,0)</f>
        <v>445.61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3" t="s">
        <v>0</v>
      </c>
      <c r="B1" s="3043" t="s">
        <v>4</v>
      </c>
      <c r="C1" s="3043" t="s">
        <v>5</v>
      </c>
      <c r="D1" s="3044" t="s">
        <v>53</v>
      </c>
      <c r="E1" s="3044" t="s">
        <v>54</v>
      </c>
      <c r="F1" s="3044"/>
      <c r="G1" s="3044"/>
      <c r="H1" s="3044"/>
      <c r="I1" s="3044"/>
      <c r="J1" s="3044"/>
      <c r="K1" s="3044"/>
      <c r="L1" s="3044"/>
      <c r="M1" s="3044"/>
    </row>
    <row r="2" spans="1:13" ht="27" customHeight="1">
      <c r="A2" s="3043"/>
      <c r="B2" s="3043"/>
      <c r="C2" s="3043"/>
      <c r="D2" s="3044"/>
      <c r="E2" s="3044" t="s">
        <v>37</v>
      </c>
      <c r="F2" s="3044" t="s">
        <v>38</v>
      </c>
      <c r="G2" s="3044"/>
      <c r="H2" s="3044"/>
      <c r="I2" s="3044"/>
      <c r="J2" s="3044" t="s">
        <v>39</v>
      </c>
      <c r="K2" s="3044"/>
      <c r="L2" s="3044"/>
      <c r="M2" s="3044"/>
    </row>
    <row r="3" spans="1:13" ht="28.5">
      <c r="A3" s="3043"/>
      <c r="B3" s="3043"/>
      <c r="C3" s="3043"/>
      <c r="D3" s="3044"/>
      <c r="E3" s="304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4" t="s">
        <v>55</v>
      </c>
      <c r="B9" s="3044"/>
      <c r="C9" s="304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54" t="s">
        <v>1938</v>
      </c>
      <c r="B2" s="3054"/>
      <c r="C2" s="3054"/>
      <c r="D2" s="971" t="s">
        <v>1914</v>
      </c>
      <c r="E2" s="2227" t="s">
        <v>1915</v>
      </c>
      <c r="F2" s="1395"/>
      <c r="G2" s="2228"/>
      <c r="H2" s="2229"/>
      <c r="I2" s="2230" t="s">
        <v>1939</v>
      </c>
      <c r="J2" s="1395"/>
      <c r="K2" s="1395"/>
      <c r="L2" s="1395"/>
      <c r="M2" s="1395"/>
      <c r="N2" s="1430"/>
      <c r="O2" s="1395"/>
      <c r="P2" s="1395"/>
    </row>
    <row r="3" spans="1:16" ht="15.75" thickBot="1">
      <c r="A3" s="3055" t="s">
        <v>1912</v>
      </c>
      <c r="B3" s="3055"/>
      <c r="C3" s="3055"/>
      <c r="D3" s="46">
        <f>'数据-基础表'!AY6</f>
        <v>0</v>
      </c>
      <c r="E3" s="46">
        <f>'数据-基础表'!AZ5</f>
        <v>445.61</v>
      </c>
      <c r="F3" s="1395"/>
      <c r="G3" s="1402"/>
      <c r="H3" s="1250" t="s">
        <v>1913</v>
      </c>
      <c r="I3" s="55" t="e">
        <f>ROUND('数据-基础表'!B3/'数据-基础表'!A3,2)</f>
        <v>#DIV/0!</v>
      </c>
      <c r="J3" s="1395"/>
      <c r="K3" s="1395"/>
      <c r="L3" s="1395"/>
      <c r="M3" s="1395"/>
      <c r="N3" s="1430"/>
      <c r="O3" s="1395"/>
      <c r="P3" s="1395"/>
    </row>
    <row r="4" spans="1:16" ht="15">
      <c r="A4" s="3056"/>
      <c r="B4" s="3057"/>
      <c r="C4" s="3058"/>
      <c r="D4" s="2231" t="s">
        <v>1914</v>
      </c>
      <c r="E4" s="2232" t="s">
        <v>1915</v>
      </c>
      <c r="F4" s="1395"/>
      <c r="G4" s="2233" t="s">
        <v>1940</v>
      </c>
      <c r="H4" s="1250" t="s">
        <v>1920</v>
      </c>
      <c r="I4" s="55" t="e">
        <f>ROUND(SUMIF('数据-基础表'!I9:AS9,"地上",'数据-基础表'!I5:AS5)/'数据-基础表'!A3,2)</f>
        <v>#DIV/0!</v>
      </c>
      <c r="J4" s="1395"/>
      <c r="K4" s="1395"/>
      <c r="L4" s="1395"/>
      <c r="M4" s="1395"/>
      <c r="N4" s="1430"/>
      <c r="O4" s="1395"/>
      <c r="P4" s="1395"/>
    </row>
    <row r="5" spans="1:16">
      <c r="A5" s="47" t="s">
        <v>1916</v>
      </c>
      <c r="B5" s="3059" t="s">
        <v>1917</v>
      </c>
      <c r="C5" s="3059"/>
      <c r="D5" s="48">
        <f>ROUND($D$3*E5/$E$3,2)</f>
        <v>0</v>
      </c>
      <c r="E5" s="49">
        <f>SUMIF('数据-基础表'!$11:$11,"住宅",'数据-基础表'!$5:$5)</f>
        <v>445.61</v>
      </c>
      <c r="F5" s="1395"/>
      <c r="G5" s="1402"/>
      <c r="H5" s="1250" t="s">
        <v>1913</v>
      </c>
      <c r="I5" s="55" t="e">
        <f>ROUND(E31/D31,2)</f>
        <v>#DIV/0!</v>
      </c>
      <c r="J5" s="1395"/>
      <c r="K5" s="1395"/>
      <c r="L5" s="1395"/>
      <c r="M5" s="1395"/>
      <c r="N5" s="1395"/>
      <c r="O5" s="1395"/>
      <c r="P5" s="1395"/>
    </row>
    <row r="6" spans="1:16" ht="15" thickBot="1">
      <c r="A6" s="2234"/>
      <c r="B6" s="3059" t="s">
        <v>1918</v>
      </c>
      <c r="C6" s="3059"/>
      <c r="D6" s="48">
        <f>ROUND($D$3*E6/$E$3,2)</f>
        <v>0</v>
      </c>
      <c r="E6" s="49">
        <f>E3-E5</f>
        <v>0</v>
      </c>
      <c r="F6" s="1395"/>
      <c r="G6" s="2235" t="s">
        <v>1919</v>
      </c>
      <c r="H6" s="1402" t="s">
        <v>1920</v>
      </c>
      <c r="I6" s="943" t="e">
        <f>ROUND(F31/D31,2)</f>
        <v>#DIV/0!</v>
      </c>
      <c r="J6" s="1395"/>
      <c r="K6" s="1395"/>
      <c r="L6" s="1395"/>
      <c r="M6" s="1395"/>
      <c r="N6" s="1395"/>
      <c r="O6" s="1395"/>
      <c r="P6" s="1395"/>
    </row>
    <row r="7" spans="1:16" ht="15">
      <c r="A7" s="3051"/>
      <c r="B7" s="3052"/>
      <c r="C7" s="3053"/>
      <c r="D7" s="2231" t="s">
        <v>1914</v>
      </c>
      <c r="E7" s="2236" t="s">
        <v>1921</v>
      </c>
      <c r="F7" s="1395"/>
      <c r="G7" s="2228" t="s">
        <v>1922</v>
      </c>
      <c r="H7" s="64"/>
      <c r="I7" s="421"/>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445.61</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0</v>
      </c>
      <c r="E16" s="53">
        <f>SUM(E8:E15)</f>
        <v>445.61</v>
      </c>
      <c r="F16" s="1395"/>
      <c r="G16" s="2237"/>
      <c r="H16" s="2240" t="s">
        <v>1942</v>
      </c>
      <c r="I16" s="2241"/>
      <c r="J16" s="1395"/>
      <c r="K16" s="3048" t="s">
        <v>1942</v>
      </c>
      <c r="L16" s="3049"/>
      <c r="M16" s="3049"/>
      <c r="N16" s="3049"/>
      <c r="O16" s="3049"/>
      <c r="P16" s="3050"/>
    </row>
    <row r="17" spans="1:19" ht="15">
      <c r="A17" s="2242" t="s">
        <v>1943</v>
      </c>
      <c r="B17" s="2243" t="s">
        <v>1944</v>
      </c>
      <c r="C17" s="2244" t="s">
        <v>1945</v>
      </c>
      <c r="D17" s="2245" t="s">
        <v>1933</v>
      </c>
      <c r="E17" s="2246" t="s">
        <v>1934</v>
      </c>
      <c r="F17" s="2247"/>
      <c r="G17" s="2248"/>
      <c r="H17" s="2249" t="s">
        <v>1946</v>
      </c>
      <c r="I17" s="2250" t="s">
        <v>1931</v>
      </c>
      <c r="J17" s="1395"/>
      <c r="K17" s="3045" t="s">
        <v>1947</v>
      </c>
      <c r="L17" s="3046"/>
      <c r="M17" s="3047"/>
      <c r="N17" s="3045" t="s">
        <v>1948</v>
      </c>
      <c r="O17" s="3046"/>
      <c r="P17" s="3047"/>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50" t="s">
        <v>1957</v>
      </c>
      <c r="N18" s="1265" t="s">
        <v>1955</v>
      </c>
      <c r="O18" s="2258" t="s">
        <v>1956</v>
      </c>
      <c r="P18" s="1050" t="s">
        <v>1957</v>
      </c>
      <c r="R18" s="1250" t="s">
        <v>1958</v>
      </c>
      <c r="S18" s="1250" t="s">
        <v>1959</v>
      </c>
    </row>
    <row r="19" spans="1:19">
      <c r="A19" s="2259"/>
      <c r="B19" s="50" t="s">
        <v>1932</v>
      </c>
      <c r="C19" s="2931" t="s">
        <v>3064</v>
      </c>
      <c r="D19" s="48">
        <f>ROUND($D$3*E19/$E$3,2)</f>
        <v>0</v>
      </c>
      <c r="E19" s="56">
        <f t="shared" ref="E19:E26" si="1">SUM(F19:G19)</f>
        <v>445.61</v>
      </c>
      <c r="F19" s="57">
        <f>'数据-基础表'!I13</f>
        <v>445.61</v>
      </c>
      <c r="G19" s="58"/>
      <c r="H19" s="724">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445.61</v>
      </c>
    </row>
    <row r="20" spans="1:19">
      <c r="A20" s="2263"/>
      <c r="B20" s="50" t="s">
        <v>1960</v>
      </c>
      <c r="C20" s="2260"/>
      <c r="D20" s="48">
        <f t="shared" ref="D20:D26" si="6">ROUND($D$3*E20/$E$3,2)</f>
        <v>0</v>
      </c>
      <c r="E20" s="56">
        <f t="shared" si="1"/>
        <v>0</v>
      </c>
      <c r="F20" s="57"/>
      <c r="G20" s="58"/>
      <c r="H20" s="724">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1960</v>
      </c>
      <c r="C21" s="2260"/>
      <c r="D21" s="48">
        <f t="shared" si="6"/>
        <v>0</v>
      </c>
      <c r="E21" s="56">
        <f t="shared" si="1"/>
        <v>0</v>
      </c>
      <c r="F21" s="57"/>
      <c r="G21" s="58"/>
      <c r="H21" s="724">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4">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4">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4">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0</v>
      </c>
      <c r="E27" s="1397">
        <f>IF(SUM(E19:E26)='数据-基础表'!BA5,SUM(E19:E26),IF(F27="地上面积有误","面积有误","地下面积有误"))</f>
        <v>445.61</v>
      </c>
      <c r="F27" s="1396">
        <f>IF(SUM(F19:F26)=E8,SUM(F19:F26),"地上面积有误")</f>
        <v>445.61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445.61</v>
      </c>
    </row>
    <row r="28" spans="1:19">
      <c r="A28" s="2263"/>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1" t="s">
        <v>1965</v>
      </c>
      <c r="D31" s="730">
        <f>D27+D30</f>
        <v>0</v>
      </c>
      <c r="E31" s="730">
        <f>E27+E30</f>
        <v>445.61</v>
      </c>
      <c r="F31" s="731">
        <f>F27+F30</f>
        <v>445.61</v>
      </c>
      <c r="G31" s="732">
        <f>G27+G30</f>
        <v>0</v>
      </c>
      <c r="H31" s="1395"/>
      <c r="I31" s="1395"/>
      <c r="J31" s="1395"/>
      <c r="K31" s="1395"/>
      <c r="L31" s="1395"/>
      <c r="M31" s="1395"/>
      <c r="N31" s="1395"/>
      <c r="O31" s="1395"/>
      <c r="P31" s="1395"/>
    </row>
    <row r="32" spans="1:19">
      <c r="A32" s="2233"/>
      <c r="B32" s="2233" t="s">
        <v>1966</v>
      </c>
      <c r="C32" s="2233"/>
      <c r="D32" s="2233"/>
      <c r="E32" s="1277">
        <f>SUMIF(C19:C26,"*住宅*",E19:E26)</f>
        <v>445.61</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H19" sqref="AH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3"/>
      <c r="C1" s="1585"/>
      <c r="D1" s="2273"/>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4" customFormat="1" ht="15.75" thickBot="1">
      <c r="A2" s="2276" t="s">
        <v>1968</v>
      </c>
      <c r="B2" s="1269">
        <f>项目基本情况!D3</f>
        <v>43017</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3125</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住宅</v>
      </c>
      <c r="B6" s="2307" t="str">
        <f>IF(A6=0,"","经营性")</f>
        <v>经营性</v>
      </c>
      <c r="C6" s="2308" t="s">
        <v>3054</v>
      </c>
      <c r="D6" s="1055">
        <f>SUMIF(项目基本情况!D$12:I$12,C6,项目基本情况!D$14:I$14)</f>
        <v>70</v>
      </c>
      <c r="E6" s="1052">
        <f>IF(B6="","",SUMIF(项目基本情况!D$12:I$12,C6,项目基本情况!D$13:I$13))</f>
        <v>63907</v>
      </c>
      <c r="F6" s="72">
        <f>SUMIF(项目基本情况!D$12:I$12,C6,项目基本情况!D$15:I$15)</f>
        <v>57.23</v>
      </c>
      <c r="G6" s="73">
        <f>IF(ISERROR(ROUND(POWER(1+H6,D6-F6)*(POWER(1+H6,F6)-1)/(POWER(1+H6,D6)-1),3)),0,ROUND(POWER(1+H6,D6-F6)*(POWER(1+H6,F6)-1)/(POWER(1+H6,D6)-1),3))</f>
        <v>0.95499999999999996</v>
      </c>
      <c r="H6" s="803">
        <v>0.04</v>
      </c>
      <c r="I6" s="803">
        <v>4.4999999999999998E-2</v>
      </c>
      <c r="J6" s="74">
        <v>8.5000000000000006E-2</v>
      </c>
      <c r="K6" s="1254">
        <f>SUMIF('数据-汇总表'!C$19:C$33,A6,'数据-汇总表'!E$19:E$33)</f>
        <v>445.61</v>
      </c>
      <c r="L6" s="804">
        <v>10000</v>
      </c>
      <c r="M6" s="75">
        <f t="shared" ref="M6:M14" si="0">ROUND(K6*L6/10000,0)</f>
        <v>446</v>
      </c>
      <c r="N6" s="802">
        <f>ROUND(1-(2017-2011)/60,2)</f>
        <v>0.9</v>
      </c>
      <c r="O6" s="75" t="str">
        <f>IF($N$5="成新度","——",ROUND(M6*N6,0))</f>
        <v>——</v>
      </c>
      <c r="P6" s="76" t="str">
        <f>IF($N$5="成新度","——",M6-O6)</f>
        <v>——</v>
      </c>
      <c r="Q6" s="805">
        <v>0.3</v>
      </c>
      <c r="R6" s="77">
        <f ca="1">SUMIF('数据-汇总表'!C$19:C$33,A6,'数据-汇总表'!R$19:R$27)</f>
        <v>0</v>
      </c>
      <c r="S6" s="54">
        <f>IF('数据-汇总表'!$I$17="按面积比例",SUMIF('数据-汇总表'!C$19:C$33,A6,'数据-汇总表'!K$19:K$33),SUMIF('数据-汇总表'!C$19:C$33,A6,'数据-汇总表'!N$19:N$33))</f>
        <v>0</v>
      </c>
      <c r="T6" s="1446">
        <f>ROUND($L$14*S6/10000,0)</f>
        <v>0</v>
      </c>
      <c r="U6" s="78">
        <f>ROUND('比较法-租金'!C49,0)</f>
        <v>84249</v>
      </c>
      <c r="V6" s="79">
        <v>0.03</v>
      </c>
      <c r="W6" s="79">
        <v>0.2</v>
      </c>
      <c r="X6" s="1264"/>
      <c r="Y6" s="80">
        <f>N6</f>
        <v>0.9</v>
      </c>
      <c r="Z6" s="81"/>
      <c r="AA6" s="74"/>
      <c r="AB6" s="74"/>
      <c r="AC6" s="1264"/>
      <c r="AD6" s="82"/>
      <c r="AE6" s="1265">
        <f ca="1">IF(AN6="",0,SUMIF(INDIRECT("'"&amp;AN6&amp;"'"&amp;"!E:E"),$AE$5,INDIRECT("'"&amp;AN6&amp;"'"&amp;"!F:F")))</f>
        <v>54</v>
      </c>
      <c r="AF6" s="1807"/>
      <c r="AG6" s="147">
        <f>IF(AF6="",0,AE6-AF6)</f>
        <v>0</v>
      </c>
      <c r="AH6" s="83">
        <v>1</v>
      </c>
      <c r="AI6" s="85">
        <v>12</v>
      </c>
      <c r="AJ6" s="86"/>
      <c r="AK6" s="87">
        <v>1.4999999999999999E-2</v>
      </c>
      <c r="AL6" s="88">
        <v>2E-3</v>
      </c>
      <c r="AM6" s="89">
        <v>0.02</v>
      </c>
      <c r="AN6" s="2309" t="s">
        <v>3123</v>
      </c>
      <c r="AO6" s="55">
        <f ca="1">SUMIF(INDIRECT("'"&amp;AN6&amp;"'"&amp;"!A:A"),"总价",INDIRECT("'"&amp;AN6&amp;"'"&amp;"!B:B"))</f>
        <v>2019</v>
      </c>
      <c r="AP6" s="2310">
        <f>IF(C6="住宅",K6*L6,0)</f>
        <v>4456100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4">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4">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6">
        <f t="shared" si="5"/>
        <v>0</v>
      </c>
      <c r="U8" s="806"/>
      <c r="V8" s="807"/>
      <c r="W8" s="807"/>
      <c r="X8" s="1264"/>
      <c r="Y8" s="808"/>
      <c r="Z8" s="81"/>
      <c r="AA8" s="74"/>
      <c r="AB8" s="74"/>
      <c r="AC8" s="1264"/>
      <c r="AD8" s="82"/>
      <c r="AE8" s="1265">
        <f t="shared" ca="1" si="6"/>
        <v>0</v>
      </c>
      <c r="AF8" s="1807"/>
      <c r="AG8" s="147">
        <f t="shared" si="7"/>
        <v>0</v>
      </c>
      <c r="AH8" s="809"/>
      <c r="AI8" s="85"/>
      <c r="AJ8" s="86"/>
      <c r="AK8" s="810"/>
      <c r="AL8" s="811"/>
      <c r="AM8" s="812"/>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5"/>
      <c r="E14" s="1052"/>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4"/>
      <c r="V14" s="1259"/>
      <c r="W14" s="1259"/>
      <c r="X14" s="1260"/>
      <c r="Y14" s="1261"/>
      <c r="Z14" s="1262"/>
      <c r="AA14" s="1263"/>
      <c r="AB14" s="1263"/>
      <c r="AC14" s="1264"/>
      <c r="AD14" s="1260"/>
      <c r="AE14" s="1265"/>
      <c r="AF14" s="55"/>
      <c r="AG14" s="147"/>
      <c r="AH14" s="1265"/>
      <c r="AI14" s="1818"/>
      <c r="AJ14" s="774"/>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5"/>
      <c r="E15" s="1052"/>
      <c r="F15" s="72"/>
      <c r="G15" s="73"/>
      <c r="H15" s="1253"/>
      <c r="I15" s="1253"/>
      <c r="J15" s="1253"/>
      <c r="K15" s="1254">
        <f>SUMIF('数据-汇总表'!C$19:C$33,A15,'数据-汇总表'!E$19:E$33)</f>
        <v>0</v>
      </c>
      <c r="L15" s="1255"/>
      <c r="M15" s="75"/>
      <c r="N15" s="1256"/>
      <c r="O15" s="75"/>
      <c r="P15" s="76"/>
      <c r="Q15" s="1257"/>
      <c r="R15" s="77"/>
      <c r="S15" s="54"/>
      <c r="T15" s="1446"/>
      <c r="U15" s="724"/>
      <c r="V15" s="1259"/>
      <c r="W15" s="1259"/>
      <c r="X15" s="1260"/>
      <c r="Y15" s="1261"/>
      <c r="Z15" s="1262"/>
      <c r="AA15" s="1263"/>
      <c r="AB15" s="1263"/>
      <c r="AC15" s="1264"/>
      <c r="AD15" s="1260"/>
      <c r="AE15" s="1265"/>
      <c r="AF15" s="55"/>
      <c r="AG15" s="147"/>
      <c r="AH15" s="1265"/>
      <c r="AI15" s="1818"/>
      <c r="AJ15" s="774"/>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9"/>
      <c r="D16" s="2314"/>
      <c r="E16" s="97"/>
      <c r="F16" s="97"/>
      <c r="G16" s="98">
        <f>ROUND(SUMPRODUCT(G6:G13,K6:K13)/SUMPRODUCT((G6:G13&gt;0)*(K6:K13)),3)</f>
        <v>0.95499999999999996</v>
      </c>
      <c r="H16" s="99">
        <f>ROUND(SUMPRODUCT(H6:H13,K6:K13)/SUMPRODUCT((H6:H13&gt;0)*(K6:K13)),3)</f>
        <v>0.04</v>
      </c>
      <c r="I16" s="100"/>
      <c r="J16" s="100"/>
      <c r="K16" s="101">
        <f>SUM(K6:K15)</f>
        <v>445.61</v>
      </c>
      <c r="L16" s="102">
        <f>ROUND(M16*10000/SUM(K6:K14),0)</f>
        <v>10009</v>
      </c>
      <c r="M16" s="102">
        <f>SUM(M6:M14)</f>
        <v>446</v>
      </c>
      <c r="N16" s="103">
        <f>ROUND(SUMPRODUCT(M6:M14,N6:N14)/M16,3)</f>
        <v>0.9</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5"/>
      <c r="D17" s="2273"/>
      <c r="E17" s="2273"/>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0"/>
      <c r="C18" s="2277"/>
      <c r="D18" s="2278"/>
      <c r="E18" s="2277"/>
      <c r="F18" s="2277"/>
      <c r="G18" s="2277"/>
      <c r="H18" s="2277"/>
      <c r="I18" s="2277"/>
      <c r="J18" s="2277"/>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6" t="s">
        <v>2018</v>
      </c>
      <c r="B19" s="112">
        <v>0</v>
      </c>
      <c r="C19" s="2277" t="s">
        <v>2019</v>
      </c>
      <c r="D19" s="2278"/>
      <c r="E19" s="2277"/>
      <c r="F19" s="2277"/>
      <c r="G19" s="2277"/>
      <c r="H19" s="2277"/>
      <c r="I19" s="2277"/>
      <c r="J19" s="2277"/>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7" t="s">
        <v>2020</v>
      </c>
      <c r="B20" s="113">
        <v>2</v>
      </c>
      <c r="C20" s="2277" t="s">
        <v>2021</v>
      </c>
      <c r="D20" s="2278"/>
      <c r="E20" s="2277"/>
      <c r="F20" s="2277"/>
      <c r="G20" s="2277"/>
      <c r="H20" s="2277"/>
      <c r="I20" s="2277"/>
      <c r="J20" s="2277"/>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8" t="s">
        <v>2022</v>
      </c>
      <c r="B21" s="113">
        <v>2</v>
      </c>
      <c r="C21" s="2277"/>
      <c r="D21" s="2278"/>
      <c r="E21" s="2277"/>
      <c r="F21" s="2277"/>
      <c r="G21" s="2277"/>
      <c r="H21" s="2277"/>
      <c r="I21" s="2277"/>
      <c r="J21" s="2277"/>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7" t="s">
        <v>2023</v>
      </c>
      <c r="B22" s="114">
        <f>B19+B20</f>
        <v>2</v>
      </c>
      <c r="C22" s="2277"/>
      <c r="D22" s="2278"/>
      <c r="E22" s="2277"/>
      <c r="F22" s="2277"/>
      <c r="G22" s="2277"/>
      <c r="H22" s="2277"/>
      <c r="I22" s="2277"/>
      <c r="J22" s="2277"/>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8" t="s">
        <v>2024</v>
      </c>
      <c r="B23" s="114">
        <f>B19+B21</f>
        <v>2</v>
      </c>
      <c r="C23" s="2277"/>
      <c r="D23" s="2278"/>
      <c r="E23" s="2277"/>
      <c r="F23" s="2277"/>
      <c r="G23" s="2277"/>
      <c r="H23" s="2277"/>
      <c r="I23" s="2277"/>
      <c r="J23" s="2277"/>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9" t="s">
        <v>2025</v>
      </c>
      <c r="B24" s="115">
        <f>B20-B21</f>
        <v>0</v>
      </c>
      <c r="C24" s="2277"/>
      <c r="D24" s="2278"/>
      <c r="E24" s="2277"/>
      <c r="F24" s="2277"/>
      <c r="G24" s="2277"/>
      <c r="H24" s="2277"/>
      <c r="I24" s="2277"/>
      <c r="J24" s="2277"/>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2"/>
      <c r="B25" s="2280"/>
      <c r="C25" s="2277"/>
      <c r="D25" s="2278"/>
      <c r="E25" s="2277"/>
      <c r="F25" s="2277"/>
      <c r="G25" s="2277"/>
      <c r="H25" s="2277"/>
      <c r="I25" s="2277"/>
      <c r="J25" s="2277"/>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6" t="s">
        <v>2026</v>
      </c>
      <c r="B26" s="2320" t="s">
        <v>2027</v>
      </c>
      <c r="C26" s="2321" t="s">
        <v>2028</v>
      </c>
      <c r="D26" s="2278"/>
      <c r="E26" s="2277"/>
      <c r="F26" s="2277"/>
      <c r="G26" s="2277"/>
      <c r="H26" s="2277"/>
      <c r="I26" s="2277"/>
      <c r="J26" s="2277"/>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4" customFormat="1" ht="27.75">
      <c r="A27" s="2322" t="s">
        <v>2029</v>
      </c>
      <c r="B27" s="116">
        <v>200</v>
      </c>
      <c r="C27" s="1768" t="s">
        <v>2030</v>
      </c>
      <c r="D27" s="2323"/>
      <c r="E27" s="1430"/>
      <c r="F27" s="1430"/>
      <c r="G27" s="2277"/>
      <c r="H27" s="2277"/>
      <c r="I27" s="2277"/>
      <c r="J27" s="2277"/>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2031</v>
      </c>
      <c r="B28" s="119"/>
      <c r="C28" s="2326"/>
      <c r="D28" s="2323"/>
      <c r="E28" s="1430"/>
      <c r="F28" s="1430"/>
      <c r="G28" s="2277"/>
      <c r="H28" s="2277"/>
      <c r="I28" s="2277"/>
      <c r="J28" s="2277"/>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2032</v>
      </c>
      <c r="B29" s="121"/>
      <c r="C29" s="1768" t="s">
        <v>2033</v>
      </c>
      <c r="D29" s="2323"/>
      <c r="E29" s="1430"/>
      <c r="F29" s="1430"/>
      <c r="G29" s="2277"/>
      <c r="H29" s="2277"/>
      <c r="I29" s="2277"/>
      <c r="J29" s="2277"/>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2034</v>
      </c>
      <c r="B30" s="725">
        <v>200</v>
      </c>
      <c r="C30" s="2326"/>
      <c r="D30" s="2323"/>
      <c r="E30" s="1430"/>
      <c r="F30" s="1430"/>
      <c r="G30" s="2277"/>
      <c r="H30" s="2277"/>
      <c r="I30" s="2277"/>
      <c r="J30" s="2277"/>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2035</v>
      </c>
      <c r="B31" s="120">
        <f>B30-B32</f>
        <v>200</v>
      </c>
      <c r="C31" s="1768"/>
      <c r="D31" s="2323"/>
      <c r="E31" s="1430"/>
      <c r="F31" s="1430"/>
      <c r="G31" s="2277"/>
      <c r="H31" s="2277"/>
      <c r="I31" s="2277"/>
      <c r="J31" s="2277"/>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2036</v>
      </c>
      <c r="B32" s="726">
        <v>0</v>
      </c>
      <c r="C32" s="2326"/>
      <c r="D32" s="2278"/>
      <c r="E32" s="2277"/>
      <c r="F32" s="2277"/>
      <c r="G32" s="2277"/>
      <c r="H32" s="2277"/>
      <c r="I32" s="2277"/>
      <c r="J32" s="2277"/>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2037</v>
      </c>
      <c r="B33" s="727">
        <v>0.03</v>
      </c>
      <c r="C33" s="1767" t="s">
        <v>2038</v>
      </c>
      <c r="D33" s="2278"/>
      <c r="E33" s="2277"/>
      <c r="F33" s="2277"/>
      <c r="G33" s="2277"/>
      <c r="H33" s="2277"/>
      <c r="I33" s="2277"/>
      <c r="J33" s="2277"/>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2039</v>
      </c>
      <c r="B34" s="122">
        <v>0.05</v>
      </c>
      <c r="C34" s="1767" t="s">
        <v>2040</v>
      </c>
      <c r="D34" s="2278" t="s">
        <v>2041</v>
      </c>
      <c r="E34" s="733"/>
      <c r="F34" s="2277"/>
      <c r="G34" s="2277"/>
      <c r="H34" s="2277"/>
      <c r="I34" s="2277"/>
      <c r="J34" s="2277"/>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2042</v>
      </c>
      <c r="B35" s="119">
        <v>200</v>
      </c>
      <c r="C35" s="1767" t="s">
        <v>2043</v>
      </c>
      <c r="D35" s="2323"/>
      <c r="E35" s="1430"/>
      <c r="F35" s="1430"/>
      <c r="G35" s="2277"/>
      <c r="H35" s="2277"/>
      <c r="I35" s="2277"/>
      <c r="J35" s="2277"/>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2044</v>
      </c>
      <c r="B36" s="123">
        <v>1.4999999999999999E-2</v>
      </c>
      <c r="C36" s="1767" t="s">
        <v>2045</v>
      </c>
      <c r="D36" s="2278"/>
      <c r="E36" s="2277"/>
      <c r="F36" s="2277"/>
      <c r="G36" s="2277"/>
      <c r="H36" s="2277"/>
      <c r="I36" s="2277"/>
      <c r="J36" s="2277"/>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8" t="s">
        <v>2046</v>
      </c>
      <c r="B37" s="124">
        <v>0.03</v>
      </c>
      <c r="C37" s="1767" t="s">
        <v>2047</v>
      </c>
      <c r="D37" s="2278"/>
      <c r="E37" s="2277"/>
      <c r="F37" s="2277"/>
      <c r="G37" s="2277"/>
      <c r="H37" s="2277"/>
      <c r="I37" s="2277"/>
      <c r="J37" s="2277"/>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5" t="s">
        <v>2048</v>
      </c>
      <c r="B38" s="122">
        <v>0.03</v>
      </c>
      <c r="C38" s="1767" t="s">
        <v>2047</v>
      </c>
      <c r="D38" s="2278"/>
      <c r="E38" s="2277"/>
      <c r="F38" s="2277"/>
      <c r="G38" s="2277"/>
      <c r="H38" s="2277"/>
      <c r="I38" s="2277"/>
      <c r="J38" s="2277"/>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9" t="s">
        <v>2049</v>
      </c>
      <c r="B39" s="363">
        <f ca="1">存贷款利率!I1</f>
        <v>1.4999999999999999E-2</v>
      </c>
      <c r="C39" s="1767"/>
      <c r="D39" s="2278"/>
      <c r="E39" s="2277"/>
      <c r="F39" s="2277"/>
      <c r="G39" s="2277"/>
      <c r="H39" s="2277"/>
      <c r="I39" s="2277"/>
      <c r="J39" s="2277"/>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9" t="s">
        <v>2050</v>
      </c>
      <c r="B40" s="1303">
        <f ca="1">存贷款利率!G1</f>
        <v>4.7500000000000001E-2</v>
      </c>
      <c r="C40" s="1767" t="s">
        <v>2051</v>
      </c>
      <c r="D40" s="1585"/>
      <c r="E40" s="2278"/>
      <c r="F40" s="2277"/>
      <c r="G40" s="2277"/>
      <c r="H40" s="2277"/>
      <c r="I40" s="2277"/>
      <c r="J40" s="2277"/>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2" t="s">
        <v>2052</v>
      </c>
      <c r="B41" s="125">
        <f>B42+B43</f>
        <v>5.6000000000000001E-2</v>
      </c>
      <c r="C41" s="1768"/>
      <c r="D41" s="1585"/>
      <c r="E41" s="2278"/>
      <c r="F41" s="2277"/>
      <c r="G41" s="2277"/>
      <c r="H41" s="2277"/>
      <c r="I41" s="2277"/>
      <c r="J41" s="2277"/>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0" t="s">
        <v>2053</v>
      </c>
      <c r="B42" s="126">
        <v>0.05</v>
      </c>
      <c r="C42" s="2331">
        <f>IF(B2&lt;DATE(2016,5,1),0,B42)</f>
        <v>0.05</v>
      </c>
      <c r="D42" s="2278"/>
      <c r="E42" s="2277"/>
      <c r="F42" s="2277"/>
      <c r="G42" s="2277"/>
      <c r="H42" s="2277"/>
      <c r="I42" s="2277"/>
      <c r="J42" s="2277"/>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0" t="s">
        <v>2054</v>
      </c>
      <c r="B43" s="127">
        <f>B42*(B44+B45+B46)+B47</f>
        <v>6.000000000000001E-3</v>
      </c>
      <c r="C43" s="1768"/>
      <c r="D43" s="2278"/>
      <c r="E43" s="2277"/>
      <c r="F43" s="2277"/>
      <c r="G43" s="2277"/>
      <c r="H43" s="2277"/>
      <c r="I43" s="2277"/>
      <c r="J43" s="2277"/>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2" t="s">
        <v>2055</v>
      </c>
      <c r="B44" s="128">
        <v>7.0000000000000007E-2</v>
      </c>
      <c r="C44" s="1767" t="s">
        <v>2056</v>
      </c>
      <c r="D44" s="2278"/>
      <c r="E44" s="2277"/>
      <c r="F44" s="2277"/>
      <c r="G44" s="2277"/>
      <c r="H44" s="2277"/>
      <c r="I44" s="2277"/>
      <c r="J44" s="2277"/>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2" t="s">
        <v>2057</v>
      </c>
      <c r="B45" s="126">
        <v>0.03</v>
      </c>
      <c r="C45" s="1768" t="s">
        <v>2058</v>
      </c>
      <c r="D45" s="2278"/>
      <c r="E45" s="2277"/>
      <c r="F45" s="2277"/>
      <c r="G45" s="2277"/>
      <c r="H45" s="2277"/>
      <c r="I45" s="2277"/>
      <c r="J45" s="2277"/>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2" t="s">
        <v>2059</v>
      </c>
      <c r="B46" s="126">
        <v>0.02</v>
      </c>
      <c r="C46" s="1768" t="s">
        <v>2060</v>
      </c>
      <c r="D46" s="2278"/>
      <c r="E46" s="2277"/>
      <c r="F46" s="2277"/>
      <c r="G46" s="2277"/>
      <c r="H46" s="2277"/>
      <c r="I46" s="2277"/>
      <c r="J46" s="2277"/>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3" t="s">
        <v>2061</v>
      </c>
      <c r="B47" s="129"/>
      <c r="C47" s="1768" t="s">
        <v>2062</v>
      </c>
      <c r="D47" s="2278"/>
      <c r="E47" s="2277"/>
      <c r="F47" s="2277"/>
      <c r="G47" s="2277"/>
      <c r="H47" s="2277"/>
      <c r="I47" s="2277"/>
      <c r="J47" s="2277"/>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4" t="s">
        <v>2063</v>
      </c>
      <c r="B48" s="130">
        <v>0.03</v>
      </c>
      <c r="C48" s="1774" t="s">
        <v>2064</v>
      </c>
      <c r="D48" s="2278"/>
      <c r="E48" s="2277"/>
      <c r="F48" s="2277"/>
      <c r="G48" s="2277"/>
      <c r="H48" s="2277"/>
      <c r="I48" s="2277"/>
      <c r="J48" s="2277"/>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9" t="s">
        <v>2065</v>
      </c>
      <c r="B49" s="126">
        <v>5.0000000000000001E-4</v>
      </c>
      <c r="C49" s="1774" t="s">
        <v>2066</v>
      </c>
      <c r="D49" s="2278"/>
      <c r="E49" s="2277"/>
      <c r="F49" s="2277"/>
      <c r="G49" s="2277"/>
      <c r="H49" s="2277"/>
      <c r="I49" s="2277"/>
      <c r="J49" s="2277"/>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5" t="s">
        <v>2067</v>
      </c>
      <c r="B50" s="131">
        <v>1.2E-2</v>
      </c>
      <c r="C50" s="1430"/>
      <c r="D50" s="2278"/>
      <c r="E50" s="2277"/>
      <c r="F50" s="2277"/>
      <c r="G50" s="2277"/>
      <c r="H50" s="2277"/>
      <c r="I50" s="2277"/>
      <c r="J50" s="2277"/>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7" t="s">
        <v>2068</v>
      </c>
      <c r="B51" s="132">
        <v>0.12</v>
      </c>
      <c r="C51" s="1430"/>
      <c r="D51" s="2278"/>
      <c r="E51" s="2277"/>
      <c r="F51" s="2277"/>
      <c r="G51" s="2277"/>
      <c r="H51" s="2277"/>
      <c r="I51" s="2277"/>
      <c r="J51" s="2277"/>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5" t="s">
        <v>2069</v>
      </c>
      <c r="B52" s="133">
        <f>SUMIF(A54:A63,B53,B54:B63)</f>
        <v>18</v>
      </c>
      <c r="C52" s="1430"/>
      <c r="D52" s="2278"/>
      <c r="E52" s="2277"/>
      <c r="F52" s="2277"/>
      <c r="G52" s="2277"/>
      <c r="H52" s="2277"/>
      <c r="I52" s="2277"/>
      <c r="J52" s="2277"/>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5" t="s">
        <v>2070</v>
      </c>
      <c r="B53" s="2336" t="s">
        <v>442</v>
      </c>
      <c r="C53" s="1430" t="s">
        <v>2071</v>
      </c>
      <c r="D53" s="2337" t="s">
        <v>2072</v>
      </c>
      <c r="E53" s="2277"/>
      <c r="F53" s="2277"/>
      <c r="G53" s="2277"/>
      <c r="H53" s="2277"/>
      <c r="I53" s="2277"/>
      <c r="J53" s="2277"/>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2073</v>
      </c>
      <c r="B54" s="1430">
        <v>30</v>
      </c>
      <c r="C54" s="1430">
        <v>30</v>
      </c>
      <c r="D54" s="2278"/>
      <c r="E54" s="2277"/>
      <c r="F54" s="2277"/>
      <c r="G54" s="2277"/>
      <c r="H54" s="2277"/>
      <c r="I54" s="2277"/>
      <c r="J54" s="2277"/>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2074</v>
      </c>
      <c r="B55" s="1430">
        <v>24</v>
      </c>
      <c r="C55" s="1430">
        <v>24</v>
      </c>
      <c r="D55" s="2278"/>
      <c r="E55" s="2277"/>
      <c r="F55" s="2277"/>
      <c r="G55" s="2277"/>
      <c r="H55" s="2277"/>
      <c r="I55" s="2339"/>
      <c r="J55" s="2277"/>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2075</v>
      </c>
      <c r="B56" s="1430">
        <v>18</v>
      </c>
      <c r="C56" s="1430">
        <v>18</v>
      </c>
      <c r="D56" s="2278"/>
      <c r="E56" s="2277"/>
      <c r="F56" s="2277"/>
      <c r="G56" s="2277"/>
      <c r="H56" s="2277"/>
      <c r="I56" s="2277"/>
      <c r="J56" s="2277"/>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2076</v>
      </c>
      <c r="B57" s="1430">
        <v>12</v>
      </c>
      <c r="C57" s="1430">
        <v>12</v>
      </c>
      <c r="D57" s="2278"/>
      <c r="E57" s="2277"/>
      <c r="F57" s="2277"/>
      <c r="G57" s="2277"/>
      <c r="H57" s="2277"/>
      <c r="I57" s="2277"/>
      <c r="J57" s="2277"/>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2077</v>
      </c>
      <c r="B58" s="1430">
        <v>3</v>
      </c>
      <c r="C58" s="1430">
        <v>3</v>
      </c>
      <c r="D58" s="2278"/>
      <c r="E58" s="2277"/>
      <c r="F58" s="2277"/>
      <c r="G58" s="2277"/>
      <c r="H58" s="2277"/>
      <c r="I58" s="2277"/>
      <c r="J58" s="2277"/>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2078</v>
      </c>
      <c r="B59" s="1430">
        <v>1.5</v>
      </c>
      <c r="C59" s="1430">
        <v>1.5</v>
      </c>
      <c r="D59" s="2278"/>
      <c r="E59" s="2277"/>
      <c r="F59" s="2277"/>
      <c r="G59" s="2277"/>
      <c r="H59" s="2277"/>
      <c r="I59" s="2277"/>
      <c r="J59" s="2277"/>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2079</v>
      </c>
      <c r="B60" s="84"/>
      <c r="C60" s="2277"/>
      <c r="D60" s="2278"/>
      <c r="E60" s="2277"/>
      <c r="F60" s="2277"/>
      <c r="G60" s="2277"/>
      <c r="H60" s="2277"/>
      <c r="I60" s="2277"/>
      <c r="J60" s="2277"/>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2080</v>
      </c>
      <c r="B61" s="84"/>
      <c r="C61" s="2277"/>
      <c r="D61" s="2278"/>
      <c r="E61" s="2277"/>
      <c r="F61" s="2277"/>
      <c r="G61" s="2277"/>
      <c r="H61" s="2277"/>
      <c r="I61" s="2277"/>
      <c r="J61" s="2277"/>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2081</v>
      </c>
      <c r="B62" s="84"/>
      <c r="C62" s="2277"/>
      <c r="D62" s="2278"/>
      <c r="E62" s="2277"/>
      <c r="F62" s="2277"/>
      <c r="G62" s="2277"/>
      <c r="H62" s="2277"/>
      <c r="I62" s="2277"/>
      <c r="J62" s="2277"/>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2082</v>
      </c>
      <c r="B63" s="134"/>
      <c r="C63" s="2277"/>
      <c r="D63" s="2278"/>
      <c r="E63" s="2277"/>
      <c r="F63" s="2277"/>
      <c r="G63" s="2277"/>
      <c r="H63" s="2277"/>
      <c r="I63" s="2277"/>
      <c r="J63" s="2277"/>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0" t="s">
        <v>2083</v>
      </c>
      <c r="B1" s="3061"/>
      <c r="C1" s="3061"/>
      <c r="D1" s="3061"/>
      <c r="E1" s="3061"/>
      <c r="F1" s="3061"/>
      <c r="G1" s="306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6" t="s">
        <v>2086</v>
      </c>
      <c r="B3" s="1271" t="s">
        <v>2087</v>
      </c>
      <c r="C3" s="2370" t="s">
        <v>2088</v>
      </c>
      <c r="D3" s="2371"/>
      <c r="E3" s="432" t="s">
        <v>2086</v>
      </c>
      <c r="F3" s="2372" t="s">
        <v>2089</v>
      </c>
      <c r="G3" s="2373" t="s">
        <v>2090</v>
      </c>
      <c r="H3" s="2368"/>
      <c r="I3" s="2368"/>
      <c r="J3" s="2368"/>
      <c r="K3" s="2368"/>
      <c r="L3" s="2368"/>
      <c r="M3" s="2368"/>
      <c r="N3" s="2368"/>
      <c r="O3" s="2368"/>
      <c r="P3" s="2368"/>
      <c r="Q3" s="2368"/>
      <c r="R3" s="2368"/>
    </row>
    <row r="4" spans="1:29" ht="41.25">
      <c r="A4" s="432"/>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2"/>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2"/>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2"/>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2"/>
      <c r="B8" s="1798" t="s">
        <v>2100</v>
      </c>
      <c r="C8" s="2376" t="s">
        <v>2101</v>
      </c>
      <c r="D8" s="2377"/>
      <c r="E8" s="2377"/>
      <c r="F8" s="1136"/>
      <c r="G8" s="1136"/>
      <c r="H8" s="2368"/>
      <c r="I8" s="2368"/>
      <c r="J8" s="2368"/>
      <c r="K8" s="2368"/>
      <c r="L8" s="2368"/>
      <c r="M8" s="2368"/>
      <c r="N8" s="2368"/>
      <c r="O8" s="2368"/>
      <c r="P8" s="2368"/>
      <c r="Q8" s="2368"/>
      <c r="R8" s="2368"/>
    </row>
    <row r="9" spans="1:29" ht="27">
      <c r="A9" s="432"/>
      <c r="B9" s="1798" t="s">
        <v>2104</v>
      </c>
      <c r="C9" s="2374" t="s">
        <v>2105</v>
      </c>
      <c r="D9" s="2371"/>
      <c r="E9" s="2377"/>
      <c r="F9" s="1136"/>
      <c r="G9" s="1136"/>
      <c r="H9" s="2368"/>
      <c r="I9" s="2368"/>
      <c r="J9" s="2368"/>
      <c r="K9" s="2368"/>
      <c r="L9" s="2368"/>
      <c r="M9" s="2368"/>
      <c r="N9" s="2368"/>
      <c r="O9" s="2368"/>
      <c r="P9" s="2368"/>
      <c r="Q9" s="2368"/>
      <c r="R9" s="2368"/>
    </row>
    <row r="10" spans="1:29" s="117" customFormat="1" ht="15.75" thickBot="1">
      <c r="A10" s="2381"/>
      <c r="B10" s="2382" t="s">
        <v>2106</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70" t="s">
        <v>2087</v>
      </c>
      <c r="C15" s="2403" t="str">
        <f>C3</f>
        <v>估价对象周边居住用地比例、居住小区规模和社区发展完善程度，综合评价居住社区成熟度一般</v>
      </c>
      <c r="D15" s="2371"/>
      <c r="E15" s="2404" t="s">
        <v>2111</v>
      </c>
      <c r="F15" s="1270" t="s">
        <v>2112</v>
      </c>
      <c r="G15" s="135" t="str">
        <f>G3</f>
        <v>估价对象位于XX开发区，园区建设成熟度XX，产业集聚程度XX</v>
      </c>
    </row>
    <row r="16" spans="1:29" ht="42.75">
      <c r="A16" s="646"/>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6"/>
      <c r="B17" s="2405" t="s">
        <v>2095</v>
      </c>
      <c r="C17" s="2406" t="str">
        <f>C5</f>
        <v>估价对象位于XX商圈，周边办公楼项目较多，入驻率高，办公集聚程度较好</v>
      </c>
      <c r="D17" s="2377"/>
      <c r="E17" s="2407"/>
      <c r="F17" s="2408" t="s">
        <v>2113</v>
      </c>
      <c r="G17" s="1573"/>
    </row>
    <row r="18" spans="1:18" ht="57">
      <c r="A18" s="646"/>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6"/>
      <c r="B19" s="2408" t="s">
        <v>2114</v>
      </c>
      <c r="C19" s="1573"/>
      <c r="D19" s="2371"/>
      <c r="E19" s="2407"/>
      <c r="F19" s="1798" t="s">
        <v>2097</v>
      </c>
      <c r="G19" s="136" t="str">
        <f>G5</f>
        <v>估价对象所在区域公共配套设施齐备情况</v>
      </c>
    </row>
    <row r="20" spans="1:18" ht="28.5">
      <c r="A20" s="646"/>
      <c r="B20" s="2408" t="s">
        <v>2115</v>
      </c>
      <c r="C20" s="2406" t="str">
        <f>C9</f>
        <v>区域自然环境：；人文环境；综合评价环境状况一般</v>
      </c>
      <c r="D20" s="2377"/>
      <c r="E20" s="2407"/>
      <c r="F20" s="1798" t="s">
        <v>2116</v>
      </c>
      <c r="G20" s="136" t="str">
        <f>G6</f>
        <v>估价对象所在区域基础设施水平</v>
      </c>
    </row>
    <row r="21" spans="1:18" ht="28.5">
      <c r="A21" s="646"/>
      <c r="B21" s="1798" t="s">
        <v>2097</v>
      </c>
      <c r="C21" s="136" t="str">
        <f>C7</f>
        <v>估价对象所在区域公共配套设施齐备情况</v>
      </c>
      <c r="D21" s="2371"/>
      <c r="E21" s="2407"/>
      <c r="F21" s="2408" t="s">
        <v>2117</v>
      </c>
      <c r="G21" s="2409"/>
    </row>
    <row r="22" spans="1:18" ht="13.5" customHeight="1">
      <c r="A22" s="646"/>
      <c r="B22" s="1798" t="s">
        <v>2100</v>
      </c>
      <c r="C22" s="136" t="str">
        <f>C8</f>
        <v>估价对象所在区域基础设施水平</v>
      </c>
      <c r="D22" s="2371"/>
      <c r="E22" s="2407"/>
      <c r="F22" s="2408" t="s">
        <v>2106</v>
      </c>
      <c r="G22" s="1573"/>
    </row>
    <row r="23" spans="1:18" s="2368" customFormat="1" ht="15.75" thickBot="1">
      <c r="A23" s="646"/>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E5" sqref="E5"/>
    </sheetView>
  </sheetViews>
  <sheetFormatPr defaultRowHeight="13.5"/>
  <cols>
    <col min="1" max="1" width="23.375" style="1742" customWidth="1"/>
    <col min="2" max="9" width="15.75" style="1742" customWidth="1"/>
    <col min="10" max="16384" width="9" style="1742"/>
  </cols>
  <sheetData>
    <row r="1" spans="1:10" ht="16.5">
      <c r="A1" s="1747" t="s">
        <v>1366</v>
      </c>
      <c r="B1" s="1747">
        <f>SUM(B14:B23)</f>
        <v>45728.799999999981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43017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403044</v>
      </c>
      <c r="C5" s="1747">
        <f ca="1">ROUND(B5*10000/$B$1,0)</f>
        <v>88138</v>
      </c>
      <c r="D5" s="1747" t="e">
        <f ca="1">ROUND(B5*10000/$B$2,0)</f>
        <v>#DIV/0!</v>
      </c>
      <c r="E5" s="1746"/>
      <c r="F5" s="1744"/>
      <c r="G5" s="1744"/>
    </row>
    <row r="6" spans="1:10" ht="16.5">
      <c r="A6" s="1747" t="s">
        <v>1357</v>
      </c>
      <c r="B6" s="1747">
        <f>SUM(G14:G23)</f>
        <v>0</v>
      </c>
      <c r="C6" s="1747">
        <f>ROUND(B6*10000/$B$1,0)</f>
        <v>0</v>
      </c>
      <c r="D6" s="1747" t="e">
        <f>ROUND(B6*10000/$B$2,0)</f>
        <v>#DIV/0!</v>
      </c>
      <c r="E6" s="1746"/>
      <c r="F6" s="1744"/>
      <c r="G6" s="1744"/>
    </row>
    <row r="7" spans="1:10" ht="16.5">
      <c r="A7" s="1747" t="s">
        <v>1365</v>
      </c>
      <c r="B7" s="1747">
        <f ca="1">SUM(H14:H23)</f>
        <v>403044</v>
      </c>
      <c r="C7" s="1747">
        <f ca="1">ROUND(B7*10000/$B$1,0)</f>
        <v>88138</v>
      </c>
      <c r="D7" s="1747" t="e">
        <f ca="1">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445.61</v>
      </c>
      <c r="C14" s="1745">
        <f>结果表!C118</f>
        <v>0</v>
      </c>
      <c r="D14" s="1745">
        <f ca="1">结果表!H118</f>
        <v>3548</v>
      </c>
      <c r="E14" s="1745">
        <f ca="1">ROUND(D14*10000/B14,0)</f>
        <v>79621</v>
      </c>
      <c r="F14" s="1745" t="e">
        <f ca="1">ROUND(D14*10000/C14,0)</f>
        <v>#DIV/0!</v>
      </c>
      <c r="G14" s="1745" t="str">
        <f>结果表!D122</f>
        <v>——</v>
      </c>
      <c r="H14" s="1745">
        <f ca="1">结果表!D124</f>
        <v>3548</v>
      </c>
      <c r="I14" s="1745" t="str">
        <f>结果表!D126</f>
        <v>——</v>
      </c>
      <c r="J14" s="1744"/>
    </row>
    <row r="15" spans="1:10" ht="16.5">
      <c r="A15" s="1743" t="s">
        <v>1350</v>
      </c>
      <c r="B15" s="1750">
        <f>SUM(典型户型修正!B25:'典型户型修正'!B106)</f>
        <v>45283.189999999981</v>
      </c>
      <c r="C15" s="1750"/>
      <c r="D15" s="1750">
        <f ca="1">SUM(典型户型修正!S25:'典型户型修正'!S106)</f>
        <v>399496</v>
      </c>
      <c r="E15" s="1745">
        <f t="shared" ref="E15:E23" ca="1" si="0">ROUND(D15*10000/B15,0)</f>
        <v>88222</v>
      </c>
      <c r="F15" s="1745" t="e">
        <f t="shared" ref="F15:F23" ca="1" si="1">ROUND(D15*10000/C15,0)</f>
        <v>#DIV/0!</v>
      </c>
      <c r="G15" s="1751"/>
      <c r="H15" s="1751">
        <f ca="1">D15</f>
        <v>399496</v>
      </c>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0" zoomScaleNormal="100" zoomScaleSheetLayoutView="100" zoomScalePageLayoutView="80" workbookViewId="0">
      <selection activeCell="A44" sqref="A44:XFD97"/>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5" t="s">
        <v>2120</v>
      </c>
      <c r="B1" s="2419"/>
      <c r="C1" s="2420" t="s">
        <v>3054</v>
      </c>
      <c r="D1" s="2419"/>
      <c r="E1" s="2419"/>
      <c r="F1" s="2421" t="s">
        <v>2121</v>
      </c>
      <c r="G1" s="2071" t="s">
        <v>3124</v>
      </c>
      <c r="H1" s="2422" t="str">
        <f>IF(G1="现房","——","估价对象范围")</f>
        <v>——</v>
      </c>
      <c r="I1" s="2423"/>
    </row>
    <row r="2" spans="1:12" ht="21.75" customHeight="1" thickBot="1">
      <c r="A2" s="3134" t="str">
        <f>项目基本情况!S2</f>
        <v>北京市朝阳区霄云路8号院房地产</v>
      </c>
      <c r="B2" s="3135"/>
      <c r="C2" s="3135"/>
      <c r="D2" s="3135"/>
      <c r="E2" s="3135"/>
      <c r="F2" s="3135"/>
      <c r="G2" s="3135"/>
      <c r="H2" s="3135"/>
      <c r="I2" s="3136"/>
    </row>
    <row r="3" spans="1:12" ht="12.75">
      <c r="A3" s="3137" t="s">
        <v>2122</v>
      </c>
      <c r="B3" s="3138"/>
      <c r="C3" s="3138"/>
      <c r="D3" s="3138"/>
      <c r="E3" s="3138"/>
      <c r="F3" s="3138"/>
      <c r="G3" s="3138"/>
      <c r="H3" s="3138"/>
      <c r="I3" s="3138"/>
    </row>
    <row r="4" spans="1:12" ht="14.25">
      <c r="A4" s="2426" t="s">
        <v>2123</v>
      </c>
      <c r="B4" s="2427" t="s">
        <v>2124</v>
      </c>
      <c r="C4" s="2428" t="s">
        <v>3122</v>
      </c>
      <c r="D4" s="2428" t="s">
        <v>3123</v>
      </c>
      <c r="E4" s="3118" t="s">
        <v>2125</v>
      </c>
      <c r="F4" s="3131"/>
      <c r="G4" s="3131"/>
      <c r="H4" s="3131"/>
      <c r="I4" s="3119"/>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109" t="s">
        <v>2126</v>
      </c>
      <c r="B5" s="3035">
        <v>25</v>
      </c>
      <c r="C5" s="3139"/>
      <c r="D5" s="3127"/>
      <c r="E5" s="140" t="s">
        <v>2127</v>
      </c>
      <c r="F5" s="2430"/>
      <c r="G5" s="2430"/>
      <c r="H5" s="2430"/>
      <c r="I5" s="1834"/>
    </row>
    <row r="6" spans="1:12" ht="12.75">
      <c r="A6" s="3109"/>
      <c r="B6" s="3035"/>
      <c r="C6" s="3141"/>
      <c r="D6" s="3127"/>
      <c r="E6" s="140" t="s">
        <v>2128</v>
      </c>
      <c r="F6" s="2430"/>
      <c r="G6" s="2430"/>
      <c r="H6" s="2430"/>
      <c r="I6" s="1834"/>
    </row>
    <row r="7" spans="1:12" ht="12.75">
      <c r="A7" s="3109"/>
      <c r="B7" s="3035"/>
      <c r="C7" s="3140"/>
      <c r="D7" s="3127"/>
      <c r="E7" s="140" t="s">
        <v>2129</v>
      </c>
      <c r="F7" s="2430"/>
      <c r="G7" s="2430"/>
      <c r="H7" s="2430"/>
      <c r="I7" s="1834"/>
    </row>
    <row r="8" spans="1:12" ht="12.75">
      <c r="A8" s="3109" t="s">
        <v>2130</v>
      </c>
      <c r="B8" s="3035">
        <v>15</v>
      </c>
      <c r="C8" s="3139"/>
      <c r="D8" s="3127"/>
      <c r="E8" s="140" t="s">
        <v>2131</v>
      </c>
      <c r="F8" s="2430"/>
      <c r="G8" s="2430"/>
      <c r="H8" s="2430"/>
      <c r="I8" s="1834"/>
    </row>
    <row r="9" spans="1:12" ht="12.75">
      <c r="A9" s="3109"/>
      <c r="B9" s="3035"/>
      <c r="C9" s="3140"/>
      <c r="D9" s="3127"/>
      <c r="E9" s="140" t="s">
        <v>2132</v>
      </c>
      <c r="F9" s="2430"/>
      <c r="G9" s="2430"/>
      <c r="H9" s="2430"/>
      <c r="I9" s="1834"/>
    </row>
    <row r="10" spans="1:12" ht="12.75">
      <c r="A10" s="3109" t="s">
        <v>2133</v>
      </c>
      <c r="B10" s="3035">
        <v>15</v>
      </c>
      <c r="C10" s="3139"/>
      <c r="D10" s="3127"/>
      <c r="E10" s="140" t="s">
        <v>2134</v>
      </c>
      <c r="F10" s="2430"/>
      <c r="G10" s="2430"/>
      <c r="H10" s="2430"/>
      <c r="I10" s="1834"/>
    </row>
    <row r="11" spans="1:12" ht="12.75">
      <c r="A11" s="3109"/>
      <c r="B11" s="3035"/>
      <c r="C11" s="3140"/>
      <c r="D11" s="3127"/>
      <c r="E11" s="140" t="s">
        <v>2135</v>
      </c>
      <c r="F11" s="2430"/>
      <c r="G11" s="2430"/>
      <c r="H11" s="2430"/>
      <c r="I11" s="1834"/>
    </row>
    <row r="12" spans="1:12" ht="12.75">
      <c r="A12" s="3109" t="s">
        <v>2136</v>
      </c>
      <c r="B12" s="3035">
        <v>15</v>
      </c>
      <c r="C12" s="3139"/>
      <c r="D12" s="3127"/>
      <c r="E12" s="140" t="s">
        <v>2137</v>
      </c>
      <c r="F12" s="2430"/>
      <c r="G12" s="2430"/>
      <c r="H12" s="2430"/>
      <c r="I12" s="1834"/>
    </row>
    <row r="13" spans="1:12" ht="12.75">
      <c r="A13" s="3109"/>
      <c r="B13" s="3035"/>
      <c r="C13" s="3140"/>
      <c r="D13" s="3127"/>
      <c r="E13" s="140" t="s">
        <v>2138</v>
      </c>
      <c r="F13" s="2430"/>
      <c r="G13" s="2430"/>
      <c r="H13" s="2430"/>
      <c r="I13" s="1834"/>
    </row>
    <row r="14" spans="1:12" ht="12.75">
      <c r="A14" s="3109" t="s">
        <v>2139</v>
      </c>
      <c r="B14" s="3035">
        <v>30</v>
      </c>
      <c r="C14" s="3139">
        <v>7</v>
      </c>
      <c r="D14" s="3127">
        <v>3</v>
      </c>
      <c r="E14" s="140" t="s">
        <v>2140</v>
      </c>
      <c r="F14" s="2430"/>
      <c r="G14" s="2430"/>
      <c r="H14" s="2430"/>
      <c r="I14" s="1834"/>
    </row>
    <row r="15" spans="1:12" ht="12.75">
      <c r="A15" s="3109"/>
      <c r="B15" s="3035"/>
      <c r="C15" s="3141"/>
      <c r="D15" s="3127"/>
      <c r="E15" s="140" t="s">
        <v>2141</v>
      </c>
      <c r="F15" s="2430"/>
      <c r="G15" s="2430"/>
      <c r="H15" s="2430"/>
      <c r="I15" s="1834"/>
    </row>
    <row r="16" spans="1:12" ht="12.75">
      <c r="A16" s="3109"/>
      <c r="B16" s="3035"/>
      <c r="C16" s="3140"/>
      <c r="D16" s="3127"/>
      <c r="E16" s="140" t="s">
        <v>2142</v>
      </c>
      <c r="F16" s="2430"/>
      <c r="G16" s="2430"/>
      <c r="H16" s="2430"/>
      <c r="I16" s="1834"/>
    </row>
    <row r="17" spans="1:35" ht="15">
      <c r="A17" s="2431" t="s">
        <v>2143</v>
      </c>
      <c r="B17" s="64"/>
      <c r="C17" s="141">
        <f>SUM(C5:C16)</f>
        <v>7</v>
      </c>
      <c r="D17" s="141">
        <f>SUM(D5:D16)</f>
        <v>3</v>
      </c>
      <c r="E17" s="138"/>
      <c r="F17" s="138"/>
      <c r="G17" s="138"/>
      <c r="H17" s="138"/>
      <c r="I17" s="138"/>
      <c r="K17" s="2429"/>
      <c r="L17" s="2432" t="s">
        <v>2144</v>
      </c>
      <c r="M17" s="2432" t="s">
        <v>2145</v>
      </c>
    </row>
    <row r="18" spans="1:35" ht="15.75" thickBot="1">
      <c r="A18" s="2433" t="s">
        <v>2146</v>
      </c>
      <c r="B18" s="2434"/>
      <c r="C18" s="142">
        <f>ROUND(C17/SUM(C17:D17),2)</f>
        <v>0.7</v>
      </c>
      <c r="D18" s="142">
        <f>1-C18</f>
        <v>0.30000000000000004</v>
      </c>
      <c r="E18" s="138"/>
      <c r="F18" s="138"/>
      <c r="G18" s="138"/>
      <c r="H18" s="138"/>
      <c r="I18" s="138"/>
      <c r="K18" s="2429" t="s">
        <v>2147</v>
      </c>
      <c r="L18" s="2429">
        <f>IF(C1="",'数据-汇总表'!E3,SUMIF(项目类型,C1,'数据-汇总表'!E17:E26)+SUMIF(项目类型,C1,'数据-汇总表'!I17:I26))</f>
        <v>445.61</v>
      </c>
      <c r="M18" s="2429">
        <f>IF(C1="",'数据-汇总表'!E3,SUMIF(项目类型,C1,'数据-汇总表'!E17:E26))</f>
        <v>445.61</v>
      </c>
    </row>
    <row r="19" spans="1:35" ht="15">
      <c r="A19" s="2435" t="s">
        <v>2148</v>
      </c>
      <c r="B19" s="2436" t="s">
        <v>2149</v>
      </c>
      <c r="C19" s="143">
        <f ca="1">SUMIF(INDIRECT("'"&amp;C4&amp;"'"&amp;"!A:A"),结果表!B19,INDIRECT("'"&amp;C4&amp;"'"&amp;"!B:B"))</f>
        <v>4203</v>
      </c>
      <c r="D19" s="144">
        <f ca="1">SUMIF(INDIRECT("'"&amp;D4&amp;"'"&amp;"!A:A"),结果表!B19,INDIRECT("'"&amp;D4&amp;"'"&amp;"!B:B"))</f>
        <v>2019</v>
      </c>
      <c r="E19" s="2435" t="s">
        <v>2150</v>
      </c>
      <c r="F19" s="2436" t="s">
        <v>2149</v>
      </c>
      <c r="G19" s="145">
        <f ca="1">ROUND(C19*$C$18+D19*$D$18,0)</f>
        <v>3548</v>
      </c>
      <c r="H19" s="2437" t="s">
        <v>2151</v>
      </c>
      <c r="I19" s="138"/>
      <c r="K19" s="2429" t="s">
        <v>2152</v>
      </c>
      <c r="L19" s="2429">
        <f>IF(C1="",'数据-汇总表'!D3,SUMIF(项目类型,C1,'数据-汇总表'!D17:D26)+SUMIF(项目类型,C1,'数据-汇总表'!H17:H27))</f>
        <v>0</v>
      </c>
      <c r="M19" s="2429">
        <f>IF(C1="",'数据-汇总表'!D3,SUMIF(项目类型,C1,'数据-汇总表'!D17:D26))</f>
        <v>0</v>
      </c>
    </row>
    <row r="20" spans="1:35" ht="15">
      <c r="A20" s="2438"/>
      <c r="B20" s="1250" t="s">
        <v>2153</v>
      </c>
      <c r="C20" s="146">
        <f ca="1">SUMIF(INDIRECT("'"&amp;C4&amp;"'"&amp;"!A:A"),结果表!B20,INDIRECT("'"&amp;C4&amp;"'"&amp;"!B:B"))</f>
        <v>94325</v>
      </c>
      <c r="D20" s="147">
        <f ca="1">SUMIF(INDIRECT("'"&amp;D4&amp;"'"&amp;"!A:A"),结果表!B20,INDIRECT("'"&amp;D4&amp;"'"&amp;"!B:B"))</f>
        <v>45314</v>
      </c>
      <c r="E20" s="2438"/>
      <c r="F20" s="1250" t="s">
        <v>2153</v>
      </c>
      <c r="G20" s="148">
        <f ca="1">ROUND(C20*$C$18+D20*$D$18,0)</f>
        <v>79622</v>
      </c>
      <c r="H20" s="984" t="s">
        <v>2154</v>
      </c>
      <c r="I20" s="138"/>
    </row>
    <row r="21" spans="1:35" ht="15" customHeight="1" thickBot="1">
      <c r="A21" s="1004"/>
      <c r="B21" s="2439" t="s">
        <v>2155</v>
      </c>
      <c r="C21" s="790" t="e">
        <f ca="1">ROUND(C19*10000/L19,0)</f>
        <v>#DIV/0!</v>
      </c>
      <c r="D21" s="791" t="e">
        <f ca="1">ROUND(D19*10000/L19,0)</f>
        <v>#DIV/0!</v>
      </c>
      <c r="E21" s="1004"/>
      <c r="F21" s="2439" t="s">
        <v>2155</v>
      </c>
      <c r="G21" s="149" t="e">
        <f ca="1">ROUND(G19*10000/L19,0)</f>
        <v>#DIV/0!</v>
      </c>
      <c r="H21" s="2440" t="s">
        <v>2154</v>
      </c>
      <c r="I21" s="138"/>
    </row>
    <row r="22" spans="1:35" ht="15" thickBot="1">
      <c r="A22" s="2281" t="s">
        <v>2156</v>
      </c>
      <c r="B22" s="2441"/>
      <c r="C22" s="2442"/>
      <c r="D22" s="792">
        <f ca="1">IF(C19&lt;D19,D19/C19-1,C19/D19-1)</f>
        <v>1.0817236255572067</v>
      </c>
      <c r="E22" s="138"/>
      <c r="F22" s="138"/>
      <c r="G22" s="138"/>
      <c r="H22" s="138"/>
      <c r="I22" s="138"/>
    </row>
    <row r="23" spans="1:35" ht="13.5" thickBot="1">
      <c r="A23" s="2419"/>
      <c r="B23" s="2419"/>
      <c r="C23" s="2419"/>
      <c r="D23" s="2419"/>
      <c r="E23" s="138"/>
      <c r="F23" s="138"/>
      <c r="G23" s="138"/>
      <c r="H23" s="138"/>
      <c r="I23" s="138"/>
    </row>
    <row r="24" spans="1:35" ht="14.25">
      <c r="A24" s="3148" t="s">
        <v>2157</v>
      </c>
      <c r="B24" s="2436" t="s">
        <v>2149</v>
      </c>
      <c r="C24" s="145">
        <f>IF(B30=0,0,D30)</f>
        <v>0</v>
      </c>
      <c r="D24" s="2443"/>
      <c r="E24" s="138"/>
      <c r="F24" s="138"/>
      <c r="G24" s="138"/>
      <c r="H24" s="138"/>
      <c r="I24" s="138"/>
    </row>
    <row r="25" spans="1:35" ht="14.25">
      <c r="A25" s="3149"/>
      <c r="B25" s="1250"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3548</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0"/>
      <c r="G34" s="138"/>
      <c r="H34" s="138"/>
      <c r="I34" s="138"/>
    </row>
    <row r="35" spans="1:15" ht="15.75" thickBot="1">
      <c r="A35" s="2459"/>
      <c r="B35" s="2460"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128" t="s">
        <v>2171</v>
      </c>
      <c r="B36" s="2462" t="s">
        <v>2172</v>
      </c>
      <c r="C36" s="155"/>
      <c r="D36" s="2463"/>
      <c r="E36" s="2464"/>
      <c r="F36" s="2465"/>
      <c r="G36" s="138"/>
      <c r="H36" s="138"/>
      <c r="I36" s="138"/>
    </row>
    <row r="37" spans="1:15" ht="15.75" thickBot="1">
      <c r="A37" s="3129"/>
      <c r="B37" s="2267" t="s">
        <v>2173</v>
      </c>
      <c r="C37" s="157"/>
      <c r="D37" s="1395"/>
      <c r="E37" s="1395"/>
      <c r="F37" s="2465"/>
      <c r="G37" s="138"/>
      <c r="H37" s="138"/>
      <c r="I37" s="138"/>
    </row>
    <row r="38" spans="1:15" ht="15.75" thickBot="1">
      <c r="A38" s="3130"/>
      <c r="B38" s="2466" t="s">
        <v>2174</v>
      </c>
      <c r="C38" s="728"/>
      <c r="D38" s="2467" t="s">
        <v>2175</v>
      </c>
      <c r="E38" s="1395"/>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5"/>
      <c r="B43" s="2165"/>
      <c r="C43" s="2165"/>
      <c r="D43" s="2165"/>
      <c r="E43" s="2165"/>
      <c r="F43" s="2473"/>
      <c r="G43" s="2473"/>
      <c r="H43" s="2473"/>
      <c r="I43" s="2474"/>
    </row>
    <row r="44" spans="1:15" ht="18.75" hidden="1">
      <c r="A44" s="2475" t="s">
        <v>2183</v>
      </c>
      <c r="B44" s="2476"/>
      <c r="C44" s="2476"/>
      <c r="D44" s="2477"/>
      <c r="E44" s="2477"/>
      <c r="F44" s="2478"/>
      <c r="G44" s="2478"/>
      <c r="H44" s="2478"/>
      <c r="I44" s="2478"/>
      <c r="J44" s="2479" t="s">
        <v>2184</v>
      </c>
      <c r="K44" s="2480"/>
      <c r="L44" s="2480"/>
      <c r="M44" s="2480"/>
      <c r="N44" s="2480"/>
      <c r="O44" s="2480"/>
    </row>
    <row r="45" spans="1:15" ht="14.25" hidden="1" customHeight="1" thickBot="1">
      <c r="A45" s="3145" t="s">
        <v>2185</v>
      </c>
      <c r="B45" s="3146"/>
      <c r="C45" s="3147"/>
      <c r="D45" s="165">
        <f ca="1">ROUND(H101*F45,0)</f>
        <v>3548</v>
      </c>
      <c r="E45" s="166" t="s">
        <v>2186</v>
      </c>
      <c r="F45" s="167">
        <v>1</v>
      </c>
      <c r="G45" s="168" t="s">
        <v>2187</v>
      </c>
      <c r="H45" s="138"/>
      <c r="I45" s="138"/>
      <c r="J45" s="3064" t="s">
        <v>2188</v>
      </c>
      <c r="K45" s="3064"/>
      <c r="L45" s="3064"/>
      <c r="M45" s="3064"/>
      <c r="N45" s="3064"/>
      <c r="O45" s="3064"/>
    </row>
    <row r="46" spans="1:15" ht="14.25" hidden="1" customHeight="1">
      <c r="A46" s="3142" t="s">
        <v>2189</v>
      </c>
      <c r="B46" s="3143"/>
      <c r="C46" s="3143"/>
      <c r="D46" s="3143"/>
      <c r="E46" s="3143"/>
      <c r="F46" s="3143"/>
      <c r="G46" s="3144"/>
      <c r="H46" s="2481"/>
      <c r="I46" s="169"/>
      <c r="J46" s="1812">
        <v>1</v>
      </c>
      <c r="K46" s="3064" t="s">
        <v>2190</v>
      </c>
      <c r="L46" s="3064"/>
      <c r="M46" s="3065"/>
      <c r="N46" s="3065"/>
      <c r="O46" s="3065"/>
    </row>
    <row r="47" spans="1:15" ht="12" hidden="1" customHeight="1">
      <c r="A47" s="170" t="s">
        <v>2191</v>
      </c>
      <c r="B47" s="171"/>
      <c r="C47" s="172"/>
      <c r="D47" s="173" t="s">
        <v>2192</v>
      </c>
      <c r="E47" s="24" t="s">
        <v>2193</v>
      </c>
      <c r="F47" s="174" t="s">
        <v>2194</v>
      </c>
      <c r="G47" s="175" t="s">
        <v>2195</v>
      </c>
      <c r="H47" s="2481"/>
      <c r="I47" s="169"/>
      <c r="J47" s="1812">
        <v>2</v>
      </c>
      <c r="K47" s="3064" t="s">
        <v>2196</v>
      </c>
      <c r="L47" s="3064"/>
      <c r="M47" s="3066">
        <f>'数据-取费表'!B2</f>
        <v>43017</v>
      </c>
      <c r="N47" s="3066"/>
      <c r="O47" s="3066"/>
    </row>
    <row r="48" spans="1:15" ht="25.5" hidden="1">
      <c r="A48" s="3132" t="s">
        <v>2197</v>
      </c>
      <c r="B48" s="3133"/>
      <c r="C48" s="3133"/>
      <c r="D48" s="140">
        <f>IF(H48="情况1",0,IF(H48="情况2",D52,IF(H48="情况3",D53,IF(H48="情况4",D54))))</f>
        <v>0</v>
      </c>
      <c r="E48" s="1801" t="str">
        <f>IF(H48="情况4","(销售额-原购置价)×税（费）率","销售额×税（费）率")</f>
        <v>销售额×税（费）率</v>
      </c>
      <c r="F48" s="176" t="str">
        <f>IF(H48="情况1","免征",'数据-取费表'!B41)</f>
        <v>免征</v>
      </c>
      <c r="G48" s="2482" t="s">
        <v>2198</v>
      </c>
      <c r="H48" s="2483" t="s">
        <v>2199</v>
      </c>
      <c r="I48" s="2481"/>
      <c r="J48" s="1812">
        <v>3</v>
      </c>
      <c r="K48" s="3064" t="s">
        <v>2200</v>
      </c>
      <c r="L48" s="3064"/>
      <c r="M48" s="3067">
        <f ca="1">H101</f>
        <v>3548</v>
      </c>
      <c r="N48" s="3067"/>
      <c r="O48" s="3067"/>
    </row>
    <row r="49" spans="1:35" ht="25.5" hidden="1" customHeight="1">
      <c r="A49" s="177" t="s">
        <v>2201</v>
      </c>
      <c r="B49" s="3112" t="s">
        <v>2202</v>
      </c>
      <c r="C49" s="3112"/>
      <c r="D49" s="178">
        <v>0</v>
      </c>
      <c r="E49" s="23" t="s">
        <v>2203</v>
      </c>
      <c r="F49" s="28" t="s">
        <v>34</v>
      </c>
      <c r="G49" s="3093"/>
      <c r="H49" s="138"/>
      <c r="I49" s="2484"/>
      <c r="J49" s="1812">
        <v>4</v>
      </c>
      <c r="K49" s="3064" t="str">
        <f>IF(项目基本情况!E8="房地产抵押价值","房地产抵押价值","抵押担保权已注销时的房地产抵押价值")</f>
        <v>抵押担保权已注销时的房地产抵押价值</v>
      </c>
      <c r="L49" s="3064"/>
      <c r="M49" s="3067">
        <f ca="1">IF(项目基本情况!E8="房地产抵押价值",H107,H109)</f>
        <v>3548</v>
      </c>
      <c r="N49" s="3067"/>
      <c r="O49" s="3067"/>
    </row>
    <row r="50" spans="1:35" ht="25.5" hidden="1" customHeight="1">
      <c r="A50" s="179"/>
      <c r="B50" s="3112" t="s">
        <v>2204</v>
      </c>
      <c r="C50" s="3112"/>
      <c r="D50" s="180"/>
      <c r="E50" s="31"/>
      <c r="F50" s="181"/>
      <c r="G50" s="3094"/>
      <c r="H50" s="138"/>
      <c r="I50" s="2484"/>
      <c r="J50" s="3064" t="s">
        <v>2205</v>
      </c>
      <c r="K50" s="3064"/>
      <c r="L50" s="3064"/>
      <c r="M50" s="3064"/>
      <c r="N50" s="3064"/>
      <c r="O50" s="3064"/>
    </row>
    <row r="51" spans="1:35" ht="12" hidden="1" customHeight="1">
      <c r="A51" s="182"/>
      <c r="B51" s="3112" t="s">
        <v>2206</v>
      </c>
      <c r="C51" s="3112"/>
      <c r="D51" s="183"/>
      <c r="E51" s="30"/>
      <c r="F51" s="181"/>
      <c r="G51" s="3095"/>
      <c r="H51" s="138"/>
      <c r="I51" s="2484"/>
      <c r="J51" s="2485" t="s">
        <v>2207</v>
      </c>
      <c r="K51" s="3064" t="s">
        <v>2208</v>
      </c>
      <c r="L51" s="3064"/>
      <c r="M51" s="2485" t="s">
        <v>2209</v>
      </c>
      <c r="N51" s="2485" t="s">
        <v>2210</v>
      </c>
      <c r="O51" s="2485" t="s">
        <v>2211</v>
      </c>
    </row>
    <row r="52" spans="1:35" ht="24" hidden="1" customHeight="1">
      <c r="A52" s="184" t="s">
        <v>2212</v>
      </c>
      <c r="B52" s="3112" t="s">
        <v>2213</v>
      </c>
      <c r="C52" s="3112"/>
      <c r="D52" s="183">
        <f ca="1">ROUND(D45*'数据-取费表'!B41/(1+'数据-取费表'!C42),0)</f>
        <v>189</v>
      </c>
      <c r="E52" s="11" t="s">
        <v>2214</v>
      </c>
      <c r="F52" s="185">
        <f>'数据-取费表'!B41</f>
        <v>5.6000000000000001E-2</v>
      </c>
      <c r="G52" s="2486"/>
      <c r="H52" s="138"/>
      <c r="I52" s="2484"/>
      <c r="J52" s="1812">
        <v>1</v>
      </c>
      <c r="K52" s="3087" t="s">
        <v>2215</v>
      </c>
      <c r="L52" s="3087"/>
      <c r="M52" s="1755">
        <f>D48</f>
        <v>0</v>
      </c>
      <c r="N52" s="1812" t="str">
        <f>E48</f>
        <v>销售额×税（费）率</v>
      </c>
      <c r="O52" s="1756" t="str">
        <f>F48</f>
        <v>免征</v>
      </c>
    </row>
    <row r="53" spans="1:35" ht="12" hidden="1" customHeight="1">
      <c r="A53" s="184" t="s">
        <v>2216</v>
      </c>
      <c r="B53" s="3113" t="s">
        <v>2217</v>
      </c>
      <c r="C53" s="3114"/>
      <c r="D53" s="183">
        <f ca="1">ROUND(D45*'数据-取费表'!B41/(1+'数据-取费表'!C42),0)</f>
        <v>189</v>
      </c>
      <c r="E53" s="11" t="s">
        <v>2214</v>
      </c>
      <c r="F53" s="185">
        <f>'数据-取费表'!B41</f>
        <v>5.6000000000000001E-2</v>
      </c>
      <c r="G53" s="2486"/>
      <c r="H53" s="138"/>
      <c r="I53" s="2484"/>
      <c r="J53" s="1812">
        <v>2</v>
      </c>
      <c r="K53" s="3087" t="s">
        <v>2218</v>
      </c>
      <c r="L53" s="3087"/>
      <c r="M53" s="1755">
        <f t="shared" ref="M53:O54" ca="1" si="0">D55</f>
        <v>2</v>
      </c>
      <c r="N53" s="1812" t="str">
        <f t="shared" si="0"/>
        <v>销售额×税（费）率</v>
      </c>
      <c r="O53" s="1756">
        <f t="shared" si="0"/>
        <v>5.0000000000000001E-4</v>
      </c>
    </row>
    <row r="54" spans="1:35" ht="12" hidden="1" customHeight="1">
      <c r="A54" s="184" t="s">
        <v>2219</v>
      </c>
      <c r="B54" s="3113" t="s">
        <v>2220</v>
      </c>
      <c r="C54" s="3114"/>
      <c r="D54" s="183">
        <f ca="1">C68</f>
        <v>189</v>
      </c>
      <c r="E54" s="30" t="s">
        <v>2221</v>
      </c>
      <c r="F54" s="185">
        <f>'数据-取费表'!B41</f>
        <v>5.6000000000000001E-2</v>
      </c>
      <c r="G54" s="2486"/>
      <c r="H54" s="2487"/>
      <c r="I54" s="2484"/>
      <c r="J54" s="1812">
        <v>3</v>
      </c>
      <c r="K54" s="3087" t="s">
        <v>2222</v>
      </c>
      <c r="L54" s="3087"/>
      <c r="M54" s="1755">
        <f t="shared" ca="1" si="0"/>
        <v>2008</v>
      </c>
      <c r="N54" s="1812" t="str">
        <f t="shared" si="0"/>
        <v>增值额×税（费）率</v>
      </c>
      <c r="O54" s="1757" t="str">
        <f t="shared" si="0"/>
        <v>——</v>
      </c>
    </row>
    <row r="55" spans="1:35" ht="24" hidden="1" customHeight="1">
      <c r="A55" s="3151" t="s">
        <v>2223</v>
      </c>
      <c r="B55" s="3133"/>
      <c r="C55" s="3133"/>
      <c r="D55" s="186">
        <f ca="1">IF(H55="个人住宅",0,ROUND(D45*I55,0))</f>
        <v>2</v>
      </c>
      <c r="E55" s="11" t="s">
        <v>2224</v>
      </c>
      <c r="F55" s="185">
        <f>IF(H55="正常",I55,"免征")</f>
        <v>5.0000000000000001E-4</v>
      </c>
      <c r="G55" s="2486"/>
      <c r="H55" s="2483" t="s">
        <v>2225</v>
      </c>
      <c r="I55" s="187">
        <f>'数据-取费表'!B49</f>
        <v>5.0000000000000001E-4</v>
      </c>
      <c r="J55" s="1812" t="str">
        <f>IF(H59="非个人房产","",4)</f>
        <v/>
      </c>
      <c r="K55" s="3087" t="str">
        <f>IF(H59="非个人房产","——","个人所得税")</f>
        <v>——</v>
      </c>
      <c r="L55" s="3087"/>
      <c r="M55" s="1758" t="str">
        <f>D59</f>
        <v>——</v>
      </c>
      <c r="N55" s="1810" t="str">
        <f>E59</f>
        <v>——</v>
      </c>
      <c r="O55" s="1759" t="str">
        <f>F59</f>
        <v>——</v>
      </c>
    </row>
    <row r="56" spans="1:35" ht="24.75" hidden="1">
      <c r="A56" s="3151" t="s">
        <v>2226</v>
      </c>
      <c r="B56" s="3133"/>
      <c r="C56" s="3133"/>
      <c r="D56" s="186">
        <f ca="1">IF(H56="个人住宅",D57,D58)</f>
        <v>2008</v>
      </c>
      <c r="E56" s="11" t="s">
        <v>2227</v>
      </c>
      <c r="F56" s="185" t="str">
        <f>IF(H56="正常",F58,"免征")</f>
        <v>——</v>
      </c>
      <c r="G56" s="2488" t="s">
        <v>2228</v>
      </c>
      <c r="H56" s="2489" t="s">
        <v>2225</v>
      </c>
      <c r="I56" s="2490"/>
      <c r="J56" s="1812" t="str">
        <f>IF(项目基本情况!K6="上海银行",IF(J55="",4,J55+1),"")</f>
        <v/>
      </c>
      <c r="K56" s="3070" t="str">
        <f>IF(项目基本情况!K6="上海银行","其他处置费用","")</f>
        <v/>
      </c>
      <c r="L56" s="3071"/>
      <c r="M56" s="1755" t="str">
        <f>IF(项目基本情况!K6="上海银行",M69,"")</f>
        <v/>
      </c>
      <c r="N56" s="3073" t="str">
        <f>IF(项目基本情况!K6="上海银行","包含处置中涉及的律师、诉讼、拍卖、评估等费用","")</f>
        <v/>
      </c>
      <c r="O56" s="3074"/>
    </row>
    <row r="57" spans="1:35" ht="12.75" hidden="1">
      <c r="A57" s="184" t="s">
        <v>2201</v>
      </c>
      <c r="B57" s="3118" t="s">
        <v>2229</v>
      </c>
      <c r="C57" s="3119"/>
      <c r="D57" s="188">
        <v>0</v>
      </c>
      <c r="E57" s="23" t="s">
        <v>2203</v>
      </c>
      <c r="F57" s="156"/>
      <c r="G57" s="2486"/>
      <c r="H57" s="2490"/>
      <c r="I57" s="2490"/>
      <c r="J57" s="3087">
        <f>IF(AND(J55="",J56=""),4,IF(项目基本情况!K6="上海银行",结果表!J56+1,结果表!J55+1))</f>
        <v>4</v>
      </c>
      <c r="K57" s="3087" t="s">
        <v>2230</v>
      </c>
      <c r="L57" s="2491" t="s">
        <v>2231</v>
      </c>
      <c r="M57" s="1760"/>
      <c r="N57" s="1761">
        <f ca="1">SUMIF(M52:M56,"&lt;9e307")</f>
        <v>2010</v>
      </c>
      <c r="O57" s="2492"/>
      <c r="P57" s="1754">
        <f ca="1">N57/M49</f>
        <v>0.56651634723788047</v>
      </c>
    </row>
    <row r="58" spans="1:35" ht="24.75" hidden="1">
      <c r="A58" s="184" t="s">
        <v>2212</v>
      </c>
      <c r="B58" s="3118" t="s">
        <v>2232</v>
      </c>
      <c r="C58" s="3131"/>
      <c r="D58" s="186">
        <f ca="1">IF(H58="转让取得",C81,C97)</f>
        <v>2008</v>
      </c>
      <c r="E58" s="11" t="s">
        <v>2227</v>
      </c>
      <c r="F58" s="24" t="s">
        <v>34</v>
      </c>
      <c r="G58" s="2486"/>
      <c r="H58" s="2489" t="s">
        <v>2233</v>
      </c>
      <c r="I58" s="2490"/>
      <c r="J58" s="3087"/>
      <c r="K58" s="3087"/>
      <c r="L58" s="2491" t="s">
        <v>2234</v>
      </c>
      <c r="M58" s="1762"/>
      <c r="N58" s="2493" t="str">
        <f ca="1">NUMBERSTRING(INT(N57*10000),2)&amp;"元整"</f>
        <v>贰仟零壹拾万元整</v>
      </c>
      <c r="O58" s="2494"/>
    </row>
    <row r="59" spans="1:35" ht="24.75" hidden="1" thickBot="1">
      <c r="A59" s="3091" t="s">
        <v>2235</v>
      </c>
      <c r="B59" s="3092"/>
      <c r="C59" s="3092"/>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089">
        <f>J57+1</f>
        <v>5</v>
      </c>
      <c r="K59" s="3087" t="s">
        <v>2237</v>
      </c>
      <c r="L59" s="1812" t="s">
        <v>2231</v>
      </c>
      <c r="M59" s="1763"/>
      <c r="N59" s="1764">
        <f ca="1">M49-N57</f>
        <v>1538</v>
      </c>
      <c r="O59" s="2496"/>
    </row>
    <row r="60" spans="1:35" ht="12" hidden="1" customHeight="1">
      <c r="A60" s="2497"/>
      <c r="B60" s="2419"/>
      <c r="C60" s="2419"/>
      <c r="D60" s="2419"/>
      <c r="E60" s="2166"/>
      <c r="F60" s="2490"/>
      <c r="G60" s="2490"/>
      <c r="H60" s="2498"/>
      <c r="I60" s="138"/>
      <c r="J60" s="3090"/>
      <c r="K60" s="3087"/>
      <c r="L60" s="2491" t="s">
        <v>2234</v>
      </c>
      <c r="M60" s="1762"/>
      <c r="N60" s="2493" t="str">
        <f ca="1">NUMBERSTRING(INT(N59*10000),2)&amp;"元整"</f>
        <v>壹仟伍佰叁拾捌万元整</v>
      </c>
      <c r="O60" s="2494"/>
    </row>
    <row r="61" spans="1:35" ht="13.5" hidden="1" thickBot="1">
      <c r="A61" s="3150" t="s">
        <v>2238</v>
      </c>
      <c r="B61" s="3150"/>
      <c r="C61" s="3150"/>
      <c r="D61" s="3150"/>
      <c r="E61" s="3150"/>
      <c r="F61" s="2490"/>
      <c r="G61" s="2490"/>
      <c r="H61" s="2498"/>
      <c r="I61" s="138"/>
      <c r="J61" s="1812">
        <f>J59+1</f>
        <v>6</v>
      </c>
      <c r="K61" s="3087" t="s">
        <v>2239</v>
      </c>
      <c r="L61" s="3087"/>
      <c r="M61" s="1765"/>
      <c r="N61" s="1766">
        <f ca="1">ROUND(N59*10000/'数据-汇总表'!E3,0)</f>
        <v>34514</v>
      </c>
      <c r="O61" s="2499"/>
    </row>
    <row r="62" spans="1:35" ht="12.75" hidden="1">
      <c r="A62" s="3107" t="s">
        <v>2240</v>
      </c>
      <c r="B62" s="3108"/>
      <c r="C62" s="1804"/>
      <c r="D62" s="1804" t="s">
        <v>2241</v>
      </c>
      <c r="E62" s="193" t="s">
        <v>2242</v>
      </c>
      <c r="F62" s="2490"/>
      <c r="G62" s="2490"/>
      <c r="H62" s="2498"/>
      <c r="I62" s="138"/>
    </row>
    <row r="63" spans="1:35" ht="12.75" hidden="1">
      <c r="A63" s="204" t="s">
        <v>775</v>
      </c>
      <c r="B63" s="194" t="s">
        <v>2243</v>
      </c>
      <c r="C63" s="195">
        <f ca="1">ROUND((C64+C65)/(1+'数据-取费表'!C42),0)</f>
        <v>3379</v>
      </c>
      <c r="D63" s="196"/>
      <c r="E63" s="197"/>
      <c r="F63" s="2490"/>
      <c r="G63" s="2490"/>
      <c r="H63" s="2498"/>
      <c r="I63" s="138"/>
      <c r="J63" s="3072" t="s">
        <v>2244</v>
      </c>
      <c r="K63" s="2500" t="s">
        <v>2245</v>
      </c>
      <c r="L63" s="1753">
        <f ca="1">IF(M49&gt;10000,M49*0.5%,IF(AND(M49&gt;1000,M49&lt;=10000),M49*1%,IF(AND(M49&gt;100,M49&lt;=1000),M49*3%,IF(AND(M49&gt;10,M49&lt;=100),M49*5%,M49*8%))))</f>
        <v>35.480000000000004</v>
      </c>
      <c r="M63" s="24">
        <f ca="1">ROUND(L63,1)</f>
        <v>35.5</v>
      </c>
      <c r="Z63" s="2424"/>
      <c r="AI63" s="2425"/>
    </row>
    <row r="64" spans="1:35" ht="14.25" hidden="1" customHeight="1">
      <c r="A64" s="198" t="s">
        <v>770</v>
      </c>
      <c r="B64" s="199" t="s">
        <v>2246</v>
      </c>
      <c r="C64" s="200">
        <f ca="1">D45</f>
        <v>3548</v>
      </c>
      <c r="D64" s="201" t="s">
        <v>32</v>
      </c>
      <c r="E64" s="202"/>
      <c r="F64" s="2490"/>
      <c r="G64" s="2490"/>
      <c r="H64" s="2498"/>
      <c r="I64" s="138"/>
      <c r="J64" s="3072"/>
      <c r="K64" s="2500" t="s">
        <v>2247</v>
      </c>
      <c r="L64" s="1753">
        <f ca="1">IF(M49&gt;2000,M49*0.5%,IF(AND(M49&gt;1000,M49&lt;=2000),M49*0.6%,IF(AND(M49&gt;500,M49&lt;=1000),M49*0.7%,IF(AND(M49&gt;200,M49&lt;=500),M49*0.8%,IF(AND(M49&gt;100,M49&lt;=200),M49*0.9%,IF(AND(M49&gt;50,M49&lt;=100),M49*1%,IF(AND(M49&gt;20,M49&lt;=50),M49*1.5%,IF(AND(M49&gt;10,M49&lt;=20),M49*2%,IF(AND(M49&gt;1,M49&lt;=10),M49*2.5%)))))))))</f>
        <v>17.740000000000002</v>
      </c>
      <c r="M64" s="24">
        <f t="shared" ref="M64:M65" ca="1" si="1">ROUND(L64,1)</f>
        <v>17.7</v>
      </c>
      <c r="N64" s="138" t="s">
        <v>2248</v>
      </c>
      <c r="Z64" s="2424"/>
      <c r="AI64" s="2425"/>
    </row>
    <row r="65" spans="1:35" ht="14.25" hidden="1" customHeight="1">
      <c r="A65" s="198" t="s">
        <v>771</v>
      </c>
      <c r="B65" s="199" t="s">
        <v>2249</v>
      </c>
      <c r="C65" s="203"/>
      <c r="D65" s="201"/>
      <c r="E65" s="202"/>
      <c r="F65" s="2490"/>
      <c r="G65" s="2490"/>
      <c r="H65" s="2498"/>
      <c r="I65" s="138"/>
      <c r="J65" s="3072"/>
      <c r="K65" s="2500" t="s">
        <v>2250</v>
      </c>
      <c r="L65" s="1753">
        <f ca="1">IF(M49&gt;1000,M49*0.1%,IF(AND(M49&gt;500,M49&lt;=1000),M49*0.5%,IF(AND(M49&gt;50,M49&lt;=500),M49*1%,IF(AND(M49&gt;1,M49&lt;=50),M49*1.5%))))</f>
        <v>3.548</v>
      </c>
      <c r="M65" s="24">
        <f t="shared" ca="1" si="1"/>
        <v>3.5</v>
      </c>
      <c r="N65" s="138" t="s">
        <v>2248</v>
      </c>
      <c r="Z65" s="2424"/>
      <c r="AI65" s="2425"/>
    </row>
    <row r="66" spans="1:35" ht="14.25" hidden="1" customHeight="1">
      <c r="A66" s="204" t="s">
        <v>772</v>
      </c>
      <c r="B66" s="205" t="s">
        <v>2251</v>
      </c>
      <c r="C66" s="206"/>
      <c r="D66" s="207" t="s">
        <v>32</v>
      </c>
      <c r="E66" s="1776" t="s">
        <v>1372</v>
      </c>
      <c r="F66" s="2490"/>
      <c r="G66" s="2490"/>
      <c r="H66" s="2498"/>
      <c r="I66" s="138"/>
      <c r="J66" s="3072"/>
      <c r="K66" s="2500" t="s">
        <v>2252</v>
      </c>
      <c r="L66" s="1753">
        <f ca="1">M49*0.5%</f>
        <v>17.740000000000002</v>
      </c>
      <c r="M66" s="24">
        <f ca="1">IF(L66&gt;0.5,0.5,ROUND(L66,0))</f>
        <v>0.5</v>
      </c>
      <c r="N66" s="138" t="s">
        <v>2253</v>
      </c>
      <c r="Z66" s="2424"/>
      <c r="AI66" s="2425"/>
    </row>
    <row r="67" spans="1:35" ht="14.25" hidden="1" customHeight="1">
      <c r="A67" s="204" t="s">
        <v>773</v>
      </c>
      <c r="B67" s="205" t="s">
        <v>2254</v>
      </c>
      <c r="C67" s="208">
        <f ca="1">C63-C66</f>
        <v>3379</v>
      </c>
      <c r="D67" s="201" t="s">
        <v>32</v>
      </c>
      <c r="E67" s="202"/>
      <c r="F67" s="2490"/>
      <c r="G67" s="2490"/>
      <c r="H67" s="2498"/>
      <c r="I67" s="138"/>
      <c r="J67" s="3072"/>
      <c r="K67" s="2500" t="s">
        <v>2255</v>
      </c>
      <c r="L67" s="175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hidden="1" customHeight="1" thickBot="1">
      <c r="A68" s="209" t="s">
        <v>774</v>
      </c>
      <c r="B68" s="210" t="s">
        <v>2256</v>
      </c>
      <c r="C68" s="211">
        <f ca="1">IF(C67&lt;=0,0,ROUND(C67*D68,0))</f>
        <v>189</v>
      </c>
      <c r="D68" s="212">
        <f>'数据-取费表'!B41</f>
        <v>5.6000000000000001E-2</v>
      </c>
      <c r="E68" s="213"/>
      <c r="F68" s="2490"/>
      <c r="G68" s="2490"/>
      <c r="H68" s="2498"/>
      <c r="I68" s="138"/>
      <c r="J68" s="3072"/>
      <c r="K68" s="2500" t="s">
        <v>2257</v>
      </c>
      <c r="L68" s="1753">
        <f ca="1">IF(M49&gt;10000,M49*0.5%,IF(AND(M49&gt;5000,M49&lt;=10000),M49*1%,IF(AND(M49&gt;1000,M49&lt;=5000),M49*2%,IF(AND(M49&gt;200,M49&lt;=1000),M49*3%,M49*5%))))</f>
        <v>70.960000000000008</v>
      </c>
      <c r="M68" s="24">
        <f ca="1">ROUND(L68,1)</f>
        <v>71</v>
      </c>
      <c r="Z68" s="2424"/>
      <c r="AI68" s="2425"/>
    </row>
    <row r="69" spans="1:35" s="2447" customFormat="1" ht="16.5" hidden="1" customHeight="1">
      <c r="A69" s="2501"/>
      <c r="B69" s="2502"/>
      <c r="C69" s="2503"/>
      <c r="D69" s="2504"/>
      <c r="E69" s="2505"/>
      <c r="F69" s="2166"/>
      <c r="G69" s="2166"/>
      <c r="H69" s="2165"/>
      <c r="I69" s="2419"/>
      <c r="J69" s="3072"/>
      <c r="K69" s="2500" t="s">
        <v>2258</v>
      </c>
      <c r="L69" s="2506"/>
      <c r="M69" s="24">
        <f ca="1">ROUND(SUM(M63:M68),0)</f>
        <v>131</v>
      </c>
      <c r="N69" s="1754">
        <f ca="1">M69/M49</f>
        <v>3.6922209695603156E-2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hidden="1" thickBot="1">
      <c r="A70" s="3116" t="s">
        <v>2259</v>
      </c>
      <c r="B70" s="3117"/>
      <c r="C70" s="3117"/>
      <c r="D70" s="3117"/>
      <c r="E70" s="3117"/>
      <c r="F70" s="3117"/>
      <c r="G70" s="3117"/>
      <c r="H70" s="3117"/>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107" t="s">
        <v>2240</v>
      </c>
      <c r="B71" s="3108"/>
      <c r="C71" s="1804"/>
      <c r="D71" s="180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4" t="s">
        <v>775</v>
      </c>
      <c r="B72" s="205" t="s">
        <v>2260</v>
      </c>
      <c r="C72" s="208">
        <f ca="1">ROUND(D45/(1+'数据-取费表'!C42),0)</f>
        <v>3379</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4" t="s">
        <v>772</v>
      </c>
      <c r="B73" s="174" t="s">
        <v>2261</v>
      </c>
      <c r="C73" s="208">
        <f ca="1">C74+C78</f>
        <v>20</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8" t="s">
        <v>770</v>
      </c>
      <c r="B74" s="199" t="s">
        <v>2262</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8" t="s">
        <v>777</v>
      </c>
      <c r="B76" s="222" t="s">
        <v>2267</v>
      </c>
      <c r="C76" s="201">
        <f>IF(F75="购房发票",ROUND(C75*H75*D76,0),0)</f>
        <v>0</v>
      </c>
      <c r="D76" s="223">
        <v>0.05</v>
      </c>
      <c r="E76" s="3113" t="s">
        <v>2268</v>
      </c>
      <c r="F76" s="3112"/>
      <c r="G76" s="3112"/>
      <c r="H76" s="3115"/>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8" t="s">
        <v>771</v>
      </c>
      <c r="B78" s="199" t="s">
        <v>2272</v>
      </c>
      <c r="C78" s="226">
        <f ca="1">ROUND(D45*D78/(1+'数据-取费表'!C42),0)</f>
        <v>20</v>
      </c>
      <c r="D78" s="227">
        <f>'数据-取费表'!B43</f>
        <v>6.000000000000001E-3</v>
      </c>
      <c r="E78" s="3104" t="s">
        <v>2273</v>
      </c>
      <c r="F78" s="3105"/>
      <c r="G78" s="3105"/>
      <c r="H78" s="3106"/>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5" t="s">
        <v>2274</v>
      </c>
      <c r="C79" s="208">
        <f ca="1">C72-C73</f>
        <v>3359</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5" t="s">
        <v>2275</v>
      </c>
      <c r="C80" s="228">
        <f ca="1">IF(C79&lt;=0,0,C79/C73)</f>
        <v>167.95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10" t="s">
        <v>2276</v>
      </c>
      <c r="C81" s="229">
        <f ca="1">ROUND(IF(C79&lt;=0,0,IF(C80&gt;=200%,C79*60%-C73*35%,IF(C80&gt;=100%,C79*50%-C73*15%,IF(C80&gt;=50%,C79*40%-C73*5%,IF(C80&lt;50%,C79*30%,0))))),0)</f>
        <v>2008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116" t="s">
        <v>2277</v>
      </c>
      <c r="B83" s="3117"/>
      <c r="C83" s="3117"/>
      <c r="D83" s="3117"/>
      <c r="E83" s="3117"/>
      <c r="F83" s="3117"/>
      <c r="G83" s="3117"/>
      <c r="H83" s="3117"/>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107" t="s">
        <v>2240</v>
      </c>
      <c r="B84" s="3108"/>
      <c r="C84" s="1804"/>
      <c r="D84" s="180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4" t="s">
        <v>775</v>
      </c>
      <c r="B85" s="205" t="s">
        <v>2260</v>
      </c>
      <c r="C85" s="208">
        <f ca="1">ROUND(D45/(1+'数据-取费表'!C42),0)</f>
        <v>3379</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4" t="s">
        <v>772</v>
      </c>
      <c r="B86" s="174" t="s">
        <v>2261</v>
      </c>
      <c r="C86" s="208">
        <f ca="1">IF(H88="仅含出让金",C87+C90+C91+C92+C93+C94,C87+C91+C92+C93+C94)</f>
        <v>20</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8" t="s">
        <v>770</v>
      </c>
      <c r="B87" s="199" t="s">
        <v>2278</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8" t="s">
        <v>776</v>
      </c>
      <c r="B88" s="199" t="s">
        <v>2279</v>
      </c>
      <c r="C88" s="237"/>
      <c r="D88" s="227"/>
      <c r="E88" s="238" t="s">
        <v>2280</v>
      </c>
      <c r="F88" s="180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8" t="s">
        <v>777</v>
      </c>
      <c r="B89" s="199" t="s">
        <v>2269</v>
      </c>
      <c r="C89" s="226">
        <f>ROUND(C88*D89,0)</f>
        <v>0</v>
      </c>
      <c r="D89" s="227">
        <f>'数据-取费表'!B48+'数据-取费表'!B49</f>
        <v>3.0499999999999999E-2</v>
      </c>
      <c r="E89" s="238"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8" t="s">
        <v>771</v>
      </c>
      <c r="B90" s="199" t="s">
        <v>2283</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8" t="s">
        <v>2284</v>
      </c>
      <c r="B91" s="199" t="s">
        <v>2285</v>
      </c>
      <c r="C91" s="226">
        <f>IF(H91="——",成本法!C33,I91)</f>
        <v>0</v>
      </c>
      <c r="D91" s="227"/>
      <c r="E91" s="3104" t="s">
        <v>2286</v>
      </c>
      <c r="F91" s="3105"/>
      <c r="G91" s="3105"/>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8" t="s">
        <v>2288</v>
      </c>
      <c r="B92" s="199" t="s">
        <v>2289</v>
      </c>
      <c r="C92" s="226">
        <f>ROUND((C87+C90+C91)*D92,0)</f>
        <v>0</v>
      </c>
      <c r="D92" s="227">
        <v>0.1</v>
      </c>
      <c r="E92" s="3104" t="s">
        <v>2290</v>
      </c>
      <c r="F92" s="3105"/>
      <c r="G92" s="3105"/>
      <c r="H92" s="3106"/>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8" t="s">
        <v>2291</v>
      </c>
      <c r="B93" s="199" t="s">
        <v>2272</v>
      </c>
      <c r="C93" s="226">
        <f ca="1">ROUND(D45*D93/(1+'数据-取费表'!C42),0)</f>
        <v>20</v>
      </c>
      <c r="D93" s="227">
        <f>'数据-取费表'!B43</f>
        <v>6.000000000000001E-3</v>
      </c>
      <c r="E93" s="3104" t="s">
        <v>2273</v>
      </c>
      <c r="F93" s="3105"/>
      <c r="G93" s="3105"/>
      <c r="H93" s="3106"/>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8" t="s">
        <v>2292</v>
      </c>
      <c r="B94" s="199" t="s">
        <v>2293</v>
      </c>
      <c r="C94" s="237">
        <f>ROUND((C87+C90+C91)*D94,0)</f>
        <v>0</v>
      </c>
      <c r="D94" s="227">
        <v>0.2</v>
      </c>
      <c r="E94" s="3152" t="s">
        <v>2294</v>
      </c>
      <c r="F94" s="3153"/>
      <c r="G94" s="3153"/>
      <c r="H94" s="3154"/>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5" t="s">
        <v>2274</v>
      </c>
      <c r="C95" s="208">
        <f ca="1">ROUND(C85-C86,0)</f>
        <v>3359</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5" t="s">
        <v>2275</v>
      </c>
      <c r="C96" s="228">
        <f ca="1">IF(C95&lt;=0,0,C95/C86)</f>
        <v>167.95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10" t="s">
        <v>2276</v>
      </c>
      <c r="C97" s="229">
        <f ca="1">ROUND(IF(C95&lt;=0,0,IF(C96&gt;=200%,C95*60%-C86*35%,IF(C96&gt;=100%,C95*50%-C86*15%,IF(C96&gt;=50%,C95*40%-C86*5%,IF(C96&lt;50%,C95*30%,0))))),0)</f>
        <v>2008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2295</v>
      </c>
      <c r="B99" s="2419"/>
      <c r="C99" s="2419"/>
      <c r="D99" s="2419"/>
      <c r="E99" s="2166"/>
      <c r="F99" s="2166"/>
      <c r="G99" s="2166"/>
      <c r="H99" s="2165"/>
      <c r="I99" s="138"/>
    </row>
    <row r="100" spans="1:35" ht="18.75" customHeight="1">
      <c r="A100" s="3056" t="s">
        <v>2296</v>
      </c>
      <c r="B100" s="3057"/>
      <c r="C100" s="3057"/>
      <c r="D100" s="3088"/>
      <c r="E100" s="3057" t="s">
        <v>2297</v>
      </c>
      <c r="F100" s="3057"/>
      <c r="G100" s="3057"/>
      <c r="H100" s="3088"/>
      <c r="I100" s="138"/>
    </row>
    <row r="101" spans="1:35" ht="18.75" customHeight="1">
      <c r="A101" s="3096" t="s">
        <v>2298</v>
      </c>
      <c r="B101" s="3097"/>
      <c r="C101" s="737" t="str">
        <f>C4</f>
        <v>比较法-住宅</v>
      </c>
      <c r="D101" s="738" t="str">
        <f>D4</f>
        <v>收益法 (元)</v>
      </c>
      <c r="E101" s="3068" t="s">
        <v>2299</v>
      </c>
      <c r="F101" s="3069"/>
      <c r="G101" s="2521" t="s">
        <v>2300</v>
      </c>
      <c r="H101" s="1049">
        <f ca="1">H118</f>
        <v>3548</v>
      </c>
      <c r="I101" s="138"/>
    </row>
    <row r="102" spans="1:35" ht="18.75" customHeight="1">
      <c r="A102" s="3098" t="s">
        <v>2301</v>
      </c>
      <c r="B102" s="2521" t="s">
        <v>2300</v>
      </c>
      <c r="C102" s="737">
        <f ca="1">C19</f>
        <v>4203</v>
      </c>
      <c r="D102" s="738">
        <f ca="1">D19</f>
        <v>2019</v>
      </c>
      <c r="E102" s="3068"/>
      <c r="F102" s="3069"/>
      <c r="G102" s="2521" t="s">
        <v>2302</v>
      </c>
      <c r="H102" s="372">
        <f ca="1">I118</f>
        <v>79621</v>
      </c>
      <c r="I102" s="138"/>
    </row>
    <row r="103" spans="1:35" ht="42.75" customHeight="1">
      <c r="A103" s="3098"/>
      <c r="B103" s="2521" t="s">
        <v>2302</v>
      </c>
      <c r="C103" s="739">
        <f ca="1">C20</f>
        <v>94325</v>
      </c>
      <c r="D103" s="740">
        <f ca="1">D20</f>
        <v>45314</v>
      </c>
      <c r="E103" s="3062" t="s">
        <v>2303</v>
      </c>
      <c r="F103" s="3063"/>
      <c r="G103" s="2522" t="s">
        <v>2304</v>
      </c>
      <c r="H103" s="1049">
        <f>IF(D36="正常操作",H104+H105+H106,H105+H106)</f>
        <v>0</v>
      </c>
      <c r="I103" s="138"/>
    </row>
    <row r="104" spans="1:35" ht="18.75" customHeight="1">
      <c r="A104" s="3098" t="s">
        <v>2305</v>
      </c>
      <c r="B104" s="2523" t="s">
        <v>2300</v>
      </c>
      <c r="C104" s="741">
        <f ca="1">H118</f>
        <v>3548</v>
      </c>
      <c r="D104" s="742"/>
      <c r="E104" s="2267" t="s">
        <v>2306</v>
      </c>
      <c r="F104" s="2258"/>
      <c r="G104" s="2522" t="s">
        <v>2304</v>
      </c>
      <c r="H104" s="1050">
        <f>IF(D36="同一抵押权人同一抵押物续贷",C36&amp;"（未扣减，详见特别提示）",C36)</f>
        <v>0</v>
      </c>
      <c r="I104" s="138"/>
    </row>
    <row r="105" spans="1:35" ht="18.75" customHeight="1" thickBot="1">
      <c r="A105" s="3110"/>
      <c r="B105" s="2524" t="s">
        <v>2302</v>
      </c>
      <c r="C105" s="743">
        <f ca="1">I118</f>
        <v>79621</v>
      </c>
      <c r="D105" s="744"/>
      <c r="E105" s="2267" t="s">
        <v>2307</v>
      </c>
      <c r="F105" s="2258"/>
      <c r="G105" s="2522" t="s">
        <v>2304</v>
      </c>
      <c r="H105" s="1050">
        <f>C37</f>
        <v>0</v>
      </c>
      <c r="I105" s="138"/>
    </row>
    <row r="106" spans="1:35" ht="18.75" customHeight="1">
      <c r="A106" s="2419" t="s">
        <v>2308</v>
      </c>
      <c r="B106" s="2419"/>
      <c r="C106" s="2419"/>
      <c r="D106" s="2419"/>
      <c r="E106" s="2525" t="s">
        <v>2309</v>
      </c>
      <c r="F106" s="2258"/>
      <c r="G106" s="2522" t="s">
        <v>2304</v>
      </c>
      <c r="H106" s="1050">
        <f>C38</f>
        <v>0</v>
      </c>
      <c r="I106" s="138"/>
    </row>
    <row r="107" spans="1:35" ht="18.75" customHeight="1">
      <c r="A107" s="138"/>
      <c r="B107" s="138"/>
      <c r="C107" s="138"/>
      <c r="D107" s="138"/>
      <c r="E107" s="3099" t="str">
        <f>IF(项目基本情况!E8="已注销","——","3.房地产抵押价值")</f>
        <v>——</v>
      </c>
      <c r="F107" s="3069"/>
      <c r="G107" s="2521" t="s">
        <v>2300</v>
      </c>
      <c r="H107" s="1049" t="str">
        <f>IF(E107="——","——",H101-H103)</f>
        <v>——</v>
      </c>
      <c r="I107" s="138"/>
    </row>
    <row r="108" spans="1:35" ht="18.75" customHeight="1">
      <c r="A108" s="138"/>
      <c r="B108" s="138"/>
      <c r="C108" s="138"/>
      <c r="D108" s="138"/>
      <c r="E108" s="3099"/>
      <c r="F108" s="3069"/>
      <c r="G108" s="2521" t="s">
        <v>2302</v>
      </c>
      <c r="H108" s="372" t="e">
        <f>ROUND(H107*10000/'数据-汇总表'!E3,0)</f>
        <v>#VALUE!</v>
      </c>
      <c r="I108" s="138"/>
    </row>
    <row r="109" spans="1:35" ht="18.75" customHeight="1">
      <c r="A109" s="138"/>
      <c r="B109" s="138"/>
      <c r="C109" s="138"/>
      <c r="D109" s="138"/>
      <c r="E109" s="3099" t="str">
        <f>IF(项目基本情况!E8="已注销及未注销","4.抵押担保权已注销时的房地产抵押价值",IF(项目基本情况!E8="已注销","3.抵押担保权已注销时的房地产抵押价值","——"))</f>
        <v>3.抵押担保权已注销时的房地产抵押价值</v>
      </c>
      <c r="F109" s="3069"/>
      <c r="G109" s="2521" t="s">
        <v>2300</v>
      </c>
      <c r="H109" s="349">
        <f ca="1">IF(E109="——","——",H101-H105-H106)</f>
        <v>3548</v>
      </c>
      <c r="I109" s="138"/>
    </row>
    <row r="110" spans="1:35" ht="18.75" customHeight="1">
      <c r="A110" s="138"/>
      <c r="B110" s="138"/>
      <c r="C110" s="138"/>
      <c r="D110" s="138"/>
      <c r="E110" s="3099"/>
      <c r="F110" s="3069"/>
      <c r="G110" s="2521" t="s">
        <v>2302</v>
      </c>
      <c r="H110" s="372">
        <f ca="1">IF(H109="——","——",ROUND(H109*10000/'数据-汇总表'!E3,0))</f>
        <v>79621</v>
      </c>
      <c r="I110" s="138"/>
    </row>
    <row r="111" spans="1:35" ht="18.75" customHeight="1">
      <c r="A111" s="138"/>
      <c r="B111" s="138"/>
      <c r="C111" s="138"/>
      <c r="D111" s="138"/>
      <c r="E111" s="3100" t="str">
        <f>IF(项目基本情况!E9="抵押净值",IF(OR(项目基本情况!E8="已注销",项目基本情况!E8="房地产抵押价值"),"4.抵押净值","5.抵押净值"),"——")</f>
        <v>——</v>
      </c>
      <c r="F111" s="3101"/>
      <c r="G111" s="2521" t="s">
        <v>2300</v>
      </c>
      <c r="H111" s="1049" t="str">
        <f>IF(E111="——","——",N59)</f>
        <v>——</v>
      </c>
      <c r="I111" s="138"/>
    </row>
    <row r="112" spans="1:35" ht="18.75" customHeight="1" thickBot="1">
      <c r="A112" s="138"/>
      <c r="B112" s="138"/>
      <c r="C112" s="138"/>
      <c r="D112" s="138"/>
      <c r="E112" s="3102"/>
      <c r="F112" s="3103"/>
      <c r="G112" s="2526" t="s">
        <v>2302</v>
      </c>
      <c r="H112" s="791" t="str">
        <f>IF(E111="——","——",N61)</f>
        <v>——</v>
      </c>
      <c r="I112" s="138"/>
    </row>
    <row r="113" spans="1:11" ht="18.75" customHeight="1">
      <c r="A113" s="138"/>
      <c r="B113" s="138"/>
      <c r="C113" s="138"/>
      <c r="D113" s="138"/>
      <c r="E113" s="3111" t="s">
        <v>2308</v>
      </c>
      <c r="F113" s="3111"/>
      <c r="G113" s="3111"/>
      <c r="H113" s="3111"/>
      <c r="I113" s="138"/>
    </row>
    <row r="114" spans="1:11" ht="3.75" customHeight="1">
      <c r="A114" s="2419"/>
      <c r="B114" s="2419"/>
      <c r="C114" s="2419"/>
      <c r="D114" s="2419"/>
      <c r="E114" s="2497"/>
      <c r="F114" s="2497"/>
      <c r="G114" s="2497"/>
      <c r="H114" s="2497"/>
      <c r="I114" s="2419"/>
    </row>
    <row r="115" spans="1:11" ht="18.75" customHeight="1">
      <c r="A115" s="3124" t="s">
        <v>2310</v>
      </c>
      <c r="B115" s="3125"/>
      <c r="C115" s="3125"/>
      <c r="D115" s="3125"/>
      <c r="E115" s="3125"/>
      <c r="F115" s="3125"/>
      <c r="G115" s="3125"/>
      <c r="H115" s="3125"/>
      <c r="I115" s="3126"/>
    </row>
    <row r="116" spans="1:11" ht="27" customHeight="1">
      <c r="A116" s="3035" t="s">
        <v>2311</v>
      </c>
      <c r="B116" s="3078" t="s">
        <v>2312</v>
      </c>
      <c r="C116" s="3078" t="s">
        <v>2313</v>
      </c>
      <c r="D116" s="3084" t="s">
        <v>2314</v>
      </c>
      <c r="E116" s="3085"/>
      <c r="F116" s="3120" t="s">
        <v>2315</v>
      </c>
      <c r="G116" s="3120"/>
      <c r="H116" s="3035" t="s">
        <v>2316</v>
      </c>
      <c r="I116" s="3035"/>
    </row>
    <row r="117" spans="1:11" ht="18.75" customHeight="1">
      <c r="A117" s="3035"/>
      <c r="B117" s="3079"/>
      <c r="C117" s="3079"/>
      <c r="D117" s="1798" t="s">
        <v>2317</v>
      </c>
      <c r="E117" s="1798" t="s">
        <v>2318</v>
      </c>
      <c r="F117" s="1798" t="s">
        <v>2317</v>
      </c>
      <c r="G117" s="1798" t="s">
        <v>2319</v>
      </c>
      <c r="H117" s="1798" t="s">
        <v>2317</v>
      </c>
      <c r="I117" s="1798" t="s">
        <v>2319</v>
      </c>
    </row>
    <row r="118" spans="1:11" ht="24.75" customHeight="1">
      <c r="A118" s="2527" t="str">
        <f>项目基本情况!S2</f>
        <v>北京市朝阳区霄云路8号院房地产</v>
      </c>
      <c r="B118" s="1798">
        <f>M18</f>
        <v>445.61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3548</v>
      </c>
      <c r="I118" s="1798">
        <f ca="1">ROUND(IF(D32="楼面单价",C32,H118*10000/B118),0)</f>
        <v>79621</v>
      </c>
    </row>
    <row r="119" spans="1:11" ht="18.75" customHeight="1">
      <c r="A119" s="3035" t="s">
        <v>2320</v>
      </c>
      <c r="B119" s="3035"/>
      <c r="C119" s="3035"/>
      <c r="D119" s="3080" t="e">
        <f ca="1">NUMBERSTRING(INT(D118*10000),2)&amp;"元整"</f>
        <v>#REF!</v>
      </c>
      <c r="E119" s="3081"/>
      <c r="F119" s="3080" t="e">
        <f ca="1">NUMBERSTRING(INT(F118*10000),2)&amp;"元整"</f>
        <v>#REF!</v>
      </c>
      <c r="G119" s="3081"/>
      <c r="H119" s="3080" t="str">
        <f ca="1">NUMBERSTRING(INT(H118*10000),2)&amp;"元整"</f>
        <v>叁仟伍佰肆拾捌万元整</v>
      </c>
      <c r="I119" s="3081"/>
    </row>
    <row r="120" spans="1:11" ht="18.75" customHeight="1">
      <c r="A120" s="3075" t="str">
        <f>IF(项目基本情况!B9="房地产市场价值","",MID(E103,3,LEN(E103)-2))</f>
        <v>估价师知悉的法定优先受偿款</v>
      </c>
      <c r="B120" s="3076"/>
      <c r="C120" s="3077"/>
      <c r="D120" s="3075">
        <f>H103</f>
        <v>0</v>
      </c>
      <c r="E120" s="3076"/>
      <c r="F120" s="3076"/>
      <c r="G120" s="3076"/>
      <c r="H120" s="3076"/>
      <c r="I120" s="3077"/>
      <c r="K120" s="2424" t="str">
        <f>IF(D120=0,"故，本次评估不存在"&amp;A120,"故，本次评估"&amp;A120&amp;"为人民币"&amp;D120&amp;"万元整。")</f>
        <v>故，本次评估不存在估价师知悉的法定优先受偿款</v>
      </c>
    </row>
    <row r="121" spans="1:11" ht="18.75" customHeight="1">
      <c r="A121" s="3121" t="s">
        <v>2320</v>
      </c>
      <c r="B121" s="3122"/>
      <c r="C121" s="3123"/>
      <c r="D121" s="3080" t="str">
        <f>IF(D120=0,"零元整",NUMBERSTRING(INT(D120*10000),2)&amp;"元整")</f>
        <v>零元整</v>
      </c>
      <c r="E121" s="3082"/>
      <c r="F121" s="3082"/>
      <c r="G121" s="3082"/>
      <c r="H121" s="3082"/>
      <c r="I121" s="3081"/>
    </row>
    <row r="122" spans="1:11" ht="18.75" customHeight="1">
      <c r="A122" s="3086" t="str">
        <f>IF(项目基本情况!B9="房地产市场价值","",MID(E107,3,LEN(E107)-2))</f>
        <v/>
      </c>
      <c r="B122" s="3086"/>
      <c r="C122" s="3086"/>
      <c r="D122" s="3075" t="str">
        <f>H107</f>
        <v>——</v>
      </c>
      <c r="E122" s="3076"/>
      <c r="F122" s="3076"/>
      <c r="G122" s="3076"/>
      <c r="H122" s="3076"/>
      <c r="I122" s="3077"/>
    </row>
    <row r="123" spans="1:11" ht="18.75" customHeight="1">
      <c r="A123" s="3035" t="s">
        <v>2320</v>
      </c>
      <c r="B123" s="3035"/>
      <c r="C123" s="3035"/>
      <c r="D123" s="3080" t="e">
        <f>NUMBERSTRING(INT(D122*10000),2)&amp;"元整"</f>
        <v>#VALUE!</v>
      </c>
      <c r="E123" s="3082"/>
      <c r="F123" s="3082"/>
      <c r="G123" s="3082"/>
      <c r="H123" s="3082"/>
      <c r="I123" s="3081"/>
    </row>
    <row r="124" spans="1:11" ht="18.75" customHeight="1">
      <c r="A124" s="3086" t="str">
        <f>IF(项目基本情况!B9="房地产市场价值","",MID(E109,3,LEN(E109)-2))</f>
        <v>抵押担保权已注销时的房地产抵押价值</v>
      </c>
      <c r="B124" s="3086"/>
      <c r="C124" s="3086"/>
      <c r="D124" s="3075">
        <f ca="1">H109</f>
        <v>3548</v>
      </c>
      <c r="E124" s="3076"/>
      <c r="F124" s="3076"/>
      <c r="G124" s="3076"/>
      <c r="H124" s="3076"/>
      <c r="I124" s="3077"/>
    </row>
    <row r="125" spans="1:11" ht="18.75" customHeight="1">
      <c r="A125" s="3035" t="s">
        <v>2320</v>
      </c>
      <c r="B125" s="3035"/>
      <c r="C125" s="3035"/>
      <c r="D125" s="3080" t="str">
        <f ca="1">NUMBERSTRING(INT(D124*10000),2)&amp;"元整"</f>
        <v>叁仟伍佰肆拾捌万元整</v>
      </c>
      <c r="E125" s="3082"/>
      <c r="F125" s="3082"/>
      <c r="G125" s="3082"/>
      <c r="H125" s="3082"/>
      <c r="I125" s="3081"/>
    </row>
    <row r="126" spans="1:11" ht="18.75" customHeight="1">
      <c r="A126" s="3086" t="str">
        <f>IF(项目基本情况!B9="房地产市场价值","",MID(E111,3,LEN(E111)-2))</f>
        <v/>
      </c>
      <c r="B126" s="3086"/>
      <c r="C126" s="3086"/>
      <c r="D126" s="3075" t="str">
        <f>H111</f>
        <v>——</v>
      </c>
      <c r="E126" s="3076"/>
      <c r="F126" s="3076"/>
      <c r="G126" s="3076"/>
      <c r="H126" s="3076"/>
      <c r="I126" s="3077"/>
    </row>
    <row r="127" spans="1:11" ht="18.75" customHeight="1">
      <c r="A127" s="3035" t="s">
        <v>2320</v>
      </c>
      <c r="B127" s="3035"/>
      <c r="C127" s="3035"/>
      <c r="D127" s="3080" t="e">
        <f>NUMBERSTRING(INT(D126*10000),2)&amp;"元整"</f>
        <v>#VALUE!</v>
      </c>
      <c r="E127" s="3082"/>
      <c r="F127" s="3082"/>
      <c r="G127" s="3082"/>
      <c r="H127" s="3082"/>
      <c r="I127" s="3081"/>
    </row>
    <row r="128" spans="1:11" ht="21.75" customHeight="1">
      <c r="A128" s="3083" t="s">
        <v>2321</v>
      </c>
      <c r="B128" s="3083"/>
      <c r="C128" s="3083"/>
      <c r="D128" s="3083"/>
      <c r="E128" s="3083"/>
      <c r="F128" s="3083"/>
      <c r="G128" s="3083"/>
      <c r="H128" s="3083"/>
      <c r="I128" s="3083"/>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0"/>
      <c r="C1" s="243"/>
      <c r="D1" s="243"/>
      <c r="E1" s="243"/>
      <c r="F1" s="243"/>
      <c r="G1" s="1382">
        <f>MATCH(B1,'数据-取费表'!A6:A16,0)+5</f>
        <v>7</v>
      </c>
    </row>
    <row r="2" spans="1:9" s="245" customFormat="1" ht="18" customHeight="1">
      <c r="A2" s="246" t="s">
        <v>2330</v>
      </c>
      <c r="B2" s="247">
        <f ca="1">IF(D2="——",C52,C52-E2)</f>
        <v>700</v>
      </c>
      <c r="C2" s="244" t="s">
        <v>2331</v>
      </c>
      <c r="D2" s="2550" t="s">
        <v>70</v>
      </c>
      <c r="E2" s="1443"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15709</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C6+C7+C8</f>
        <v>0</v>
      </c>
      <c r="D5" s="256" t="s">
        <v>2337</v>
      </c>
      <c r="E5" s="257" t="s">
        <v>2338</v>
      </c>
      <c r="F5" s="257" t="s">
        <v>2339</v>
      </c>
      <c r="G5" s="258"/>
    </row>
    <row r="6" spans="1:9" s="259" customFormat="1" ht="13.5" customHeight="1">
      <c r="A6" s="953" t="s">
        <v>2340</v>
      </c>
      <c r="B6" s="260" t="s">
        <v>2341</v>
      </c>
      <c r="C6" s="261"/>
      <c r="D6" s="262"/>
      <c r="E6" s="263"/>
      <c r="F6" s="263"/>
      <c r="G6" s="264"/>
    </row>
    <row r="7" spans="1:9" s="259" customFormat="1" ht="13.5" customHeight="1">
      <c r="A7" s="953" t="s">
        <v>2342</v>
      </c>
      <c r="B7" s="260" t="s">
        <v>2343</v>
      </c>
      <c r="C7" s="265">
        <f>ROUND(C6*F7,0)</f>
        <v>0</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row>
    <row r="9" spans="1:9" s="259" customFormat="1" ht="13.5" customHeight="1">
      <c r="A9" s="954" t="s">
        <v>800</v>
      </c>
      <c r="B9" s="269" t="s">
        <v>2346</v>
      </c>
      <c r="C9" s="270">
        <f ca="1">ROUND(D9*E9/10000,0)</f>
        <v>9</v>
      </c>
      <c r="D9" s="1036">
        <f ca="1">IF(B1="",'数据-汇总表'!E5,IF(INDIRECT("'数据-取费表'!c"&amp;$G$1)="住宅",INDIRECT("'数据-取费表'!k"&amp;$G$1),0))</f>
        <v>445.61</v>
      </c>
      <c r="E9" s="270">
        <f>'数据-取费表'!B27</f>
        <v>200</v>
      </c>
      <c r="F9" s="266"/>
      <c r="G9" s="2554"/>
      <c r="H9" s="1393"/>
      <c r="I9" s="2555" t="s">
        <v>2347</v>
      </c>
    </row>
    <row r="10" spans="1:9" s="259" customFormat="1" ht="13.5" customHeight="1">
      <c r="A10" s="954" t="s">
        <v>801</v>
      </c>
      <c r="B10" s="269" t="s">
        <v>2348</v>
      </c>
      <c r="C10" s="270">
        <f ca="1">ROUND(D10*E10/10000,0)</f>
        <v>0</v>
      </c>
      <c r="D10" s="1036">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f ca="1">IF(G19="已包含在土地取得成本中","0",ROUND(D19*E19/10000,0))</f>
        <v>9</v>
      </c>
      <c r="D19" s="1040">
        <f ca="1">D9+D10</f>
        <v>445.61</v>
      </c>
      <c r="E19" s="256">
        <f>'数据-取费表'!B31</f>
        <v>200</v>
      </c>
      <c r="F19" s="276"/>
      <c r="G19" s="2553"/>
    </row>
    <row r="20" spans="1:7" s="259" customFormat="1" ht="13.5" customHeight="1">
      <c r="A20" s="300" t="s">
        <v>2361</v>
      </c>
      <c r="B20" s="255" t="s">
        <v>2362</v>
      </c>
      <c r="C20" s="277">
        <f ca="1">ROUND((C5+C19)*F20,0)</f>
        <v>0</v>
      </c>
      <c r="D20" s="277"/>
      <c r="E20" s="277"/>
      <c r="F20" s="278">
        <f>'数据-取费表'!B37</f>
        <v>0.03</v>
      </c>
      <c r="G20" s="279" t="s">
        <v>2363</v>
      </c>
    </row>
    <row r="21" spans="1:7" s="259" customFormat="1" ht="13.5" customHeight="1">
      <c r="A21" s="300" t="s">
        <v>2364</v>
      </c>
      <c r="B21" s="255" t="s">
        <v>2365</v>
      </c>
      <c r="C21" s="280">
        <f>F21</f>
        <v>0.03</v>
      </c>
      <c r="D21" s="281" t="s">
        <v>2366</v>
      </c>
      <c r="E21" s="277"/>
      <c r="F21" s="278">
        <f>'数据-取费表'!B38</f>
        <v>0.03</v>
      </c>
      <c r="G21" s="279" t="s">
        <v>2367</v>
      </c>
    </row>
    <row r="22" spans="1:7" s="259" customFormat="1" ht="13.5" customHeight="1">
      <c r="A22" s="300" t="s">
        <v>2368</v>
      </c>
      <c r="B22" s="255" t="s">
        <v>2369</v>
      </c>
      <c r="C22" s="1357">
        <f ca="1">ROUND(SUM(C23:C25),0)</f>
        <v>1</v>
      </c>
      <c r="D22" s="280">
        <f ca="1">C26</f>
        <v>1.4E-3</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8">
        <f ca="1">ROUND(IF('数据-取费表'!B22&lt;=1,C5*F22*'数据-取费表'!B23,C5*(POWER((1+F22),'数据-取费表'!B23)-1)),0)</f>
        <v>0</v>
      </c>
      <c r="D23" s="283"/>
      <c r="E23" s="283"/>
      <c r="F23" s="284"/>
      <c r="G23" s="285" t="s">
        <v>2372</v>
      </c>
    </row>
    <row r="24" spans="1:7" s="259" customFormat="1" ht="13.5" customHeight="1">
      <c r="A24" s="955" t="s">
        <v>2373</v>
      </c>
      <c r="B24" s="260" t="s">
        <v>2374</v>
      </c>
      <c r="C24" s="1358">
        <f ca="1">ROUND(IF('数据-取费表'!B22&lt;=1,C19*F22*('数据-取费表'!B19/2+'数据-取费表'!B21),C19*(POWER((1+F22),('数据-取费表'!B19/2+'数据-取费表'!B21))-1)),0)</f>
        <v>1</v>
      </c>
      <c r="D24" s="283"/>
      <c r="E24" s="283"/>
      <c r="F24" s="284"/>
      <c r="G24" s="285" t="s">
        <v>2375</v>
      </c>
    </row>
    <row r="25" spans="1:7" s="259" customFormat="1" ht="24">
      <c r="A25" s="955" t="s">
        <v>2376</v>
      </c>
      <c r="B25" s="260" t="s">
        <v>2377</v>
      </c>
      <c r="C25" s="1358">
        <f ca="1">ROUND(IF('数据-取费表'!B22&lt;=1,C20*F22*'数据-取费表'!B23/2,C20*(POWER((1+F22),'数据-取费表'!B23/2)-1)),0)</f>
        <v>0</v>
      </c>
      <c r="D25" s="283"/>
      <c r="E25" s="286"/>
      <c r="F25" s="284"/>
      <c r="G25" s="287" t="s">
        <v>2378</v>
      </c>
    </row>
    <row r="26" spans="1:7" s="259" customFormat="1">
      <c r="A26" s="955" t="s">
        <v>795</v>
      </c>
      <c r="B26" s="260" t="s">
        <v>2379</v>
      </c>
      <c r="C26" s="283">
        <f ca="1">ROUND(IF('数据-取费表'!B22&lt;=1,F21*F22*'数据-取费表'!B23/2,F21*(POWER((1+F22),'数据-取费表'!B23/2)-1)),4)</f>
        <v>1.4E-3</v>
      </c>
      <c r="D26" s="283"/>
      <c r="E26" s="286"/>
      <c r="F26" s="284"/>
      <c r="G26" s="288"/>
    </row>
    <row r="27" spans="1:7" s="259" customFormat="1" ht="24.75">
      <c r="A27" s="300" t="s">
        <v>2380</v>
      </c>
      <c r="B27" s="289" t="s">
        <v>2381</v>
      </c>
      <c r="C27" s="290">
        <f ca="1">C28</f>
        <v>3</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ROUND((C5+C19+C20)*F27*'数据-取费表'!B21/'数据-取费表'!B20,0)</f>
        <v>3</v>
      </c>
      <c r="D28" s="280"/>
      <c r="E28" s="281"/>
      <c r="F28" s="291"/>
      <c r="G28" s="292"/>
    </row>
    <row r="29" spans="1:7" s="259" customFormat="1" ht="13.5" customHeight="1">
      <c r="A29" s="955" t="s">
        <v>792</v>
      </c>
      <c r="B29" s="293" t="s">
        <v>2385</v>
      </c>
      <c r="C29" s="283">
        <f ca="1">ROUND(C21*F27*'数据-取费表'!B21/'数据-取费表'!B20,4)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14</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497</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446</v>
      </c>
      <c r="D34" s="262"/>
      <c r="E34" s="265"/>
      <c r="F34" s="302">
        <f ca="1">IF('数据-取费表'!B24=0,1,IF(B1="",'数据-取费表'!N16,INDIRECT("'数据-取费表'!n"&amp;$G$1)))</f>
        <v>1</v>
      </c>
      <c r="G34" s="264" t="s">
        <v>2394</v>
      </c>
    </row>
    <row r="35" spans="1:7" ht="13.5" customHeight="1">
      <c r="A35" s="955" t="s">
        <v>796</v>
      </c>
      <c r="B35" s="260" t="s">
        <v>2395</v>
      </c>
      <c r="C35" s="265">
        <f ca="1">ROUND(C34*F35,0)</f>
        <v>13</v>
      </c>
      <c r="D35" s="265"/>
      <c r="E35" s="265"/>
      <c r="F35" s="304">
        <f>'数据-取费表'!B33</f>
        <v>0.03</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22</v>
      </c>
      <c r="D36" s="265"/>
      <c r="E36" s="265"/>
      <c r="F36" s="304">
        <f>'数据-取费表'!B34</f>
        <v>0.05</v>
      </c>
      <c r="G36" s="305" t="s">
        <v>2398</v>
      </c>
    </row>
    <row r="37" spans="1:7" s="303" customFormat="1" ht="13.5" customHeight="1">
      <c r="A37" s="955" t="s">
        <v>798</v>
      </c>
      <c r="B37" s="260" t="s">
        <v>2399</v>
      </c>
      <c r="C37" s="294">
        <f ca="1">ROUND(E37*D37*F34/10000,0)</f>
        <v>9</v>
      </c>
      <c r="D37" s="262">
        <f ca="1">D19</f>
        <v>445.61</v>
      </c>
      <c r="E37" s="294">
        <f>'数据-取费表'!B35</f>
        <v>200</v>
      </c>
      <c r="F37" s="304"/>
      <c r="G37" s="306" t="s">
        <v>2400</v>
      </c>
    </row>
    <row r="38" spans="1:7" ht="13.5" customHeight="1">
      <c r="A38" s="955" t="s">
        <v>799</v>
      </c>
      <c r="B38" s="260" t="s">
        <v>2401</v>
      </c>
      <c r="C38" s="265">
        <f ca="1">ROUND(C34*F38,0)</f>
        <v>7</v>
      </c>
      <c r="D38" s="265"/>
      <c r="E38" s="265"/>
      <c r="F38" s="304">
        <f>'数据-取费表'!B36</f>
        <v>1.4999999999999999E-2</v>
      </c>
      <c r="G38" s="264" t="s">
        <v>2396</v>
      </c>
    </row>
    <row r="39" spans="1:7" s="259" customFormat="1" ht="13.5" customHeight="1">
      <c r="A39" s="300" t="s">
        <v>2402</v>
      </c>
      <c r="B39" s="255" t="s">
        <v>2403</v>
      </c>
      <c r="C39" s="277">
        <f ca="1">ROUND(C33*F20,0)</f>
        <v>15</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25</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24</v>
      </c>
      <c r="D42" s="283"/>
      <c r="E42" s="283"/>
      <c r="F42" s="284"/>
      <c r="G42" s="3155" t="s">
        <v>2412</v>
      </c>
    </row>
    <row r="43" spans="1:7" ht="13.5" customHeight="1">
      <c r="A43" s="955" t="s">
        <v>792</v>
      </c>
      <c r="B43" s="260" t="s">
        <v>2413</v>
      </c>
      <c r="C43" s="283">
        <f ca="1">ROUND(IF('数据-取费表'!B22&lt;=1,C39*F22*'数据-取费表'!B21/2,C39*(POWER((1+F22),'数据-取费表'!B21/2)-1)),0)</f>
        <v>1</v>
      </c>
      <c r="D43" s="283"/>
      <c r="E43" s="283"/>
      <c r="F43" s="284"/>
      <c r="G43" s="3156"/>
    </row>
    <row r="44" spans="1:7" ht="13.5" customHeight="1">
      <c r="A44" s="955" t="s">
        <v>793</v>
      </c>
      <c r="B44" s="260" t="s">
        <v>2414</v>
      </c>
      <c r="C44" s="283">
        <f ca="1">ROUND(IF('数据-取费表'!B22&lt;=1,C40*F22*'数据-取费表'!B21/2,C40*(POWER((1+F22),'数据-取费表'!B21/2)-1)),4)</f>
        <v>1.4E-3</v>
      </c>
      <c r="D44" s="283"/>
      <c r="E44" s="283"/>
      <c r="F44" s="284"/>
      <c r="G44" s="3157"/>
    </row>
    <row r="45" spans="1:7" s="259" customFormat="1" ht="13.5" customHeight="1">
      <c r="A45" s="300" t="s">
        <v>2415</v>
      </c>
      <c r="B45" s="289" t="s">
        <v>2381</v>
      </c>
      <c r="C45" s="290">
        <f ca="1">C46</f>
        <v>154</v>
      </c>
      <c r="D45" s="280">
        <f ca="1">C47</f>
        <v>8.9999999999999993E-3</v>
      </c>
      <c r="E45" s="281" t="s">
        <v>2407</v>
      </c>
      <c r="F45" s="291"/>
      <c r="G45" s="292" t="s">
        <v>2416</v>
      </c>
    </row>
    <row r="46" spans="1:7" s="259" customFormat="1" ht="13.5" customHeight="1">
      <c r="A46" s="955" t="s">
        <v>791</v>
      </c>
      <c r="B46" s="293" t="s">
        <v>2417</v>
      </c>
      <c r="C46" s="294">
        <f ca="1">ROUND((C33+C39)*F27,0)</f>
        <v>154</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1732">
        <f>ROUND(F30/(1+'数据-取费表'!C42),4)</f>
        <v>5.33E-2</v>
      </c>
      <c r="D48" s="281" t="s">
        <v>2407</v>
      </c>
      <c r="E48" s="277"/>
      <c r="F48" s="282"/>
      <c r="G48" s="279" t="s">
        <v>2420</v>
      </c>
    </row>
    <row r="49" spans="1:7" ht="16.5" customHeight="1">
      <c r="A49" s="300" t="s">
        <v>2386</v>
      </c>
      <c r="B49" s="255" t="s">
        <v>2421</v>
      </c>
      <c r="C49" s="277">
        <f ca="1">ROUND((C33+C39+C41+C45)/(1-C40-D41-D45-C48),0)</f>
        <v>762</v>
      </c>
      <c r="D49" s="277"/>
      <c r="E49" s="277"/>
      <c r="F49" s="309"/>
      <c r="G49" s="279" t="s">
        <v>2422</v>
      </c>
    </row>
    <row r="50" spans="1:7" s="303" customFormat="1" ht="24">
      <c r="A50" s="300" t="s">
        <v>2423</v>
      </c>
      <c r="B50" s="255" t="s">
        <v>2424</v>
      </c>
      <c r="C50" s="277"/>
      <c r="D50" s="277"/>
      <c r="E50" s="277"/>
      <c r="F50" s="309">
        <f>IF('数据-取费表'!B24=0,'数据-取费表'!N16,1)</f>
        <v>0.9</v>
      </c>
      <c r="G50" s="292" t="s">
        <v>2425</v>
      </c>
    </row>
    <row r="51" spans="1:7" ht="16.5" customHeight="1">
      <c r="A51" s="300" t="s">
        <v>2426</v>
      </c>
      <c r="B51" s="255" t="s">
        <v>2427</v>
      </c>
      <c r="C51" s="277">
        <f ca="1">ROUND(C49*F50,0)</f>
        <v>686</v>
      </c>
      <c r="D51" s="277"/>
      <c r="E51" s="277"/>
      <c r="F51" s="309"/>
      <c r="G51" s="279" t="s">
        <v>2428</v>
      </c>
    </row>
    <row r="52" spans="1:7" s="253" customFormat="1" ht="16.5" thickBot="1">
      <c r="A52" s="310" t="s">
        <v>2429</v>
      </c>
      <c r="B52" s="311"/>
      <c r="C52" s="312">
        <f ca="1">C31+C51</f>
        <v>700</v>
      </c>
      <c r="D52" s="311"/>
      <c r="E52" s="311"/>
      <c r="F52" s="311"/>
      <c r="G52" s="313"/>
    </row>
    <row r="55" spans="1:7" ht="15">
      <c r="B55" s="315" t="s">
        <v>2430</v>
      </c>
      <c r="C55" s="316"/>
    </row>
    <row r="56" spans="1:7">
      <c r="B56" s="318" t="s">
        <v>1515</v>
      </c>
      <c r="C56" s="320">
        <f ca="1">1-C57</f>
        <v>2.0000000000000018E-2</v>
      </c>
    </row>
    <row r="57" spans="1:7">
      <c r="B57" s="318" t="s">
        <v>1516</v>
      </c>
      <c r="C57" s="319">
        <f ca="1">ROUND(C51/C52,3)</f>
        <v>0.98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9" t="str">
        <f>项目基本情况!B1</f>
        <v>北京市朝阳区霄云路8号院房地产抵押价值预评估</v>
      </c>
      <c r="C37" s="2969"/>
      <c r="D37" s="2969"/>
      <c r="E37" s="2969"/>
      <c r="F37" s="2969"/>
      <c r="G37" s="2969"/>
      <c r="H37" s="2969"/>
      <c r="I37" s="2969"/>
    </row>
    <row r="38" spans="1:9">
      <c r="A38" s="1020"/>
      <c r="B38" s="1020"/>
    </row>
    <row r="39" spans="1:9">
      <c r="A39" s="1018" t="s">
        <v>818</v>
      </c>
      <c r="B39" s="1018" t="s">
        <v>820</v>
      </c>
    </row>
    <row r="40" spans="1:9">
      <c r="A40" s="1018"/>
      <c r="B40" s="1945" t="str">
        <f>项目基本情况!B5</f>
        <v>北京新京润房地产有限公司</v>
      </c>
    </row>
    <row r="41" spans="1:9">
      <c r="A41" s="1018"/>
      <c r="B41" s="1018"/>
    </row>
    <row r="42" spans="1:9">
      <c r="A42" s="1018" t="s">
        <v>818</v>
      </c>
      <c r="B42" s="1018" t="s">
        <v>821</v>
      </c>
    </row>
    <row r="43" spans="1:9">
      <c r="A43" s="1018"/>
      <c r="B43" s="1945" t="s">
        <v>822</v>
      </c>
    </row>
    <row r="44" spans="1:9">
      <c r="A44" s="1018"/>
      <c r="B44" s="1018"/>
    </row>
    <row r="45" spans="1:9">
      <c r="A45" s="1018" t="s">
        <v>818</v>
      </c>
      <c r="B45" s="1018" t="s">
        <v>823</v>
      </c>
    </row>
    <row r="46" spans="1:9" s="1018" customFormat="1" ht="12.75">
      <c r="B46" s="1945" t="str">
        <f ca="1">项目基本情况!K4</f>
        <v>欧红伟（注册号：1120000080)、梁津（注册号：1119970066)</v>
      </c>
    </row>
    <row r="47" spans="1:9">
      <c r="A47" s="1018"/>
      <c r="B47" s="1018" t="str">
        <f>项目基本情况!K5</f>
        <v/>
      </c>
    </row>
    <row r="48" spans="1:9">
      <c r="A48" s="1018" t="s">
        <v>818</v>
      </c>
      <c r="B48" s="1018"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0"/>
      <c r="C1" s="2556" t="s">
        <v>2431</v>
      </c>
      <c r="D1" s="243"/>
      <c r="E1" s="243"/>
      <c r="F1" s="243"/>
      <c r="G1" s="1382">
        <f>MATCH(B1,'数据-取费表'!A6:A16,0)+5</f>
        <v>7</v>
      </c>
      <c r="H1" s="1285" t="str">
        <f>IF(ISERROR(FIND("住宅",B1)),"非住宅","住宅")</f>
        <v>非住宅</v>
      </c>
    </row>
    <row r="2" spans="1:8" s="245" customFormat="1" ht="18" customHeight="1">
      <c r="A2" s="246" t="s">
        <v>2330</v>
      </c>
      <c r="B2" s="247">
        <f ca="1">ROUND(IF(D2="——",C52/10000,C52/10000-E2),0)</f>
        <v>713</v>
      </c>
      <c r="C2" s="244" t="s">
        <v>2331</v>
      </c>
      <c r="D2" s="2550" t="s">
        <v>70</v>
      </c>
      <c r="E2" s="1443"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16001</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89122</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89122</v>
      </c>
      <c r="D8" s="267"/>
      <c r="E8" s="265"/>
      <c r="F8" s="266"/>
      <c r="G8" s="2553"/>
    </row>
    <row r="9" spans="1:8" s="259" customFormat="1" ht="13.5" customHeight="1">
      <c r="A9" s="954" t="s">
        <v>800</v>
      </c>
      <c r="B9" s="269" t="s">
        <v>2346</v>
      </c>
      <c r="C9" s="270">
        <f ca="1">ROUND(D9*E9,0)</f>
        <v>89122</v>
      </c>
      <c r="D9" s="1036">
        <f ca="1">IF(B1="",'数据-汇总表'!E5,IF(INDIRECT("'数据-取费表'!c"&amp;$G$1)="住宅",INDIRECT("'数据-取费表'!k"&amp;$G$1),0))</f>
        <v>445.61</v>
      </c>
      <c r="E9" s="270">
        <f>'数据-取费表'!B27</f>
        <v>200</v>
      </c>
      <c r="F9" s="266"/>
      <c r="G9" s="271"/>
    </row>
    <row r="10" spans="1:8" s="259" customFormat="1" ht="13.5" customHeight="1">
      <c r="A10" s="954" t="s">
        <v>801</v>
      </c>
      <c r="B10" s="269" t="s">
        <v>2348</v>
      </c>
      <c r="C10" s="270">
        <f ca="1">ROUND(D10*E10,0)</f>
        <v>0</v>
      </c>
      <c r="D10" s="1036">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89122</v>
      </c>
      <c r="D19" s="1040">
        <f ca="1">D9+D10</f>
        <v>445.61</v>
      </c>
      <c r="E19" s="256">
        <f>'数据-取费表'!B31</f>
        <v>200</v>
      </c>
      <c r="F19" s="276"/>
      <c r="G19" s="2553"/>
    </row>
    <row r="20" spans="1:7" s="259" customFormat="1" ht="13.5" customHeight="1">
      <c r="A20" s="300" t="s">
        <v>2442</v>
      </c>
      <c r="B20" s="255" t="s">
        <v>2443</v>
      </c>
      <c r="C20" s="277">
        <f ca="1">ROUND((C5+C19)*F20,0)</f>
        <v>5347</v>
      </c>
      <c r="D20" s="277"/>
      <c r="E20" s="277"/>
      <c r="F20" s="278">
        <f>'数据-取费表'!B37</f>
        <v>0.03</v>
      </c>
      <c r="G20" s="279" t="s">
        <v>2444</v>
      </c>
    </row>
    <row r="21" spans="1:7" s="259" customFormat="1" ht="13.5" customHeight="1">
      <c r="A21" s="300" t="s">
        <v>2445</v>
      </c>
      <c r="B21" s="255" t="s">
        <v>2446</v>
      </c>
      <c r="C21" s="280">
        <f>F21</f>
        <v>0.03</v>
      </c>
      <c r="D21" s="281" t="s">
        <v>2447</v>
      </c>
      <c r="E21" s="277"/>
      <c r="F21" s="278">
        <f>'数据-取费表'!B38</f>
        <v>0.03</v>
      </c>
      <c r="G21" s="279" t="s">
        <v>2448</v>
      </c>
    </row>
    <row r="22" spans="1:7" s="259" customFormat="1" ht="13.5" customHeight="1">
      <c r="A22" s="300" t="s">
        <v>2449</v>
      </c>
      <c r="B22" s="255" t="s">
        <v>2450</v>
      </c>
      <c r="C22" s="1383">
        <f ca="1">ROUND(SUM(C23:C25),0)</f>
        <v>17590</v>
      </c>
      <c r="D22" s="280">
        <f ca="1">C26</f>
        <v>1.4E-3</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4">
        <f ca="1">ROUND(IF('数据-取费表'!B22&lt;=1,C5*F22*'数据-取费表'!B22,C5*(POWER((1+F22),'数据-取费表'!B22)-1)),0)</f>
        <v>8668</v>
      </c>
      <c r="D23" s="283"/>
      <c r="E23" s="283"/>
      <c r="F23" s="284"/>
      <c r="G23" s="285" t="s">
        <v>2452</v>
      </c>
    </row>
    <row r="24" spans="1:7" s="259" customFormat="1" ht="13.5" customHeight="1">
      <c r="A24" s="955" t="s">
        <v>2342</v>
      </c>
      <c r="B24" s="260" t="s">
        <v>2453</v>
      </c>
      <c r="C24" s="1384">
        <f ca="1">ROUND(IF('数据-取费表'!B22&lt;=1,C19*F22*('数据-取费表'!B19/2+'数据-取费表'!B20),C19*(POWER((1+F22),('数据-取费表'!B19/2+'数据-取费表'!B20))-1)),0)</f>
        <v>8668</v>
      </c>
      <c r="D24" s="283"/>
      <c r="E24" s="283"/>
      <c r="F24" s="284"/>
      <c r="G24" s="285" t="s">
        <v>2454</v>
      </c>
    </row>
    <row r="25" spans="1:7" s="259" customFormat="1" ht="24">
      <c r="A25" s="955" t="s">
        <v>2344</v>
      </c>
      <c r="B25" s="260" t="s">
        <v>2455</v>
      </c>
      <c r="C25" s="1384">
        <f ca="1">ROUND(IF('数据-取费表'!B22&lt;=1,C20*F22*'数据-取费表'!B22/2,C20*(POWER((1+F22),'数据-取费表'!B22/2)-1)),0)</f>
        <v>254</v>
      </c>
      <c r="D25" s="283"/>
      <c r="E25" s="286"/>
      <c r="F25" s="284"/>
      <c r="G25" s="287" t="s">
        <v>2456</v>
      </c>
    </row>
    <row r="26" spans="1:7" s="259" customFormat="1">
      <c r="A26" s="955" t="s">
        <v>795</v>
      </c>
      <c r="B26" s="260" t="s">
        <v>2379</v>
      </c>
      <c r="C26" s="283">
        <f ca="1">ROUND(IF('数据-取费表'!B22&lt;=1,F21*F22*'数据-取费表'!B22/2,F21*(POWER((1+F22),'数据-取费表'!B22/2)-1)),4)</f>
        <v>1.4E-3</v>
      </c>
      <c r="D26" s="283"/>
      <c r="E26" s="286"/>
      <c r="F26" s="284"/>
      <c r="G26" s="288"/>
    </row>
    <row r="27" spans="1:7" s="259" customFormat="1" ht="24.75">
      <c r="A27" s="300" t="s">
        <v>2380</v>
      </c>
      <c r="B27" s="289" t="s">
        <v>2381</v>
      </c>
      <c r="C27" s="290">
        <f ca="1">C28</f>
        <v>55077</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ROUND((C5+C19+C20)*F27,0)</f>
        <v>55077</v>
      </c>
      <c r="D28" s="280"/>
      <c r="E28" s="281"/>
      <c r="F28" s="291"/>
      <c r="G28" s="292"/>
    </row>
    <row r="29" spans="1:7" s="259" customFormat="1" ht="13.5" customHeight="1">
      <c r="A29" s="955" t="s">
        <v>792</v>
      </c>
      <c r="B29" s="293" t="s">
        <v>2385</v>
      </c>
      <c r="C29" s="283">
        <f ca="1">ROUND(C21*F27,4)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282752</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4968552</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4456100</v>
      </c>
      <c r="D34" s="262"/>
      <c r="E34" s="265"/>
      <c r="F34" s="302"/>
      <c r="G34" s="264"/>
    </row>
    <row r="35" spans="1:7" ht="13.5" customHeight="1">
      <c r="A35" s="955" t="s">
        <v>796</v>
      </c>
      <c r="B35" s="260" t="s">
        <v>2395</v>
      </c>
      <c r="C35" s="265">
        <f ca="1">ROUND(C34*F35,0)</f>
        <v>133683</v>
      </c>
      <c r="D35" s="265"/>
      <c r="E35" s="265"/>
      <c r="F35" s="304">
        <f>'数据-取费表'!B33</f>
        <v>0.03</v>
      </c>
      <c r="G35" s="264" t="s">
        <v>2396</v>
      </c>
    </row>
    <row r="36" spans="1:7" ht="24">
      <c r="A36" s="955" t="s">
        <v>797</v>
      </c>
      <c r="B36" s="260" t="s">
        <v>2397</v>
      </c>
      <c r="C36" s="265">
        <f ca="1">ROUND(IF(B1="",SUM('数据-取费表'!AP6:AP13)*F36,IF(INDIRECT("'数据-取费表'!c"&amp;$G$1)="住宅",INDIRECT("'数据-取费表'!k"&amp;$G$1)*INDIRECT("'数据-取费表'!l"&amp;$G$1)*F36,0)),0)</f>
        <v>222805</v>
      </c>
      <c r="D36" s="265"/>
      <c r="E36" s="265"/>
      <c r="F36" s="304">
        <f>'数据-取费表'!B34</f>
        <v>0.05</v>
      </c>
      <c r="G36" s="305" t="s">
        <v>2398</v>
      </c>
    </row>
    <row r="37" spans="1:7" s="303" customFormat="1" ht="13.5" customHeight="1">
      <c r="A37" s="955" t="s">
        <v>798</v>
      </c>
      <c r="B37" s="260" t="s">
        <v>2399</v>
      </c>
      <c r="C37" s="294">
        <f ca="1">ROUND(E37*D37,0)</f>
        <v>89122</v>
      </c>
      <c r="D37" s="262">
        <f ca="1">D19</f>
        <v>445.61</v>
      </c>
      <c r="E37" s="294">
        <f>'数据-取费表'!B35</f>
        <v>200</v>
      </c>
      <c r="F37" s="304"/>
      <c r="G37" s="306"/>
    </row>
    <row r="38" spans="1:7" ht="13.5" customHeight="1">
      <c r="A38" s="955" t="s">
        <v>799</v>
      </c>
      <c r="B38" s="260" t="s">
        <v>2401</v>
      </c>
      <c r="C38" s="265">
        <f ca="1">ROUND(C34*F38,0)</f>
        <v>66842</v>
      </c>
      <c r="D38" s="265"/>
      <c r="E38" s="265"/>
      <c r="F38" s="304">
        <f>'数据-取费表'!B36</f>
        <v>1.4999999999999999E-2</v>
      </c>
      <c r="G38" s="264" t="s">
        <v>2396</v>
      </c>
    </row>
    <row r="39" spans="1:7" s="259" customFormat="1" ht="13.5" customHeight="1">
      <c r="A39" s="300" t="s">
        <v>2402</v>
      </c>
      <c r="B39" s="255" t="s">
        <v>2403</v>
      </c>
      <c r="C39" s="277">
        <f ca="1">ROUND(C33*F20,0)</f>
        <v>149057</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243086</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236006</v>
      </c>
      <c r="D42" s="283"/>
      <c r="E42" s="283"/>
      <c r="F42" s="284"/>
      <c r="G42" s="3155" t="s">
        <v>2459</v>
      </c>
    </row>
    <row r="43" spans="1:7" ht="13.5" customHeight="1">
      <c r="A43" s="955" t="s">
        <v>792</v>
      </c>
      <c r="B43" s="260" t="s">
        <v>2413</v>
      </c>
      <c r="C43" s="283">
        <f ca="1">ROUND(IF('数据-取费表'!B22&lt;=1,C39*F22*'数据-取费表'!B20/2,C39*(POWER((1+F22),'数据-取费表'!B20/2)-1)),0)</f>
        <v>7080</v>
      </c>
      <c r="D43" s="283"/>
      <c r="E43" s="283"/>
      <c r="F43" s="284"/>
      <c r="G43" s="3156"/>
    </row>
    <row r="44" spans="1:7" ht="13.5" customHeight="1">
      <c r="A44" s="955" t="s">
        <v>793</v>
      </c>
      <c r="B44" s="260" t="s">
        <v>2414</v>
      </c>
      <c r="C44" s="283">
        <f ca="1">ROUND(IF('数据-取费表'!B22&lt;=1,C40*F22*'数据-取费表'!B20/2,C40*(POWER((1+F22),'数据-取费表'!B20/2)-1)),4)</f>
        <v>1.4E-3</v>
      </c>
      <c r="D44" s="283"/>
      <c r="E44" s="283"/>
      <c r="F44" s="284"/>
      <c r="G44" s="3157"/>
    </row>
    <row r="45" spans="1:7" s="259" customFormat="1" ht="13.5" customHeight="1">
      <c r="A45" s="300" t="s">
        <v>2415</v>
      </c>
      <c r="B45" s="289" t="s">
        <v>2381</v>
      </c>
      <c r="C45" s="290">
        <f ca="1">C46</f>
        <v>1535283</v>
      </c>
      <c r="D45" s="280">
        <f ca="1">C47</f>
        <v>8.9999999999999993E-3</v>
      </c>
      <c r="E45" s="281" t="s">
        <v>2407</v>
      </c>
      <c r="F45" s="291"/>
      <c r="G45" s="292" t="s">
        <v>2416</v>
      </c>
    </row>
    <row r="46" spans="1:7" s="259" customFormat="1" ht="13.5" customHeight="1">
      <c r="A46" s="955" t="s">
        <v>791</v>
      </c>
      <c r="B46" s="293" t="s">
        <v>2417</v>
      </c>
      <c r="C46" s="294">
        <f ca="1">ROUND((C33+C39)*F27,0)</f>
        <v>1535283</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7608935</v>
      </c>
      <c r="D49" s="277"/>
      <c r="E49" s="277"/>
      <c r="F49" s="309"/>
      <c r="G49" s="279" t="s">
        <v>2422</v>
      </c>
    </row>
    <row r="50" spans="1:7" s="303" customFormat="1">
      <c r="A50" s="300" t="s">
        <v>2423</v>
      </c>
      <c r="B50" s="255" t="s">
        <v>2424</v>
      </c>
      <c r="C50" s="277"/>
      <c r="D50" s="277"/>
      <c r="E50" s="277"/>
      <c r="F50" s="309">
        <f>IF('数据-取费表'!B24=0,'数据-取费表'!N16,1)</f>
        <v>0.9</v>
      </c>
      <c r="G50" s="292"/>
    </row>
    <row r="51" spans="1:7" ht="16.5" customHeight="1">
      <c r="A51" s="300" t="s">
        <v>2426</v>
      </c>
      <c r="B51" s="255" t="s">
        <v>2461</v>
      </c>
      <c r="C51" s="277">
        <f ca="1">ROUND(C49*F50,0)</f>
        <v>6848042</v>
      </c>
      <c r="D51" s="277"/>
      <c r="E51" s="277"/>
      <c r="F51" s="309"/>
      <c r="G51" s="279" t="s">
        <v>2428</v>
      </c>
    </row>
    <row r="52" spans="1:7" s="253" customFormat="1" ht="16.5" thickBot="1">
      <c r="A52" s="310" t="s">
        <v>2429</v>
      </c>
      <c r="B52" s="311"/>
      <c r="C52" s="312">
        <f ca="1">C31+C51</f>
        <v>7130794</v>
      </c>
      <c r="D52" s="311"/>
      <c r="E52" s="311"/>
      <c r="F52" s="311"/>
      <c r="G52" s="313"/>
    </row>
    <row r="55" spans="1:7" ht="15">
      <c r="B55" s="315" t="s">
        <v>2430</v>
      </c>
      <c r="C55" s="316"/>
    </row>
    <row r="56" spans="1:7">
      <c r="B56" s="318" t="s">
        <v>1515</v>
      </c>
      <c r="C56" s="320">
        <f ca="1">1-C57</f>
        <v>4.0000000000000036E-2</v>
      </c>
    </row>
    <row r="57" spans="1:7">
      <c r="B57" s="318" t="s">
        <v>1516</v>
      </c>
      <c r="C57" s="319">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5"/>
      <c r="C1" s="1586"/>
      <c r="D1" s="1584"/>
      <c r="E1" s="321"/>
      <c r="F1" s="321"/>
      <c r="G1" s="1585"/>
      <c r="H1" s="321"/>
      <c r="I1" s="321"/>
      <c r="J1" s="321"/>
      <c r="K1" s="321">
        <f>MATCH(C1,'数据-取费表'!A6:A16,0)+5</f>
        <v>7</v>
      </c>
    </row>
    <row r="2" spans="1:33" ht="18" customHeight="1">
      <c r="A2" s="246" t="s">
        <v>2330</v>
      </c>
      <c r="B2" s="249">
        <f ca="1">C32</f>
        <v>-12</v>
      </c>
      <c r="C2" s="321" t="s">
        <v>2463</v>
      </c>
      <c r="D2" s="321"/>
      <c r="E2" s="321"/>
      <c r="F2" s="321"/>
      <c r="G2" s="321"/>
      <c r="H2" s="321"/>
      <c r="I2" s="321"/>
      <c r="J2" s="321"/>
      <c r="K2" s="321"/>
    </row>
    <row r="3" spans="1:33" ht="18" customHeight="1" thickBot="1">
      <c r="A3" s="248" t="s">
        <v>2332</v>
      </c>
      <c r="B3" s="249">
        <f ca="1">ROUND(B2*10000/IF(C1="",'数据-汇总表'!E3,INDIRECT("'数据-取费表'!K"&amp;$K$1)),0)</f>
        <v>-269</v>
      </c>
      <c r="C3" s="321" t="s">
        <v>2464</v>
      </c>
      <c r="D3" s="321"/>
      <c r="E3" s="321"/>
      <c r="F3" s="321"/>
      <c r="G3" s="321"/>
      <c r="H3" s="321"/>
      <c r="I3" s="321"/>
      <c r="J3" s="321"/>
      <c r="K3" s="321"/>
    </row>
    <row r="4" spans="1:33" s="960" customFormat="1" ht="16.5" customHeight="1">
      <c r="A4" s="957" t="s">
        <v>2465</v>
      </c>
      <c r="B4" s="958"/>
      <c r="C4" s="1000">
        <f>SUM(C8:K8)</f>
        <v>0</v>
      </c>
      <c r="D4" s="958"/>
      <c r="E4" s="958"/>
      <c r="F4" s="958"/>
      <c r="G4" s="958"/>
      <c r="H4" s="958"/>
      <c r="I4" s="958"/>
      <c r="J4" s="958"/>
      <c r="K4" s="959"/>
    </row>
    <row r="5" spans="1:33" s="964" customFormat="1" ht="24.75">
      <c r="A5" s="961" t="s">
        <v>2466</v>
      </c>
      <c r="B5" s="962" t="s">
        <v>2467</v>
      </c>
      <c r="C5" s="2557" t="s">
        <v>2468</v>
      </c>
      <c r="D5" s="2557" t="s">
        <v>2469</v>
      </c>
      <c r="E5" s="2557" t="s">
        <v>2470</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2471</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2474</v>
      </c>
      <c r="B8" s="178" t="s">
        <v>2475</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2476</v>
      </c>
      <c r="B9" s="958"/>
      <c r="C9" s="958"/>
      <c r="D9" s="958"/>
      <c r="E9" s="958"/>
      <c r="F9" s="958"/>
      <c r="G9" s="958"/>
      <c r="H9" s="958"/>
      <c r="I9" s="958"/>
      <c r="J9" s="958"/>
      <c r="K9" s="959"/>
    </row>
    <row r="10" spans="1:33" s="974" customFormat="1" ht="13.5" customHeight="1">
      <c r="A10" s="961" t="s">
        <v>2477</v>
      </c>
      <c r="B10" s="8" t="s">
        <v>2478</v>
      </c>
      <c r="C10" s="970" t="s">
        <v>2479</v>
      </c>
      <c r="D10" s="971" t="s">
        <v>2480</v>
      </c>
      <c r="E10" s="971" t="s">
        <v>2481</v>
      </c>
      <c r="F10" s="971" t="s">
        <v>2482</v>
      </c>
      <c r="G10" s="8"/>
      <c r="H10" s="972"/>
      <c r="I10" s="972"/>
      <c r="J10" s="972"/>
      <c r="K10" s="973"/>
    </row>
    <row r="11" spans="1:33" s="979" customFormat="1" ht="13.5" customHeight="1">
      <c r="A11" s="975" t="s">
        <v>1335</v>
      </c>
      <c r="B11" s="976" t="s">
        <v>2483</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2484</v>
      </c>
      <c r="C12" s="24">
        <f ca="1">ROUND(C11*F12,0)</f>
        <v>0</v>
      </c>
      <c r="D12" s="977"/>
      <c r="E12" s="376"/>
      <c r="F12" s="980">
        <f>'数据-取费表'!B33</f>
        <v>0.03</v>
      </c>
      <c r="G12" s="8" t="s">
        <v>2485</v>
      </c>
      <c r="H12" s="972"/>
      <c r="I12" s="972"/>
      <c r="J12" s="972"/>
      <c r="K12" s="973"/>
    </row>
    <row r="13" spans="1:33" s="979" customFormat="1" ht="13.5" customHeight="1">
      <c r="A13" s="975" t="s">
        <v>1337</v>
      </c>
      <c r="B13" s="976" t="s">
        <v>2486</v>
      </c>
      <c r="C13" s="24">
        <f ca="1">ROUND(IF(C1="",SUMIF('数据-取费表'!C:C,"住宅",'数据-取费表'!P:P)*F13,IF(INDIRECT("'数据-取费表'!c"&amp;$K$1)="住宅",INDIRECT("'数据-取费表'!P"&amp;$K$1)*F13,0)),0)</f>
        <v>0</v>
      </c>
      <c r="D13" s="1037"/>
      <c r="E13" s="376"/>
      <c r="F13" s="980">
        <f>'数据-取费表'!B34</f>
        <v>0.05</v>
      </c>
      <c r="G13" s="8" t="s">
        <v>2487</v>
      </c>
      <c r="H13" s="972"/>
      <c r="I13" s="972"/>
      <c r="J13" s="972"/>
      <c r="K13" s="973"/>
    </row>
    <row r="14" spans="1:33" s="981" customFormat="1" ht="13.5" customHeight="1">
      <c r="A14" s="975" t="s">
        <v>1338</v>
      </c>
      <c r="B14" s="976" t="s">
        <v>2488</v>
      </c>
      <c r="C14" s="24">
        <f ca="1">ROUND(D14*E14*F11/10000,0)</f>
        <v>0</v>
      </c>
      <c r="D14" s="1037">
        <f ca="1">IF(C1="",'数据-汇总表'!E3,INDIRECT("'数据-取费表'!K"&amp;$K$1)+INDIRECT("'数据-取费表'!S"&amp;$K$1))</f>
        <v>445.61</v>
      </c>
      <c r="E14" s="24">
        <f>'数据-取费表'!B35</f>
        <v>200</v>
      </c>
      <c r="F14" s="980"/>
      <c r="G14" s="8" t="s">
        <v>2489</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2490</v>
      </c>
      <c r="C15" s="987">
        <f ca="1">ROUND(C11*F15,0)</f>
        <v>0</v>
      </c>
      <c r="D15" s="982"/>
      <c r="E15" s="987"/>
      <c r="F15" s="988">
        <f>'数据-取费表'!B36</f>
        <v>1.4999999999999999E-2</v>
      </c>
      <c r="G15" s="140" t="s">
        <v>2491</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2492</v>
      </c>
      <c r="C16" s="987">
        <f ca="1">SUM(C11:C15)</f>
        <v>0</v>
      </c>
      <c r="D16" s="982"/>
      <c r="E16" s="987"/>
      <c r="F16" s="988"/>
      <c r="G16" s="140"/>
      <c r="H16" s="1582"/>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2493</v>
      </c>
      <c r="C17" s="24">
        <f ca="1">ROUND(D17*E17/10000,0)</f>
        <v>0</v>
      </c>
      <c r="D17" s="1037">
        <f ca="1">D14</f>
        <v>445.61</v>
      </c>
      <c r="E17" s="24">
        <f>'数据-取费表'!B32</f>
        <v>0</v>
      </c>
      <c r="F17" s="982"/>
      <c r="G17" s="140" t="s">
        <v>2494</v>
      </c>
      <c r="H17" s="1582"/>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2495</v>
      </c>
      <c r="C18" s="24">
        <f ca="1">C19+C20-IF(C1="",'数据-取费表'!B29,IF(G18="已全部缴纳",C19+C20,H18))</f>
        <v>9</v>
      </c>
      <c r="D18" s="1037"/>
      <c r="E18" s="24"/>
      <c r="F18" s="980"/>
      <c r="G18" s="2559"/>
      <c r="H18" s="1581"/>
      <c r="I18" s="2560" t="s">
        <v>2496</v>
      </c>
      <c r="J18" s="983"/>
      <c r="K18" s="984"/>
    </row>
    <row r="19" spans="1:33" s="979" customFormat="1" ht="13.5" customHeight="1">
      <c r="A19" s="975" t="s">
        <v>805</v>
      </c>
      <c r="B19" s="976" t="s">
        <v>2497</v>
      </c>
      <c r="C19" s="24">
        <f ca="1">ROUND(D19*E19/10000,0)</f>
        <v>9</v>
      </c>
      <c r="D19" s="1037">
        <f ca="1">IF(C1="",'数据-汇总表'!E5,IF(INDIRECT("'数据-取费表'!c"&amp;$K$1)="住宅",INDIRECT("'数据-取费表'!k"&amp;$K$1),0))</f>
        <v>445.61</v>
      </c>
      <c r="E19" s="24">
        <f>'数据-取费表'!B27</f>
        <v>200</v>
      </c>
      <c r="F19" s="980"/>
      <c r="G19" s="15"/>
      <c r="H19" s="1583"/>
      <c r="I19" s="985"/>
      <c r="J19" s="985"/>
      <c r="K19" s="986"/>
    </row>
    <row r="20" spans="1:33" s="979" customFormat="1" ht="13.5" customHeight="1">
      <c r="A20" s="975" t="s">
        <v>806</v>
      </c>
      <c r="B20" s="976" t="s">
        <v>2498</v>
      </c>
      <c r="C20" s="24">
        <f ca="1">ROUND(D20*E20/10000,0)</f>
        <v>0</v>
      </c>
      <c r="D20" s="1037">
        <f ca="1">IF(C1="",'数据-汇总表'!E6,IF(INDIRECT("'数据-取费表'!c"&amp;$K$1)="住宅",INDIRECT("'数据-取费表'!s"&amp;$K$1),INDIRECT("'数据-取费表'!k"&amp;$K$1)+INDIRECT("'数据-取费表'!s"&amp;$K$1)))</f>
        <v>0</v>
      </c>
      <c r="E20" s="24">
        <f>'数据-取费表'!B28</f>
        <v>0</v>
      </c>
      <c r="F20" s="980"/>
      <c r="G20" s="15"/>
      <c r="H20" s="985"/>
      <c r="I20" s="985"/>
      <c r="J20" s="985"/>
      <c r="K20" s="986"/>
    </row>
    <row r="21" spans="1:33" s="979" customFormat="1" ht="13.5" customHeight="1">
      <c r="A21" s="965" t="s">
        <v>802</v>
      </c>
      <c r="B21" s="989" t="s">
        <v>2499</v>
      </c>
      <c r="C21" s="990">
        <f ca="1">C16+C17+C18</f>
        <v>9</v>
      </c>
      <c r="D21" s="991"/>
      <c r="E21" s="326"/>
      <c r="F21" s="326"/>
      <c r="G21" s="140" t="s">
        <v>2500</v>
      </c>
      <c r="H21" s="983"/>
      <c r="I21" s="983"/>
      <c r="J21" s="983"/>
      <c r="K21" s="984"/>
    </row>
    <row r="22" spans="1:33" s="979" customFormat="1" ht="13.5" customHeight="1">
      <c r="A22" s="965" t="s">
        <v>2472</v>
      </c>
      <c r="B22" s="989" t="s">
        <v>2501</v>
      </c>
      <c r="C22" s="990">
        <f ca="1">ROUND(C21*F22,0)</f>
        <v>0</v>
      </c>
      <c r="D22" s="326"/>
      <c r="E22" s="326"/>
      <c r="F22" s="992">
        <f>'数据-取费表'!B37</f>
        <v>0.03</v>
      </c>
      <c r="G22" s="8" t="s">
        <v>2502</v>
      </c>
      <c r="H22" s="972"/>
      <c r="I22" s="972"/>
      <c r="J22" s="972"/>
      <c r="K22" s="973"/>
    </row>
    <row r="23" spans="1:33" s="979" customFormat="1" ht="13.5" customHeight="1">
      <c r="A23" s="965" t="s">
        <v>2474</v>
      </c>
      <c r="B23" s="989" t="s">
        <v>2503</v>
      </c>
      <c r="C23" s="990">
        <f ca="1">ROUND(C4*F23*F11,0)</f>
        <v>0</v>
      </c>
      <c r="D23" s="326"/>
      <c r="E23" s="326"/>
      <c r="F23" s="992">
        <f>'数据-取费表'!B38</f>
        <v>0.03</v>
      </c>
      <c r="G23" s="8" t="s">
        <v>2504</v>
      </c>
      <c r="H23" s="972"/>
      <c r="I23" s="972"/>
      <c r="J23" s="972"/>
      <c r="K23" s="973"/>
    </row>
    <row r="24" spans="1:33" s="979" customFormat="1" ht="13.5" customHeight="1">
      <c r="A24" s="965" t="s">
        <v>2505</v>
      </c>
      <c r="B24" s="989" t="s">
        <v>2506</v>
      </c>
      <c r="C24" s="325">
        <f>ROUND(F24/(1+'数据-取费表'!C42),4)</f>
        <v>2.9000000000000001E-2</v>
      </c>
      <c r="D24" s="326" t="s">
        <v>15</v>
      </c>
      <c r="E24" s="326"/>
      <c r="F24" s="992">
        <f>'数据-取费表'!B48+'数据-取费表'!B49</f>
        <v>3.0499999999999999E-2</v>
      </c>
      <c r="G24" s="8" t="s">
        <v>2507</v>
      </c>
      <c r="H24" s="994"/>
      <c r="I24" s="994"/>
      <c r="J24" s="994"/>
      <c r="K24" s="995"/>
    </row>
    <row r="25" spans="1:33" s="979" customFormat="1" ht="13.5" customHeight="1">
      <c r="A25" s="965" t="s">
        <v>2508</v>
      </c>
      <c r="B25" s="991" t="s">
        <v>2509</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2510</v>
      </c>
      <c r="C26" s="1360">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2511</v>
      </c>
      <c r="C27" s="1361">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2512</v>
      </c>
      <c r="B28" s="2562" t="s">
        <v>2513</v>
      </c>
      <c r="C28" s="332">
        <f ca="1">C30</f>
        <v>3</v>
      </c>
      <c r="D28" s="325">
        <f ca="1">C29</f>
        <v>0</v>
      </c>
      <c r="E28" s="327" t="s">
        <v>15</v>
      </c>
      <c r="F28" s="333">
        <f ca="1">IF(C1="",'数据-取费表'!Q16,INDIRECT("'数据-取费表'!q"&amp;$K$1))</f>
        <v>0.3</v>
      </c>
      <c r="G28" s="993"/>
      <c r="H28" s="994"/>
      <c r="I28" s="994"/>
      <c r="J28" s="994"/>
      <c r="K28" s="995"/>
    </row>
    <row r="29" spans="1:33" s="336" customFormat="1" ht="13.5" customHeight="1">
      <c r="A29" s="975" t="s">
        <v>803</v>
      </c>
      <c r="B29" s="998" t="s">
        <v>2514</v>
      </c>
      <c r="C29" s="329">
        <f ca="1">ROUND((1+C24)*F28*'数据-取费表'!B24/'数据-取费表'!B20,4)</f>
        <v>0</v>
      </c>
      <c r="D29" s="329"/>
      <c r="E29" s="330"/>
      <c r="F29" s="335"/>
      <c r="G29" s="140" t="s">
        <v>2515</v>
      </c>
      <c r="H29" s="983"/>
      <c r="I29" s="983"/>
      <c r="J29" s="983"/>
      <c r="K29" s="984"/>
    </row>
    <row r="30" spans="1:33" s="336" customFormat="1" ht="13.5" customHeight="1">
      <c r="A30" s="975" t="s">
        <v>804</v>
      </c>
      <c r="B30" s="998" t="s">
        <v>2516</v>
      </c>
      <c r="C30" s="337">
        <f ca="1">ROUND((C21+C22+C23)*F28,0)</f>
        <v>3</v>
      </c>
      <c r="D30" s="329"/>
      <c r="E30" s="330"/>
      <c r="F30" s="335"/>
      <c r="G30" s="140"/>
      <c r="H30" s="983"/>
      <c r="I30" s="983"/>
      <c r="J30" s="983"/>
      <c r="K30" s="984"/>
    </row>
    <row r="31" spans="1:33" s="979" customFormat="1" ht="13.5" customHeight="1" thickBot="1">
      <c r="A31" s="2563" t="s">
        <v>2517</v>
      </c>
      <c r="B31" s="1009" t="s">
        <v>2518</v>
      </c>
      <c r="C31" s="1010">
        <f>ROUND(C4*F31/(1+'数据-取费表'!C42),0)</f>
        <v>0</v>
      </c>
      <c r="D31" s="1011"/>
      <c r="E31" s="1012"/>
      <c r="F31" s="1013">
        <f>'数据-取费表'!B41</f>
        <v>5.6000000000000001E-2</v>
      </c>
      <c r="G31" s="1014" t="s">
        <v>2519</v>
      </c>
      <c r="H31" s="1015"/>
      <c r="I31" s="1015"/>
      <c r="J31" s="1015"/>
      <c r="K31" s="1016"/>
    </row>
    <row r="32" spans="1:33" s="974" customFormat="1" ht="13.5" customHeight="1" thickBot="1">
      <c r="A32" s="1004" t="s">
        <v>2520</v>
      </c>
      <c r="B32" s="1005"/>
      <c r="C32" s="1006">
        <f ca="1">ROUND((C4-C21-C22-C23-C25-C28-C31)/(1+C24+D25+D28),0)</f>
        <v>-12</v>
      </c>
      <c r="D32" s="1005"/>
      <c r="E32" s="1005"/>
      <c r="F32" s="1005"/>
      <c r="G32" s="1007" t="s">
        <v>2521</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c r="D1" s="1823"/>
      <c r="E1" s="1824" t="s">
        <v>1388</v>
      </c>
      <c r="F1" s="1286" t="b">
        <f>J53</f>
        <v>0</v>
      </c>
      <c r="G1" s="1839">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5"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5">
        <f ca="1">C6+C10+C12</f>
        <v>0</v>
      </c>
      <c r="D5" s="1825" t="s">
        <v>1403</v>
      </c>
      <c r="E5" s="1296"/>
      <c r="F5" s="1297"/>
      <c r="G5" s="1854"/>
      <c r="H5" s="345">
        <v>1</v>
      </c>
      <c r="I5" s="346" t="s">
        <v>1402</v>
      </c>
      <c r="J5" s="1295">
        <f ca="1">J6+J10+J12</f>
        <v>0</v>
      </c>
      <c r="K5" s="1825" t="s">
        <v>1403</v>
      </c>
      <c r="L5" s="1296"/>
      <c r="M5" s="1297"/>
    </row>
    <row r="6" spans="1:37" ht="18" customHeight="1">
      <c r="A6" s="1294" t="s">
        <v>1035</v>
      </c>
      <c r="B6" s="3160" t="s">
        <v>1404</v>
      </c>
      <c r="C6" s="1299">
        <f ca="1">ROUND(F6*F8*F7*(1-F9)/10000,0)</f>
        <v>0</v>
      </c>
      <c r="D6" s="165" t="s">
        <v>3036</v>
      </c>
      <c r="E6" s="348" t="s">
        <v>1406</v>
      </c>
      <c r="F6" s="349">
        <f ca="1">INDIRECT("'数据-取费表'!u"&amp;$G$1)</f>
        <v>0</v>
      </c>
      <c r="G6" s="1854"/>
      <c r="H6" s="1294" t="s">
        <v>1035</v>
      </c>
      <c r="I6" s="3160" t="s">
        <v>1404</v>
      </c>
      <c r="J6" s="347">
        <f ca="1">ROUND(M6*M8*M7*(1-M9)/10000,0)</f>
        <v>0</v>
      </c>
      <c r="K6" s="165" t="s">
        <v>3035</v>
      </c>
      <c r="L6" s="348" t="s">
        <v>1406</v>
      </c>
      <c r="M6" s="349">
        <f ca="1">INDIRECT("'数据-取费表'!z"&amp;$G$1)</f>
        <v>0</v>
      </c>
    </row>
    <row r="7" spans="1:37" ht="18" customHeight="1">
      <c r="A7" s="1298"/>
      <c r="B7" s="3161"/>
      <c r="C7" s="1300"/>
      <c r="D7" s="353"/>
      <c r="E7" s="1301" t="s">
        <v>1407</v>
      </c>
      <c r="F7" s="349">
        <f ca="1">IF(INDIRECT("'数据-取费表'!ah"&amp;$G$1)="",INDIRECT("'数据-取费表'!k"&amp;$G$1),INDIRECT("'数据-取费表'!ah"&amp;$G$1))</f>
        <v>0</v>
      </c>
      <c r="G7" s="1854"/>
      <c r="H7" s="350"/>
      <c r="I7" s="3161"/>
      <c r="J7" s="352"/>
      <c r="K7" s="353"/>
      <c r="L7" s="348" t="s">
        <v>1407</v>
      </c>
      <c r="M7" s="349">
        <f ca="1">F7</f>
        <v>0</v>
      </c>
    </row>
    <row r="8" spans="1:37" ht="18" customHeight="1">
      <c r="A8" s="350"/>
      <c r="B8" s="3161"/>
      <c r="C8" s="352"/>
      <c r="D8" s="353"/>
      <c r="E8" s="348" t="s">
        <v>1408</v>
      </c>
      <c r="F8" s="349">
        <f ca="1">INDIRECT("'数据-取费表'!ai"&amp;$G$1)</f>
        <v>0</v>
      </c>
      <c r="G8" s="1854"/>
      <c r="H8" s="350"/>
      <c r="I8" s="3161"/>
      <c r="J8" s="352"/>
      <c r="K8" s="353"/>
      <c r="L8" s="348" t="s">
        <v>1408</v>
      </c>
      <c r="M8" s="349">
        <f ca="1">INDIRECT("'数据-取费表'!ai"&amp;$G$1)</f>
        <v>0</v>
      </c>
    </row>
    <row r="9" spans="1:37" ht="18" customHeight="1">
      <c r="A9" s="350"/>
      <c r="B9" s="3162"/>
      <c r="C9" s="352"/>
      <c r="D9" s="353"/>
      <c r="E9" s="348" t="s">
        <v>1409</v>
      </c>
      <c r="F9" s="358">
        <f ca="1">INDIRECT("'数据-取费表'!w"&amp;$G$1)</f>
        <v>0</v>
      </c>
      <c r="G9" s="1854"/>
      <c r="H9" s="350"/>
      <c r="I9" s="3162"/>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ROUND(IF(F10="押一",F6*F8*F7/12*F11,IF(F10="押二",F6*F8*F7/12*2*F11,IF(F10="押三",F6*F8*F7/12*3*F11,C11*F11)))/10000,0)</f>
        <v>0</v>
      </c>
      <c r="D10" s="1827" t="s">
        <v>3037</v>
      </c>
      <c r="E10" s="359" t="s">
        <v>1412</v>
      </c>
      <c r="F10" s="1369"/>
      <c r="G10" s="1854"/>
      <c r="H10" s="1294" t="s">
        <v>1039</v>
      </c>
      <c r="I10" s="1826" t="s">
        <v>1410</v>
      </c>
      <c r="J10" s="347">
        <f ca="1">ROUND(IF(M10="押一",M6*M8*M7/12*M11,IF(M10="押二",M6*M8*M7/12*2*M11,IF(M10="押三",M6*M8*M7/12*3*M11,J11*M11)))/10000,0)</f>
        <v>0</v>
      </c>
      <c r="K10" s="1827" t="s">
        <v>3038</v>
      </c>
      <c r="L10" s="359" t="s">
        <v>1412</v>
      </c>
      <c r="M10" s="1369" t="s">
        <v>1413</v>
      </c>
    </row>
    <row r="11" spans="1:37" ht="18" customHeight="1">
      <c r="A11" s="354"/>
      <c r="B11" s="1828" t="s">
        <v>1389</v>
      </c>
      <c r="C11" s="1181"/>
      <c r="D11" s="1829"/>
      <c r="E11" s="359" t="s">
        <v>1414</v>
      </c>
      <c r="F11" s="360">
        <f ca="1">'数据-取费表'!B39</f>
        <v>1.4999999999999999E-2</v>
      </c>
      <c r="G11" s="1854"/>
      <c r="H11" s="1302"/>
      <c r="I11" s="1828" t="s">
        <v>1389</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4"/>
      <c r="H13" s="1332">
        <v>2</v>
      </c>
      <c r="I13" s="1333" t="s">
        <v>1416</v>
      </c>
      <c r="J13" s="1293">
        <f ca="1">ROUND(J14*J15,0)</f>
        <v>0</v>
      </c>
      <c r="K13" s="1340" t="s">
        <v>1417</v>
      </c>
      <c r="L13" s="1855"/>
      <c r="M13" s="1856"/>
    </row>
    <row r="14" spans="1:37" ht="18" customHeight="1">
      <c r="A14" s="1204" t="s">
        <v>1034</v>
      </c>
      <c r="B14" s="348" t="s">
        <v>1419</v>
      </c>
      <c r="C14" s="364">
        <f ca="1">INDIRECT("'数据-取费表'!m"&amp;$G$1)+INDIRECT("'数据-取费表'!t"&amp;$G$1)</f>
        <v>0</v>
      </c>
      <c r="D14" s="1803" t="s">
        <v>1420</v>
      </c>
      <c r="E14" s="1797"/>
      <c r="F14" s="365"/>
      <c r="G14" s="1854"/>
      <c r="H14" s="1204" t="s">
        <v>1035</v>
      </c>
      <c r="I14" s="348" t="s">
        <v>1421</v>
      </c>
      <c r="J14" s="24">
        <f ca="1">C29</f>
        <v>0</v>
      </c>
      <c r="K14" s="15"/>
      <c r="L14" s="983"/>
      <c r="M14" s="984"/>
    </row>
    <row r="15" spans="1:37" s="1861" customFormat="1" ht="18" customHeight="1" thickBot="1">
      <c r="A15" s="1204" t="s">
        <v>1036</v>
      </c>
      <c r="B15" s="348" t="s">
        <v>1422</v>
      </c>
      <c r="C15" s="24">
        <f ca="1">ROUND(C14*F15,0)</f>
        <v>0</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4"/>
      <c r="H16" s="1332" t="s">
        <v>1030</v>
      </c>
      <c r="I16" s="1333" t="s">
        <v>1426</v>
      </c>
      <c r="J16" s="356">
        <f ca="1">ROUND(J17+J22+J23+J24,0)</f>
        <v>0</v>
      </c>
      <c r="K16" s="1340" t="s">
        <v>1427</v>
      </c>
      <c r="L16" s="1341"/>
      <c r="M16" s="1297"/>
    </row>
    <row r="17" spans="1:37" s="1861" customFormat="1" ht="18" customHeight="1">
      <c r="A17" s="1204" t="s">
        <v>1391</v>
      </c>
      <c r="B17" s="348" t="s">
        <v>1428</v>
      </c>
      <c r="C17" s="24">
        <f ca="1">ROUND(F17*(F43+INDIRECT("'数据-取费表'!S"&amp;$G$1))/10000,0)</f>
        <v>0</v>
      </c>
      <c r="D17" s="348" t="s">
        <v>1429</v>
      </c>
      <c r="E17" s="348" t="s">
        <v>1430</v>
      </c>
      <c r="F17" s="26">
        <f>'数据-取费表'!B35</f>
        <v>200</v>
      </c>
      <c r="G17" s="1857"/>
      <c r="H17" s="1204"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0</v>
      </c>
      <c r="D18" s="348" t="s">
        <v>1423</v>
      </c>
      <c r="E18" s="348" t="s">
        <v>1424</v>
      </c>
      <c r="F18" s="368">
        <f>'数据-取费表'!B36</f>
        <v>1.4999999999999999E-2</v>
      </c>
      <c r="G18" s="1857"/>
      <c r="H18" s="1204"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0</v>
      </c>
      <c r="D19" s="140" t="s">
        <v>1438</v>
      </c>
      <c r="E19" s="1821"/>
      <c r="F19" s="26"/>
      <c r="G19" s="1854"/>
      <c r="H19" s="1204"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4" t="s">
        <v>1039</v>
      </c>
      <c r="B20" s="348" t="s">
        <v>1441</v>
      </c>
      <c r="C20" s="24">
        <f ca="1">ROUND(C19*F20,0)</f>
        <v>0</v>
      </c>
      <c r="D20" s="370" t="s">
        <v>1442</v>
      </c>
      <c r="E20" s="348" t="s">
        <v>1424</v>
      </c>
      <c r="F20" s="368">
        <f>'数据-取费表'!B37</f>
        <v>0.03</v>
      </c>
      <c r="G20" s="1857"/>
      <c r="H20" s="1204" t="s">
        <v>1390</v>
      </c>
      <c r="I20" s="165" t="s">
        <v>1443</v>
      </c>
      <c r="J20" s="25">
        <f ca="1">ROUND(M20*M21/10000,2)</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18</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ROUND(J14*M22,1)</f>
        <v>0</v>
      </c>
      <c r="K22" s="1801" t="s">
        <v>1452</v>
      </c>
      <c r="L22" s="348" t="s">
        <v>1424</v>
      </c>
      <c r="M22" s="375">
        <f ca="1">INDIRECT("'数据-取费表'!Ak"&amp;$G$1)</f>
        <v>0</v>
      </c>
    </row>
    <row r="23" spans="1:37" s="1861"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ROUND(J5*M24,1)</f>
        <v>0</v>
      </c>
      <c r="K24" s="1345" t="s">
        <v>1461</v>
      </c>
      <c r="L24" s="1343" t="s">
        <v>1457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8" t="s">
        <v>1463</v>
      </c>
      <c r="C25" s="24"/>
      <c r="D25" s="140" t="s">
        <v>1464</v>
      </c>
      <c r="E25" s="1821"/>
      <c r="F25" s="26"/>
      <c r="G25" s="1854"/>
      <c r="H25" s="1332" t="s">
        <v>1031</v>
      </c>
      <c r="I25" s="1347" t="s">
        <v>1465</v>
      </c>
      <c r="J25" s="356">
        <f ca="1">J5-J16</f>
        <v>0</v>
      </c>
      <c r="K25" s="1348" t="s">
        <v>1466</v>
      </c>
      <c r="L25" s="1349"/>
      <c r="M25" s="1350"/>
    </row>
    <row r="26" spans="1:37">
      <c r="A26" s="1204"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0</v>
      </c>
      <c r="D29" s="1345"/>
      <c r="E29" s="1343"/>
      <c r="F29" s="1346"/>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0</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IF(项目基本情况!B11="自然人","——",ROUND(C5*F32/(1+'数据-取费表'!C42),2))</f>
        <v>0</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IF(项目基本情况!B11="自然人","——",ROUND(F34*F35/10000,2))</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ROUND(C29*F36,1)</f>
        <v>0</v>
      </c>
      <c r="D36" s="1801" t="s">
        <v>1484</v>
      </c>
      <c r="E36" s="348" t="s">
        <v>1424</v>
      </c>
      <c r="F36" s="375">
        <f ca="1">INDIRECT("'数据-取费表'!Ak"&amp;$G$1)</f>
        <v>0</v>
      </c>
      <c r="G36" s="1854"/>
      <c r="H36" s="1862"/>
      <c r="I36" s="1863"/>
      <c r="J36" s="1864"/>
      <c r="K36" s="752"/>
      <c r="L36" s="1862"/>
      <c r="M36" s="1862"/>
    </row>
    <row r="37" spans="1:18" ht="18" customHeight="1">
      <c r="A37" s="1204" t="s">
        <v>1075</v>
      </c>
      <c r="B37" s="348" t="s">
        <v>1455</v>
      </c>
      <c r="C37" s="24">
        <f ca="1">ROUND(C13*F37,1)</f>
        <v>0</v>
      </c>
      <c r="D37" s="1801" t="s">
        <v>1456</v>
      </c>
      <c r="E37" s="348" t="s">
        <v>1457</v>
      </c>
      <c r="F37" s="377">
        <f ca="1">INDIRECT("'数据-取费表'!Al"&amp;$G$1)</f>
        <v>0</v>
      </c>
      <c r="G37" s="1854"/>
      <c r="H37" s="1862"/>
      <c r="I37" s="1863"/>
      <c r="J37" s="1864"/>
      <c r="K37" s="752"/>
      <c r="L37" s="1862"/>
      <c r="M37" s="1862"/>
    </row>
    <row r="38" spans="1:18" ht="18" customHeight="1" thickBot="1">
      <c r="A38" s="1342" t="s">
        <v>1394</v>
      </c>
      <c r="B38" s="1343" t="s">
        <v>1441</v>
      </c>
      <c r="C38" s="1344">
        <f ca="1">ROUND(C5*F38,1)</f>
        <v>0</v>
      </c>
      <c r="D38" s="1345" t="s">
        <v>1461</v>
      </c>
      <c r="E38" s="1343" t="s">
        <v>1457</v>
      </c>
      <c r="F38" s="1339">
        <f ca="1">INDIRECT("'数据-取费表'!Am"&amp;$G$1)</f>
        <v>0</v>
      </c>
      <c r="G38" s="1854"/>
      <c r="H38" s="1862"/>
      <c r="I38" s="1863"/>
      <c r="J38" s="1864"/>
      <c r="K38" s="1868"/>
      <c r="L38" s="1862"/>
      <c r="M38" s="1862"/>
    </row>
    <row r="39" spans="1:18" ht="24.6" customHeight="1" thickTop="1">
      <c r="A39" s="1332" t="s">
        <v>1031</v>
      </c>
      <c r="B39" s="1347" t="s">
        <v>1485</v>
      </c>
      <c r="C39" s="356">
        <f ca="1">C5-C30</f>
        <v>0</v>
      </c>
      <c r="D39" s="1348" t="s">
        <v>1486</v>
      </c>
      <c r="E39" s="1349"/>
      <c r="F39" s="1350"/>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3"/>
      <c r="I41" s="1863"/>
      <c r="J41" s="1864"/>
      <c r="K41" s="752"/>
      <c r="L41" s="733"/>
      <c r="M41" s="733"/>
    </row>
    <row r="42" spans="1:18" ht="18" customHeight="1">
      <c r="A42" s="354"/>
      <c r="B42" s="355"/>
      <c r="C42" s="356"/>
      <c r="D42" s="374"/>
      <c r="E42" s="348" t="s">
        <v>1479</v>
      </c>
      <c r="F42" s="358">
        <f ca="1">INDIRECT("'数据-取费表'!v"&amp;$G$1)</f>
        <v>0</v>
      </c>
      <c r="G42" s="1854"/>
      <c r="H42" s="733"/>
      <c r="I42" s="1863"/>
      <c r="J42" s="1864"/>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7"/>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8" t="s">
        <v>1397</v>
      </c>
      <c r="B47" s="1200" t="s">
        <v>1398</v>
      </c>
      <c r="C47" s="1370" t="s">
        <v>1399</v>
      </c>
      <c r="D47" s="1200" t="s">
        <v>1400</v>
      </c>
      <c r="E47" s="1282" t="s">
        <v>1401</v>
      </c>
      <c r="F47" s="1283"/>
      <c r="G47" s="793"/>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3" t="s">
        <v>1135</v>
      </c>
      <c r="B48" s="346" t="s">
        <v>1402</v>
      </c>
      <c r="C48" s="1820">
        <f ca="1">C49+C53+C55</f>
        <v>0</v>
      </c>
      <c r="D48" s="1365"/>
      <c r="E48" s="1366"/>
      <c r="F48" s="1184"/>
      <c r="G48" s="793"/>
      <c r="H48" s="794"/>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7" t="s">
        <v>1136</v>
      </c>
      <c r="B49" s="1832" t="s">
        <v>1492</v>
      </c>
      <c r="C49" s="1367">
        <f ca="1">ROUND(F49*F51*F50*(1-F52)/10000,0)</f>
        <v>0</v>
      </c>
      <c r="D49" s="1279" t="s">
        <v>3039</v>
      </c>
      <c r="E49" s="1833" t="s">
        <v>1493</v>
      </c>
      <c r="F49" s="1284"/>
      <c r="G49" s="1894"/>
      <c r="H49" s="794"/>
      <c r="I49" s="1890" t="s">
        <v>1536</v>
      </c>
      <c r="J49" s="1895"/>
      <c r="K49" s="1892" t="s">
        <v>1537</v>
      </c>
      <c r="L49" s="1896"/>
      <c r="O49" s="1897" t="s">
        <v>1042</v>
      </c>
      <c r="P49" s="1888" t="s">
        <v>1538</v>
      </c>
      <c r="Q49" s="1889">
        <f ca="1">C29</f>
        <v>0</v>
      </c>
      <c r="R49" s="1889" t="s">
        <v>1531</v>
      </c>
    </row>
    <row r="50" spans="1:18" s="1845" customFormat="1" ht="13.5" thickBot="1">
      <c r="A50" s="1198"/>
      <c r="B50" s="1201"/>
      <c r="C50" s="1371"/>
      <c r="D50" s="1175"/>
      <c r="E50" s="1280" t="s">
        <v>1407</v>
      </c>
      <c r="F50" s="1281">
        <f ca="1">F7</f>
        <v>0</v>
      </c>
      <c r="H50" s="794"/>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9"/>
      <c r="B51" s="1201"/>
      <c r="C51" s="1202"/>
      <c r="D51" s="1175"/>
      <c r="E51" s="1203"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9"/>
      <c r="B52" s="1201"/>
      <c r="C52" s="1202"/>
      <c r="D52" s="1175"/>
      <c r="E52" s="1203" t="s">
        <v>1409</v>
      </c>
      <c r="F52" s="1278"/>
      <c r="I52" s="1906" t="s">
        <v>1545</v>
      </c>
      <c r="J52" s="1907"/>
      <c r="K52" s="1906" t="s">
        <v>1546</v>
      </c>
      <c r="L52" s="1907"/>
      <c r="O52" s="1897" t="s">
        <v>1045</v>
      </c>
      <c r="P52" s="1888" t="s">
        <v>1547</v>
      </c>
      <c r="Q52" s="1889" t="b">
        <f>J53</f>
        <v>0</v>
      </c>
      <c r="R52" s="1889" t="s">
        <v>1548</v>
      </c>
    </row>
    <row r="53" spans="1:18" s="1845" customFormat="1" ht="24.75" thickBot="1">
      <c r="A53" s="1408" t="s">
        <v>1137</v>
      </c>
      <c r="B53" s="1834" t="s">
        <v>1410</v>
      </c>
      <c r="C53" s="362">
        <f ca="1">ROUND(IF(F53="押一",F49*F51*F50/12*F11,IF(F53="押二",F49*F51*F50/12*2*F11,IF(F53="押三",F49*F51*F50/12*3*F11,C54*F11)))/10000,0)</f>
        <v>0</v>
      </c>
      <c r="D53" s="1827" t="s">
        <v>3037</v>
      </c>
      <c r="E53" s="359" t="s">
        <v>1412</v>
      </c>
      <c r="F53" s="1369"/>
      <c r="I53" s="1908" t="s">
        <v>1549</v>
      </c>
      <c r="J53" s="1909" t="b">
        <f>IF(M47="住宅",J51,IF(D1="——",MIN(J51,L48),IF(D1="在建（套用方法）",MIN(J51,L48-'数据-取费表'!B24),IF(D1="土地（套用方法）",MIN(J51,L48-'数据-取费表'!B20)))))</f>
        <v>0</v>
      </c>
      <c r="K53" s="3158" t="s">
        <v>1550</v>
      </c>
      <c r="L53" s="3159"/>
      <c r="O53" s="1887" t="s">
        <v>1046</v>
      </c>
      <c r="P53" s="1888" t="s">
        <v>1551</v>
      </c>
      <c r="Q53" s="1889" t="e">
        <f ca="1">Q47+Q48</f>
        <v>#DIV/0!</v>
      </c>
      <c r="R53" s="1889" t="s">
        <v>1047</v>
      </c>
    </row>
    <row r="54" spans="1:18" s="1845" customFormat="1" ht="13.5" thickBot="1">
      <c r="A54" s="1409"/>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9">
        <v>2</v>
      </c>
      <c r="B56" s="1180"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2"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80" t="s">
        <v>1426</v>
      </c>
      <c r="C58" s="362">
        <f ca="1">ROUND(C59+C64+C65+C66,0)</f>
        <v>0</v>
      </c>
      <c r="D58" s="1182" t="s">
        <v>1427</v>
      </c>
      <c r="E58" s="1183"/>
      <c r="F58" s="1184"/>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ROUND(IF(项目基本情况!B11="自然人",C48*F59,C60+C61+C62),1)</f>
        <v>0</v>
      </c>
      <c r="D59" s="1185" t="s">
        <v>1432</v>
      </c>
      <c r="E59" s="1186"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IF(项目基本情况!B11="自然人","——",IF(D61="按租金收入计税",ROUND(C48*F61,2),IF(D61="按房产原值计税",ROUND(C57*F61*0.7,2),INDIRECT("'数据-取费表'!Aj"&amp;$G$1))))</f>
        <v>0</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IF(项目基本情况!B11="自然人","——",ROUND(F62*F63/10000,2))</f>
        <v>0</v>
      </c>
      <c r="D62" s="1187" t="s">
        <v>1499</v>
      </c>
      <c r="E62" s="1172" t="s">
        <v>1500</v>
      </c>
      <c r="F62" s="372">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ROUND(C57*F64,1)</f>
        <v>0</v>
      </c>
      <c r="D64" s="1186" t="s">
        <v>1504</v>
      </c>
      <c r="E64" s="1172"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ROUND(C56*F65,1)</f>
        <v>0</v>
      </c>
      <c r="D65" s="1186" t="s">
        <v>1456</v>
      </c>
      <c r="E65" s="1172"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4" t="s">
        <v>1506</v>
      </c>
      <c r="B66" s="1172" t="s">
        <v>1441</v>
      </c>
      <c r="C66" s="24">
        <f ca="1">ROUND(C48*F66,1)</f>
        <v>0</v>
      </c>
      <c r="D66" s="1186" t="s">
        <v>1507</v>
      </c>
      <c r="E66" s="1172" t="s">
        <v>1424</v>
      </c>
      <c r="F66" s="358">
        <f t="shared" ca="1" si="0"/>
        <v>0</v>
      </c>
      <c r="O66" s="1887" t="s">
        <v>1041</v>
      </c>
      <c r="P66" s="1888" t="s">
        <v>1560</v>
      </c>
      <c r="Q66" s="1889" t="e">
        <f ca="1">L60</f>
        <v>#DIV/0!</v>
      </c>
      <c r="R66" s="1889" t="s">
        <v>1583</v>
      </c>
    </row>
    <row r="67" spans="1:18" s="1845" customFormat="1" ht="16.5" thickBot="1">
      <c r="A67" s="1179" t="s">
        <v>1031</v>
      </c>
      <c r="B67" s="1189" t="s">
        <v>1465</v>
      </c>
      <c r="C67" s="362">
        <f ca="1">C48-C58</f>
        <v>0</v>
      </c>
      <c r="D67" s="1185" t="s">
        <v>1466</v>
      </c>
      <c r="E67" s="1190"/>
      <c r="F67" s="1191"/>
      <c r="O67" s="1897" t="s">
        <v>1042</v>
      </c>
      <c r="P67" s="1888" t="s">
        <v>1564</v>
      </c>
      <c r="Q67" s="1936">
        <f ca="1">L51</f>
        <v>0</v>
      </c>
      <c r="R67" s="1889" t="s">
        <v>1584</v>
      </c>
    </row>
    <row r="68" spans="1:18" s="1845" customFormat="1" ht="16.5" thickBot="1">
      <c r="A68" s="1169" t="s">
        <v>1032</v>
      </c>
      <c r="B68" s="1170" t="s">
        <v>1487</v>
      </c>
      <c r="C68" s="347" t="e">
        <f ca="1">ROUND(C67*(1-((1+F70)/(1+F68))^F69)/(F68-F70),0)</f>
        <v>#DIV/0!</v>
      </c>
      <c r="D68" s="1187" t="s">
        <v>1471</v>
      </c>
      <c r="E68" s="1172" t="s">
        <v>1472</v>
      </c>
      <c r="F68" s="358">
        <f ca="1">F40</f>
        <v>0</v>
      </c>
      <c r="O68" s="1897" t="s">
        <v>1043</v>
      </c>
      <c r="P68" s="1937" t="s">
        <v>1585</v>
      </c>
      <c r="Q68" s="1889">
        <f ca="1">ROUND(Q69-Q70*Q71,0)</f>
        <v>0</v>
      </c>
      <c r="R68" s="1889" t="s">
        <v>1051</v>
      </c>
    </row>
    <row r="69" spans="1:18" s="1845" customFormat="1" ht="13.5" thickBot="1">
      <c r="A69" s="1173"/>
      <c r="B69" s="1174"/>
      <c r="C69" s="352"/>
      <c r="D69" s="1192" t="s">
        <v>1475</v>
      </c>
      <c r="E69" s="1172" t="s">
        <v>1476</v>
      </c>
      <c r="F69" s="380">
        <f ca="1">F41</f>
        <v>0</v>
      </c>
      <c r="O69" s="1897" t="s">
        <v>1048</v>
      </c>
      <c r="P69" s="1937" t="s">
        <v>1586</v>
      </c>
      <c r="Q69" s="1889">
        <f ca="1">C39</f>
        <v>0</v>
      </c>
      <c r="R69" s="1889" t="s">
        <v>1531</v>
      </c>
    </row>
    <row r="70" spans="1:18" s="1845" customFormat="1" ht="13.5" thickBot="1">
      <c r="A70" s="1176"/>
      <c r="B70" s="1177"/>
      <c r="C70" s="356"/>
      <c r="D70" s="1188"/>
      <c r="E70" s="1172" t="s">
        <v>1479</v>
      </c>
      <c r="F70" s="1278"/>
      <c r="O70" s="1897" t="s">
        <v>1049</v>
      </c>
      <c r="P70" s="1937" t="s">
        <v>1587</v>
      </c>
      <c r="Q70" s="1889">
        <f ca="1">C13</f>
        <v>0</v>
      </c>
      <c r="R70" s="1889" t="s">
        <v>1531</v>
      </c>
    </row>
    <row r="71" spans="1:18" s="1845" customFormat="1" ht="13.5" thickBot="1">
      <c r="A71" s="1193" t="s">
        <v>1033</v>
      </c>
      <c r="B71" s="1194" t="s">
        <v>1489</v>
      </c>
      <c r="C71" s="383" t="e">
        <f ca="1">ROUND(C68*10000/F71,0)</f>
        <v>#DIV/0!</v>
      </c>
      <c r="D71" s="1195" t="s">
        <v>1490</v>
      </c>
      <c r="E71" s="1196" t="s">
        <v>1491</v>
      </c>
      <c r="F71" s="386">
        <f ca="1">F43</f>
        <v>0</v>
      </c>
      <c r="O71" s="1897" t="s">
        <v>1050</v>
      </c>
      <c r="P71" s="1937" t="s">
        <v>1588</v>
      </c>
      <c r="Q71" s="1900">
        <f ca="1">C76</f>
        <v>0</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t="s">
        <v>3054</v>
      </c>
      <c r="D1" s="1823"/>
      <c r="E1" s="1824" t="s">
        <v>1388</v>
      </c>
      <c r="F1" s="1286">
        <f>J53</f>
        <v>54</v>
      </c>
      <c r="G1" s="1839">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1592</v>
      </c>
      <c r="B2" s="1847">
        <f ca="1">ROUND(D2/10000,0)</f>
        <v>2019</v>
      </c>
      <c r="C2" s="1848" t="s">
        <v>1593</v>
      </c>
      <c r="D2" s="1941">
        <f ca="1">C40+J29+L46</f>
        <v>20192547</v>
      </c>
      <c r="E2" s="1849" t="s">
        <v>1594</v>
      </c>
      <c r="F2" s="1850"/>
      <c r="G2" s="1851"/>
      <c r="H2" s="1843"/>
      <c r="I2" s="1843"/>
      <c r="J2" s="1843"/>
      <c r="K2" s="1844"/>
      <c r="L2" s="1843"/>
      <c r="M2" s="1843"/>
    </row>
    <row r="3" spans="1:37" ht="18" customHeight="1" thickBot="1">
      <c r="A3" s="1852" t="s">
        <v>1595</v>
      </c>
      <c r="B3" s="1853">
        <f ca="1">IF(ISERROR(D2/F43),0,ROUND(D2/F43,0))</f>
        <v>45314</v>
      </c>
      <c r="C3" s="1848" t="s">
        <v>1596</v>
      </c>
      <c r="D3" s="1848"/>
      <c r="E3" s="1849"/>
      <c r="F3" s="1850"/>
      <c r="G3" s="1851"/>
      <c r="H3" s="745"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5">
        <f ca="1">C6+C10+C12</f>
        <v>810054</v>
      </c>
      <c r="D5" s="1825" t="s">
        <v>1603</v>
      </c>
      <c r="E5" s="1296"/>
      <c r="F5" s="1297"/>
      <c r="G5" s="1854"/>
      <c r="H5" s="345">
        <v>1</v>
      </c>
      <c r="I5" s="346" t="s">
        <v>1602</v>
      </c>
      <c r="J5" s="1295">
        <f ca="1">J6+J10+J12</f>
        <v>0</v>
      </c>
      <c r="K5" s="1825" t="s">
        <v>1603</v>
      </c>
      <c r="L5" s="1296"/>
      <c r="M5" s="1297"/>
    </row>
    <row r="6" spans="1:37" ht="18" customHeight="1">
      <c r="A6" s="1294" t="s">
        <v>1035</v>
      </c>
      <c r="B6" s="3160" t="s">
        <v>1404</v>
      </c>
      <c r="C6" s="1299">
        <f ca="1">ROUND(F6*F8*F7*(1-F9),0)</f>
        <v>808790</v>
      </c>
      <c r="D6" s="165" t="s">
        <v>3031</v>
      </c>
      <c r="E6" s="348" t="s">
        <v>1406</v>
      </c>
      <c r="F6" s="349">
        <f ca="1">INDIRECT("'数据-取费表'!u"&amp;$G$1)</f>
        <v>84249</v>
      </c>
      <c r="G6" s="1854"/>
      <c r="H6" s="1294" t="s">
        <v>1035</v>
      </c>
      <c r="I6" s="3160" t="s">
        <v>1404</v>
      </c>
      <c r="J6" s="347">
        <f ca="1">ROUND(M6*M8*M7*(1-M9),0)</f>
        <v>0</v>
      </c>
      <c r="K6" s="1837" t="s">
        <v>3034</v>
      </c>
      <c r="L6" s="348" t="s">
        <v>1406</v>
      </c>
      <c r="M6" s="349">
        <f ca="1">INDIRECT("'数据-取费表'!z"&amp;$G$1)</f>
        <v>0</v>
      </c>
    </row>
    <row r="7" spans="1:37" ht="18" customHeight="1">
      <c r="A7" s="1298"/>
      <c r="B7" s="3161"/>
      <c r="C7" s="1300"/>
      <c r="D7" s="353"/>
      <c r="E7" s="1301" t="s">
        <v>1407</v>
      </c>
      <c r="F7" s="349">
        <f ca="1">IF(INDIRECT("'数据-取费表'!ah"&amp;$G$1)="",INDIRECT("'数据-取费表'!k"&amp;$G$1),INDIRECT("'数据-取费表'!ah"&amp;$G$1))</f>
        <v>1</v>
      </c>
      <c r="G7" s="1854"/>
      <c r="H7" s="350"/>
      <c r="I7" s="3161"/>
      <c r="J7" s="352"/>
      <c r="K7" s="353"/>
      <c r="L7" s="348" t="s">
        <v>1407</v>
      </c>
      <c r="M7" s="349">
        <f ca="1">F7</f>
        <v>1</v>
      </c>
    </row>
    <row r="8" spans="1:37" ht="18" customHeight="1">
      <c r="A8" s="350"/>
      <c r="B8" s="3161"/>
      <c r="C8" s="352"/>
      <c r="D8" s="353"/>
      <c r="E8" s="348" t="s">
        <v>1408</v>
      </c>
      <c r="F8" s="349">
        <f ca="1">INDIRECT("'数据-取费表'!ai"&amp;$G$1)</f>
        <v>12</v>
      </c>
      <c r="G8" s="1854"/>
      <c r="H8" s="350"/>
      <c r="I8" s="3161"/>
      <c r="J8" s="352"/>
      <c r="K8" s="353"/>
      <c r="L8" s="348" t="s">
        <v>1408</v>
      </c>
      <c r="M8" s="349">
        <f ca="1">INDIRECT("'数据-取费表'!ai"&amp;$G$1)</f>
        <v>12</v>
      </c>
    </row>
    <row r="9" spans="1:37" ht="18" customHeight="1">
      <c r="A9" s="350"/>
      <c r="B9" s="3162"/>
      <c r="C9" s="352"/>
      <c r="D9" s="353"/>
      <c r="E9" s="348" t="s">
        <v>1409</v>
      </c>
      <c r="F9" s="358">
        <f ca="1">INDIRECT("'数据-取费表'!w"&amp;$G$1)</f>
        <v>0.2</v>
      </c>
      <c r="G9" s="1854"/>
      <c r="H9" s="350"/>
      <c r="I9" s="3162"/>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ROUND(IF(F10="押一",F6*F8*F7/12*F11,IF(F10="押二",F6*F8*F7/12*2*F11,IF(F10="押三",F6*F8*F7/12*3*F11,C11*F11))),0)</f>
        <v>1264</v>
      </c>
      <c r="D10" s="1827" t="s">
        <v>3032</v>
      </c>
      <c r="E10" s="359" t="s">
        <v>1412</v>
      </c>
      <c r="F10" s="1369" t="s">
        <v>3126</v>
      </c>
      <c r="G10" s="1854"/>
      <c r="H10" s="1294" t="s">
        <v>1039</v>
      </c>
      <c r="I10" s="1826" t="s">
        <v>1410</v>
      </c>
      <c r="J10" s="347">
        <f ca="1">ROUND(IF(M10="押一",M6*M8*M7/12*M11,IF(M10="押二",M6*M8*M7/12*2*M11,IF(M10="押三",M6*M8*M7/12*3*M11,J11*M11))),0)</f>
        <v>0</v>
      </c>
      <c r="K10" s="1838" t="s">
        <v>3033</v>
      </c>
      <c r="L10" s="359" t="s">
        <v>1412</v>
      </c>
      <c r="M10" s="1369"/>
    </row>
    <row r="11" spans="1:37" ht="18" customHeight="1">
      <c r="A11" s="354"/>
      <c r="B11" s="1828" t="s">
        <v>1604</v>
      </c>
      <c r="C11" s="1181"/>
      <c r="D11" s="353"/>
      <c r="E11" s="359" t="s">
        <v>1414</v>
      </c>
      <c r="F11" s="360">
        <f ca="1">'数据-取费表'!B39</f>
        <v>1.4999999999999999E-2</v>
      </c>
      <c r="G11" s="1854"/>
      <c r="H11" s="1302"/>
      <c r="I11" s="1828" t="s">
        <v>1605</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6848042</v>
      </c>
      <c r="D13" s="1334" t="s">
        <v>1417</v>
      </c>
      <c r="E13" s="1334" t="s">
        <v>1418</v>
      </c>
      <c r="F13" s="1335">
        <f ca="1">INDIRECT("'数据-取费表'!y"&amp;$G$1)</f>
        <v>0.9</v>
      </c>
      <c r="G13" s="1854"/>
      <c r="H13" s="1332">
        <v>2</v>
      </c>
      <c r="I13" s="1333" t="s">
        <v>1416</v>
      </c>
      <c r="J13" s="1293">
        <f ca="1">ROUND(J14*J15,0)</f>
        <v>0</v>
      </c>
      <c r="K13" s="1340" t="s">
        <v>1417</v>
      </c>
      <c r="L13" s="1855"/>
      <c r="M13" s="1856"/>
    </row>
    <row r="14" spans="1:37" ht="18" customHeight="1">
      <c r="A14" s="1204" t="s">
        <v>1034</v>
      </c>
      <c r="B14" s="348" t="s">
        <v>1419</v>
      </c>
      <c r="C14" s="364">
        <f ca="1">ROUND(INDIRECT("'数据-取费表'!l"&amp;$G$1)*F43+'数据-取费表'!L14*INDIRECT("'数据-取费表'!S"&amp;$G$1),0)</f>
        <v>4456100</v>
      </c>
      <c r="D14" s="1803" t="s">
        <v>1420</v>
      </c>
      <c r="E14" s="1797"/>
      <c r="F14" s="365"/>
      <c r="G14" s="1854"/>
      <c r="H14" s="1204" t="s">
        <v>1035</v>
      </c>
      <c r="I14" s="348" t="s">
        <v>1421</v>
      </c>
      <c r="J14" s="24">
        <f ca="1">C29</f>
        <v>7608935</v>
      </c>
      <c r="K14" s="15"/>
      <c r="L14" s="983"/>
      <c r="M14" s="984"/>
    </row>
    <row r="15" spans="1:37" s="1861" customFormat="1" ht="18" customHeight="1" thickBot="1">
      <c r="A15" s="1204" t="s">
        <v>1036</v>
      </c>
      <c r="B15" s="348" t="s">
        <v>1422</v>
      </c>
      <c r="C15" s="24">
        <f ca="1">ROUND(C14*F15,0)</f>
        <v>133683</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ROUND(INDIRECT("'数据-取费表'!l"&amp;$G$1)*F43*F16,0)</f>
        <v>222805</v>
      </c>
      <c r="D16" s="348" t="s">
        <v>1423</v>
      </c>
      <c r="E16" s="348" t="s">
        <v>1424</v>
      </c>
      <c r="F16" s="368">
        <f ca="1">IF(INDIRECT("'数据-取费表'!c"&amp;$G$1)="住宅",'数据-取费表'!B34,0)</f>
        <v>0.05</v>
      </c>
      <c r="G16" s="1854"/>
      <c r="H16" s="1332" t="s">
        <v>1030</v>
      </c>
      <c r="I16" s="1333" t="s">
        <v>1426</v>
      </c>
      <c r="J16" s="356">
        <f ca="1">ROUND(J17+J22+J23+J24,0)</f>
        <v>178049</v>
      </c>
      <c r="K16" s="1340" t="s">
        <v>1427</v>
      </c>
      <c r="L16" s="1341"/>
      <c r="M16" s="1297"/>
    </row>
    <row r="17" spans="1:37" s="1861" customFormat="1" ht="18" customHeight="1">
      <c r="A17" s="1204" t="s">
        <v>1391</v>
      </c>
      <c r="B17" s="348" t="s">
        <v>1428</v>
      </c>
      <c r="C17" s="24">
        <f ca="1">ROUND(F17*(F43+INDIRECT("'数据-取费表'!S"&amp;$G$1)),0)</f>
        <v>89122</v>
      </c>
      <c r="D17" s="348" t="s">
        <v>1429</v>
      </c>
      <c r="E17" s="348" t="s">
        <v>1430</v>
      </c>
      <c r="F17" s="26">
        <f>'数据-取费表'!B35</f>
        <v>200</v>
      </c>
      <c r="G17" s="1857"/>
      <c r="H17" s="1204" t="s">
        <v>1035</v>
      </c>
      <c r="I17" s="348" t="s">
        <v>1431</v>
      </c>
      <c r="J17" s="24">
        <f ca="1">ROUND(IF(项目基本情况!B11="自然人",J5*M17,J18+J19+J20),0)</f>
        <v>63915</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66842</v>
      </c>
      <c r="D18" s="348" t="s">
        <v>1423</v>
      </c>
      <c r="E18" s="348" t="s">
        <v>1424</v>
      </c>
      <c r="F18" s="368">
        <f>'数据-取费表'!B36</f>
        <v>1.4999999999999999E-2</v>
      </c>
      <c r="G18" s="1857"/>
      <c r="H18" s="1204"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4968552</v>
      </c>
      <c r="D19" s="140" t="s">
        <v>1438</v>
      </c>
      <c r="E19" s="1821"/>
      <c r="F19" s="26"/>
      <c r="G19" s="1854"/>
      <c r="H19" s="1204" t="s">
        <v>1036</v>
      </c>
      <c r="I19" s="348" t="s">
        <v>1439</v>
      </c>
      <c r="J19" s="24">
        <f ca="1">IF(K19="按租金收入计税",ROUND(J5*M19,0),ROUND(C29*M19*0.7,0))</f>
        <v>63915</v>
      </c>
      <c r="K19" s="1831" t="s">
        <v>1440</v>
      </c>
      <c r="L19" s="348" t="s">
        <v>1424</v>
      </c>
      <c r="M19" s="368">
        <f>IF(K19="按租金收入计税",'数据-取费表'!B51,'数据-取费表'!B50)</f>
        <v>1.2E-2</v>
      </c>
    </row>
    <row r="20" spans="1:37" s="1861" customFormat="1" ht="18" customHeight="1">
      <c r="A20" s="1204" t="s">
        <v>1039</v>
      </c>
      <c r="B20" s="348" t="s">
        <v>1441</v>
      </c>
      <c r="C20" s="24">
        <f ca="1">ROUND(C19*F20,0)</f>
        <v>149057</v>
      </c>
      <c r="D20" s="370" t="s">
        <v>1442</v>
      </c>
      <c r="E20" s="348" t="s">
        <v>1424</v>
      </c>
      <c r="F20" s="368">
        <f>'数据-取费表'!B37</f>
        <v>0.03</v>
      </c>
      <c r="G20" s="1857"/>
      <c r="H20" s="1204" t="s">
        <v>1390</v>
      </c>
      <c r="I20" s="165" t="s">
        <v>1443</v>
      </c>
      <c r="J20" s="25">
        <f ca="1">ROUND(M20*M21,0)</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ROUND(J14*M22,0)</f>
        <v>114134</v>
      </c>
      <c r="K22" s="1801" t="s">
        <v>1452</v>
      </c>
      <c r="L22" s="348" t="s">
        <v>1424</v>
      </c>
      <c r="M22" s="375">
        <f ca="1">INDIRECT("'数据-取费表'!Ak"&amp;$G$1)</f>
        <v>1.4999999999999999E-2</v>
      </c>
    </row>
    <row r="23" spans="1:37" s="1861" customFormat="1" ht="18" customHeight="1">
      <c r="A23" s="1204" t="s">
        <v>1034</v>
      </c>
      <c r="B23" s="348" t="s">
        <v>1453</v>
      </c>
      <c r="C23" s="24">
        <f ca="1">IF('数据-取费表'!B22&lt;=1,ROUND(C19*F24*F23/2,0)+ROUND(C20*F24*F23/2,0),ROUND(C19*(POWER((1+F24),F23/2)-1),0)+ROUND(C20*(POWER((1+F24),F23/2)-1),0))</f>
        <v>243086</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ROUND(J5*M24,0)</f>
        <v>0</v>
      </c>
      <c r="K24" s="1345" t="s">
        <v>1461</v>
      </c>
      <c r="L24" s="1343" t="s">
        <v>1457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8" t="s">
        <v>1463</v>
      </c>
      <c r="C25" s="24"/>
      <c r="D25" s="140" t="s">
        <v>1464</v>
      </c>
      <c r="E25" s="1821"/>
      <c r="F25" s="26"/>
      <c r="G25" s="1854"/>
      <c r="H25" s="1332" t="s">
        <v>1031</v>
      </c>
      <c r="I25" s="1347" t="s">
        <v>1465</v>
      </c>
      <c r="J25" s="356">
        <f ca="1">J5-J16</f>
        <v>-178049</v>
      </c>
      <c r="K25" s="1348" t="s">
        <v>1466</v>
      </c>
      <c r="L25" s="1349"/>
      <c r="M25" s="1350"/>
    </row>
    <row r="26" spans="1:37" ht="18" customHeight="1">
      <c r="A26" s="1204" t="s">
        <v>1034</v>
      </c>
      <c r="B26" s="348" t="s">
        <v>1467</v>
      </c>
      <c r="C26" s="24">
        <f ca="1">ROUND((C19+C20)*F26,0)</f>
        <v>1535283</v>
      </c>
      <c r="D26" s="370" t="s">
        <v>1468</v>
      </c>
      <c r="E26" s="359" t="s">
        <v>1469</v>
      </c>
      <c r="F26" s="358">
        <f ca="1">INDIRECT("'数据-取费表'!q"&amp;$G$1)</f>
        <v>0.3</v>
      </c>
      <c r="G26" s="1854"/>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4" t="s">
        <v>1036</v>
      </c>
      <c r="B27" s="348" t="s">
        <v>1473</v>
      </c>
      <c r="C27" s="24">
        <f ca="1">ROUND(F21*F26,4)</f>
        <v>8.9999999999999993E-3</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7608935</v>
      </c>
      <c r="D29" s="1345"/>
      <c r="E29" s="1343"/>
      <c r="F29" s="1346"/>
      <c r="G29" s="1857"/>
      <c r="H29" s="381" t="s">
        <v>1033</v>
      </c>
      <c r="I29" s="382" t="s">
        <v>1481</v>
      </c>
      <c r="J29" s="383">
        <f ca="1">ROUND(J26/(1+F40)^F41,0)</f>
        <v>0</v>
      </c>
      <c r="K29" s="384" t="s">
        <v>1482</v>
      </c>
      <c r="L29" s="385"/>
      <c r="M29" s="386">
        <f ca="1">INDIRECT("'数据-取费表'!k"&amp;$G$1)</f>
        <v>445.61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251149</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ROUND(IF(项目基本情况!B11="自然人",C5*F31,C32+C33+C34),0)</f>
        <v>107118</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IF(项目基本情况!B11="自然人","——",ROUND(C5*F32/(1+'数据-取费表'!C42),0))</f>
        <v>43203</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IF(项目基本情况!B11="自然人","——",IF(D33="按租金收入计税",ROUND(C5*F33,0),IF(D33="按房产原值计税",ROUND(C29*F33*0.7,0),INDIRECT("'数据-取费表'!Aj"&amp;$G$1))))</f>
        <v>63915</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ROUND(C29*F36,0)</f>
        <v>114134</v>
      </c>
      <c r="D36" s="1801" t="s">
        <v>1484</v>
      </c>
      <c r="E36" s="348" t="s">
        <v>1424</v>
      </c>
      <c r="F36" s="375">
        <f ca="1">INDIRECT("'数据-取费表'!Ak"&amp;$G$1)</f>
        <v>1.4999999999999999E-2</v>
      </c>
      <c r="G36" s="1854"/>
      <c r="H36" s="1862"/>
      <c r="I36" s="1863"/>
      <c r="J36" s="1864"/>
      <c r="K36" s="752"/>
      <c r="L36" s="1862"/>
      <c r="M36" s="1862"/>
    </row>
    <row r="37" spans="1:18" ht="18" customHeight="1">
      <c r="A37" s="1204" t="s">
        <v>1075</v>
      </c>
      <c r="B37" s="348" t="s">
        <v>1455</v>
      </c>
      <c r="C37" s="24">
        <f ca="1">ROUND(C13*F37,0)</f>
        <v>13696</v>
      </c>
      <c r="D37" s="1801" t="s">
        <v>1456</v>
      </c>
      <c r="E37" s="348" t="s">
        <v>1457</v>
      </c>
      <c r="F37" s="377">
        <f ca="1">INDIRECT("'数据-取费表'!Al"&amp;$G$1)</f>
        <v>2E-3</v>
      </c>
      <c r="G37" s="1854"/>
      <c r="H37" s="1862"/>
      <c r="I37" s="1863"/>
      <c r="J37" s="1864"/>
      <c r="K37" s="752"/>
      <c r="L37" s="1862"/>
      <c r="M37" s="1862"/>
    </row>
    <row r="38" spans="1:18" ht="18" customHeight="1" thickBot="1">
      <c r="A38" s="1342" t="s">
        <v>1394</v>
      </c>
      <c r="B38" s="1343" t="s">
        <v>1441</v>
      </c>
      <c r="C38" s="1344">
        <f ca="1">ROUND(C5*F38,1)</f>
        <v>16201.1</v>
      </c>
      <c r="D38" s="1345" t="s">
        <v>1461</v>
      </c>
      <c r="E38" s="1343" t="s">
        <v>1457</v>
      </c>
      <c r="F38" s="1339">
        <f ca="1">INDIRECT("'数据-取费表'!Am"&amp;$G$1)</f>
        <v>0.02</v>
      </c>
      <c r="G38" s="1854"/>
      <c r="H38" s="1862"/>
      <c r="I38" s="1863"/>
      <c r="J38" s="1864"/>
      <c r="K38" s="1868"/>
      <c r="L38" s="1862"/>
      <c r="M38" s="1862"/>
    </row>
    <row r="39" spans="1:18" ht="24.6" customHeight="1" thickTop="1">
      <c r="A39" s="1332" t="s">
        <v>1031</v>
      </c>
      <c r="B39" s="1347" t="s">
        <v>1485</v>
      </c>
      <c r="C39" s="356">
        <f ca="1">C5-C30</f>
        <v>558905</v>
      </c>
      <c r="D39" s="1348" t="s">
        <v>1486</v>
      </c>
      <c r="E39" s="1349"/>
      <c r="F39" s="1350"/>
      <c r="G39" s="1854"/>
      <c r="H39" s="1862"/>
      <c r="I39" s="1863"/>
      <c r="J39" s="1864"/>
      <c r="K39" s="1868"/>
      <c r="L39" s="1862"/>
      <c r="M39" s="1862"/>
    </row>
    <row r="40" spans="1:18" ht="18" customHeight="1">
      <c r="A40" s="345" t="s">
        <v>1032</v>
      </c>
      <c r="B40" s="346" t="s">
        <v>1487</v>
      </c>
      <c r="C40" s="347">
        <f ca="1">ROUND(C39*(1-((1+F42)/(1+F40))^F41)/(F40-F42),0)</f>
        <v>20192547</v>
      </c>
      <c r="D40" s="371" t="s">
        <v>1471</v>
      </c>
      <c r="E40" s="348" t="s">
        <v>1472</v>
      </c>
      <c r="F40" s="358">
        <f ca="1">INDIRECT("'数据-取费表'!I"&amp;$G$1)</f>
        <v>4.4999999999999998E-2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3"/>
      <c r="I41" s="1863"/>
      <c r="J41" s="1864"/>
      <c r="K41" s="752"/>
      <c r="L41" s="733"/>
      <c r="M41" s="733"/>
    </row>
    <row r="42" spans="1:18" ht="18" customHeight="1">
      <c r="A42" s="354"/>
      <c r="B42" s="355"/>
      <c r="C42" s="356"/>
      <c r="D42" s="374"/>
      <c r="E42" s="348" t="s">
        <v>1479</v>
      </c>
      <c r="F42" s="358">
        <f ca="1">INDIRECT("'数据-取费表'!v"&amp;$G$1)</f>
        <v>0.03</v>
      </c>
      <c r="G42" s="1854"/>
      <c r="H42" s="733"/>
      <c r="I42" s="1863"/>
      <c r="J42" s="1864"/>
      <c r="K42" s="752"/>
      <c r="L42" s="733"/>
      <c r="M42" s="733"/>
    </row>
    <row r="43" spans="1:18" ht="18" customHeight="1" thickBot="1">
      <c r="A43" s="381" t="s">
        <v>1033</v>
      </c>
      <c r="B43" s="382" t="s">
        <v>1489</v>
      </c>
      <c r="C43" s="383">
        <f ca="1">ROUND(C40/F43,0)</f>
        <v>45314</v>
      </c>
      <c r="D43" s="384" t="s">
        <v>1490</v>
      </c>
      <c r="E43" s="385" t="s">
        <v>1491</v>
      </c>
      <c r="F43" s="386">
        <f ca="1">INDIRECT("'数据-取费表'!k"&amp;$G$1)</f>
        <v>445.61</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942">
        <f ca="1">C68-C40</f>
        <v>-27120057</v>
      </c>
      <c r="D45" s="1943" t="s">
        <v>1606</v>
      </c>
      <c r="E45" s="1869"/>
      <c r="F45" s="1869"/>
      <c r="O45" s="1872" t="s">
        <v>1521</v>
      </c>
      <c r="P45" s="1842"/>
      <c r="Q45" s="1842"/>
      <c r="R45" s="1842"/>
    </row>
    <row r="46" spans="1:18" s="1845" customFormat="1" ht="13.5" thickBot="1">
      <c r="A46" s="1873" t="s">
        <v>1522</v>
      </c>
      <c r="C46" s="1874">
        <f ca="1">ROUND(C45/10000,0)</f>
        <v>-2712</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8" t="s">
        <v>1397</v>
      </c>
      <c r="B47" s="1200" t="s">
        <v>1398</v>
      </c>
      <c r="C47" s="1200" t="s">
        <v>1399</v>
      </c>
      <c r="D47" s="1200" t="s">
        <v>1400</v>
      </c>
      <c r="E47" s="1282" t="s">
        <v>1401</v>
      </c>
      <c r="F47" s="1283"/>
      <c r="G47" s="793"/>
      <c r="I47" s="1883" t="s">
        <v>1528</v>
      </c>
      <c r="J47" s="1884" t="s">
        <v>3127</v>
      </c>
      <c r="K47" s="1885" t="s">
        <v>1529</v>
      </c>
      <c r="L47" s="1886">
        <f ca="1">INDIRECT("'数据-取费表'!d"&amp;$G$1)</f>
        <v>70</v>
      </c>
      <c r="M47" s="1841" t="str">
        <f>IF(ISNUMBER(FIND("住宅",C1)),"住宅","非住宅")</f>
        <v>住宅</v>
      </c>
      <c r="O47" s="1887" t="s">
        <v>1040</v>
      </c>
      <c r="P47" s="1888" t="s">
        <v>1530</v>
      </c>
      <c r="Q47" s="1889">
        <f ca="1">C40+J29</f>
        <v>20192547</v>
      </c>
      <c r="R47" s="1889" t="s">
        <v>1531</v>
      </c>
    </row>
    <row r="48" spans="1:18" s="1845" customFormat="1" ht="28.5" thickBot="1">
      <c r="A48" s="1363" t="s">
        <v>1135</v>
      </c>
      <c r="B48" s="346" t="s">
        <v>1402</v>
      </c>
      <c r="C48" s="1820">
        <f ca="1">C49+C53+C55</f>
        <v>0</v>
      </c>
      <c r="D48" s="1365"/>
      <c r="E48" s="1366"/>
      <c r="F48" s="1184"/>
      <c r="G48" s="793"/>
      <c r="H48" s="794"/>
      <c r="I48" s="1890" t="s">
        <v>1532</v>
      </c>
      <c r="J48" s="1891" t="s">
        <v>3128</v>
      </c>
      <c r="K48" s="1892" t="s">
        <v>1533</v>
      </c>
      <c r="L48" s="1893">
        <f ca="1">INDIRECT("'数据-取费表'!f"&amp;$G$1)</f>
        <v>57.23</v>
      </c>
      <c r="O48" s="1887" t="s">
        <v>1041</v>
      </c>
      <c r="P48" s="1888" t="s">
        <v>1534</v>
      </c>
      <c r="Q48" s="1889" t="str">
        <f ca="1">J60</f>
        <v>0</v>
      </c>
      <c r="R48" s="1889" t="s">
        <v>1535</v>
      </c>
    </row>
    <row r="49" spans="1:18" s="1845" customFormat="1" ht="13.5" thickBot="1">
      <c r="A49" s="1197" t="s">
        <v>1136</v>
      </c>
      <c r="B49" s="1832" t="s">
        <v>1492</v>
      </c>
      <c r="C49" s="1367">
        <f ca="1">ROUND(F49*F51*F50*(1-F52),0)</f>
        <v>0</v>
      </c>
      <c r="D49" s="1279" t="s">
        <v>1405</v>
      </c>
      <c r="E49" s="1833" t="s">
        <v>1493</v>
      </c>
      <c r="F49" s="1284"/>
      <c r="G49" s="1894"/>
      <c r="H49" s="794"/>
      <c r="I49" s="1890" t="s">
        <v>1536</v>
      </c>
      <c r="J49" s="1895">
        <v>2011</v>
      </c>
      <c r="K49" s="1892" t="s">
        <v>1537</v>
      </c>
      <c r="L49" s="1896"/>
      <c r="O49" s="1897" t="s">
        <v>1042</v>
      </c>
      <c r="P49" s="1888" t="s">
        <v>1538</v>
      </c>
      <c r="Q49" s="1889">
        <f ca="1">C29</f>
        <v>7608935</v>
      </c>
      <c r="R49" s="1889" t="s">
        <v>1531</v>
      </c>
    </row>
    <row r="50" spans="1:18" s="1845" customFormat="1" ht="13.5" thickBot="1">
      <c r="A50" s="1198"/>
      <c r="B50" s="1201"/>
      <c r="C50" s="1202"/>
      <c r="D50" s="1175"/>
      <c r="E50" s="1280" t="s">
        <v>1407</v>
      </c>
      <c r="F50" s="1281">
        <f ca="1">F7</f>
        <v>1</v>
      </c>
      <c r="H50" s="794"/>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9"/>
      <c r="B51" s="1201"/>
      <c r="C51" s="1202"/>
      <c r="D51" s="1175"/>
      <c r="E51" s="1203" t="s">
        <v>1408</v>
      </c>
      <c r="F51" s="349">
        <f ca="1">F8</f>
        <v>12</v>
      </c>
      <c r="I51" s="1901" t="s">
        <v>1542</v>
      </c>
      <c r="J51" s="1902">
        <f>IF(J49="",J50,J49+J50-YEAR('数据-取费表'!B2))</f>
        <v>54</v>
      </c>
      <c r="K51" s="1903" t="s">
        <v>1543</v>
      </c>
      <c r="L51" s="1904">
        <f ca="1">ROUND(-PV(INDIRECT("'数据-取费表'!h"&amp;$G$1),L48,(C39-C13*C76),0),0)</f>
        <v>-518059</v>
      </c>
      <c r="M51" s="1905"/>
      <c r="O51" s="1897" t="s">
        <v>1044</v>
      </c>
      <c r="P51" s="1888" t="s">
        <v>1544</v>
      </c>
      <c r="Q51" s="1900">
        <f>J52</f>
        <v>8.5000000000000006E-2</v>
      </c>
      <c r="R51" s="1889"/>
    </row>
    <row r="52" spans="1:18" s="1845" customFormat="1" ht="13.5" thickBot="1">
      <c r="A52" s="1199"/>
      <c r="B52" s="1201"/>
      <c r="C52" s="1202"/>
      <c r="D52" s="1175"/>
      <c r="E52" s="1203" t="s">
        <v>1409</v>
      </c>
      <c r="F52" s="1278"/>
      <c r="I52" s="1906" t="s">
        <v>1545</v>
      </c>
      <c r="J52" s="1907">
        <v>8.5000000000000006E-2</v>
      </c>
      <c r="K52" s="1906" t="s">
        <v>1546</v>
      </c>
      <c r="L52" s="1907"/>
      <c r="O52" s="1897" t="s">
        <v>1045</v>
      </c>
      <c r="P52" s="1888" t="s">
        <v>1547</v>
      </c>
      <c r="Q52" s="1889">
        <f>J53</f>
        <v>54</v>
      </c>
      <c r="R52" s="1889" t="s">
        <v>1548</v>
      </c>
    </row>
    <row r="53" spans="1:18" s="1845" customFormat="1" ht="30.75" customHeight="1" thickBot="1">
      <c r="A53" s="1364" t="s">
        <v>1137</v>
      </c>
      <c r="B53" s="370" t="s">
        <v>1410</v>
      </c>
      <c r="C53" s="362">
        <f ca="1">ROUND(IF(F53="押一",F49*F51*F50/12*F11,IF(F53="押二",F49*F51*F50/12*2*F11,IF(F53="押三",F49*F51*F50/12*3*F11,C54*F11))),0)</f>
        <v>0</v>
      </c>
      <c r="D53" s="1827" t="s">
        <v>1411</v>
      </c>
      <c r="E53" s="359" t="s">
        <v>1412</v>
      </c>
      <c r="F53" s="1369"/>
      <c r="I53" s="1908" t="s">
        <v>1549</v>
      </c>
      <c r="J53" s="1909">
        <f>IF(M47="住宅",J51,IF(D1="——",MIN(J51,L48),IF(D1="在建（套用方法）",MIN(J51,L48-'数据-取费表'!B24),IF(D1="土地（套用方法）",MIN(J51,L48-'数据-取费表'!B20)))))</f>
        <v>54</v>
      </c>
      <c r="K53" s="3158" t="s">
        <v>1550</v>
      </c>
      <c r="L53" s="3159"/>
      <c r="O53" s="1887" t="s">
        <v>1046</v>
      </c>
      <c r="P53" s="1888" t="s">
        <v>1551</v>
      </c>
      <c r="Q53" s="1889">
        <f ca="1">Q47+Q48</f>
        <v>20192547</v>
      </c>
      <c r="R53" s="1889" t="s">
        <v>1047</v>
      </c>
    </row>
    <row r="54" spans="1:18" s="1845" customFormat="1" ht="13.5" thickBot="1">
      <c r="A54" s="1197"/>
      <c r="B54" s="1944" t="s">
        <v>1605</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#VALUE!</v>
      </c>
      <c r="K55" s="1915" t="s">
        <v>1554</v>
      </c>
      <c r="L55" s="1916"/>
      <c r="O55" s="1880" t="s">
        <v>1524</v>
      </c>
      <c r="P55" s="1881" t="s">
        <v>1525</v>
      </c>
      <c r="Q55" s="1882" t="s">
        <v>1526</v>
      </c>
      <c r="R55" s="1882" t="s">
        <v>1527</v>
      </c>
    </row>
    <row r="56" spans="1:18" s="1845" customFormat="1" ht="36" customHeight="1" thickTop="1" thickBot="1">
      <c r="A56" s="1179">
        <v>2</v>
      </c>
      <c r="B56" s="1180" t="s">
        <v>1416</v>
      </c>
      <c r="C56" s="277">
        <f ca="1">C13</f>
        <v>6848042</v>
      </c>
      <c r="D56" s="1917"/>
      <c r="E56" s="1918"/>
      <c r="F56" s="1910"/>
      <c r="I56" s="1919" t="s">
        <v>1556</v>
      </c>
      <c r="J56" s="1920" t="s">
        <v>3063</v>
      </c>
      <c r="K56" s="1890" t="s">
        <v>1557</v>
      </c>
      <c r="L56" s="1893">
        <f ca="1">IF(L48&lt;J51,"——",L48-J51)</f>
        <v>3.2299999999999969</v>
      </c>
      <c r="O56" s="1887" t="s">
        <v>1040</v>
      </c>
      <c r="P56" s="1888" t="s">
        <v>1530</v>
      </c>
      <c r="Q56" s="1889">
        <f ca="1">C40+J29</f>
        <v>20192547</v>
      </c>
      <c r="R56" s="1889" t="s">
        <v>1531</v>
      </c>
    </row>
    <row r="57" spans="1:18" s="1845" customFormat="1" ht="24.75" thickBot="1">
      <c r="A57" s="1921"/>
      <c r="B57" s="1172" t="s">
        <v>1480</v>
      </c>
      <c r="C57" s="283">
        <f ca="1">C29</f>
        <v>7608935</v>
      </c>
      <c r="D57" s="1922"/>
      <c r="E57" s="1923"/>
      <c r="F57" s="1924"/>
      <c r="I57" s="1925" t="s">
        <v>1558</v>
      </c>
      <c r="J57" s="1926" t="str">
        <f ca="1">IF(OR(M47="住宅",J51&lt;L48,J56="是"),"——",J51-L48)</f>
        <v>——</v>
      </c>
      <c r="K57" s="1890" t="s">
        <v>1607</v>
      </c>
      <c r="L57" s="1893">
        <f ca="1">IF(L48&lt;J51,"——",IF(L55="比较法",L49,IF(L55="基准地价",L50,L51)))</f>
        <v>-518059</v>
      </c>
      <c r="O57" s="1887" t="s">
        <v>1041</v>
      </c>
      <c r="P57" s="1888" t="s">
        <v>1608</v>
      </c>
      <c r="Q57" s="1889">
        <f ca="1">L60</f>
        <v>0</v>
      </c>
      <c r="R57" s="1889" t="s">
        <v>1609</v>
      </c>
    </row>
    <row r="58" spans="1:18" s="1845" customFormat="1" ht="24.75" thickBot="1">
      <c r="A58" s="361" t="s">
        <v>1030</v>
      </c>
      <c r="B58" s="1180" t="s">
        <v>1426</v>
      </c>
      <c r="C58" s="362">
        <f ca="1">ROUND(C59+C64+C65+C66,0)</f>
        <v>191745</v>
      </c>
      <c r="D58" s="1182" t="s">
        <v>1427</v>
      </c>
      <c r="E58" s="1183"/>
      <c r="F58" s="1184"/>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ROUND(IF(项目基本情况!B11="自然人",C48*F59,C60+C61+C62),0)</f>
        <v>63915</v>
      </c>
      <c r="D59" s="1185" t="s">
        <v>1432</v>
      </c>
      <c r="E59" s="1186"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IF(项目基本情况!B11="自然人","——",IF(D61="按租金收入计税",ROUND(C48*F61,0),IF(D61="按房产原值计税",ROUND(C57*F61*0.7,0),INDIRECT("'数据-取费表'!Aj"&amp;$G$1))))</f>
        <v>63915</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IF(项目基本情况!B11="自然人","——",ROUND(F62*F63,0))</f>
        <v>0</v>
      </c>
      <c r="D62" s="1187" t="s">
        <v>1499</v>
      </c>
      <c r="E62" s="1172" t="s">
        <v>1500</v>
      </c>
      <c r="F62" s="372">
        <f t="shared" si="0"/>
        <v>18</v>
      </c>
      <c r="I62" s="1932" t="s">
        <v>1572</v>
      </c>
      <c r="J62" s="1933" t="s">
        <v>1573</v>
      </c>
      <c r="K62" s="1933" t="s">
        <v>1574</v>
      </c>
      <c r="L62" s="1933" t="s">
        <v>1575</v>
      </c>
      <c r="M62" s="1934" t="s">
        <v>1576</v>
      </c>
      <c r="O62" s="1887" t="s">
        <v>1046</v>
      </c>
      <c r="P62" s="1888" t="s">
        <v>1577</v>
      </c>
      <c r="Q62" s="1889">
        <f ca="1">Q56+Q57</f>
        <v>20192547</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ROUND(C57*F64,0)</f>
        <v>114134</v>
      </c>
      <c r="D64" s="1186" t="s">
        <v>1504</v>
      </c>
      <c r="E64" s="1172" t="s">
        <v>1496</v>
      </c>
      <c r="F64" s="375">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ROUND(C56*F65,0)</f>
        <v>13696</v>
      </c>
      <c r="D65" s="1186" t="s">
        <v>1456</v>
      </c>
      <c r="E65" s="1172" t="s">
        <v>1457</v>
      </c>
      <c r="F65" s="377">
        <f t="shared" ca="1" si="0"/>
        <v>2E-3</v>
      </c>
      <c r="I65" s="1932" t="s">
        <v>1581</v>
      </c>
      <c r="J65" s="1933">
        <v>40</v>
      </c>
      <c r="K65" s="1933">
        <v>30</v>
      </c>
      <c r="L65" s="1933">
        <v>50</v>
      </c>
      <c r="M65" s="1935">
        <v>0.02</v>
      </c>
      <c r="O65" s="1887" t="s">
        <v>1040</v>
      </c>
      <c r="P65" s="1888" t="s">
        <v>1582</v>
      </c>
      <c r="Q65" s="1889">
        <f ca="1">C40+J29</f>
        <v>20192547</v>
      </c>
      <c r="R65" s="1889" t="s">
        <v>1531</v>
      </c>
    </row>
    <row r="66" spans="1:18" s="1845" customFormat="1" ht="16.5" thickBot="1">
      <c r="A66" s="1204" t="s">
        <v>1506</v>
      </c>
      <c r="B66" s="1172" t="s">
        <v>1441</v>
      </c>
      <c r="C66" s="24">
        <f ca="1">ROUND(C48*F66,0)</f>
        <v>0</v>
      </c>
      <c r="D66" s="1186" t="s">
        <v>1507</v>
      </c>
      <c r="E66" s="1172" t="s">
        <v>1424</v>
      </c>
      <c r="F66" s="358">
        <f t="shared" ca="1" si="0"/>
        <v>0.02</v>
      </c>
      <c r="O66" s="1887" t="s">
        <v>1041</v>
      </c>
      <c r="P66" s="1888" t="s">
        <v>1560</v>
      </c>
      <c r="Q66" s="1889">
        <f ca="1">L60</f>
        <v>0</v>
      </c>
      <c r="R66" s="1889" t="s">
        <v>1583</v>
      </c>
    </row>
    <row r="67" spans="1:18" s="1845" customFormat="1" ht="16.5" thickBot="1">
      <c r="A67" s="1179" t="s">
        <v>1031</v>
      </c>
      <c r="B67" s="1189" t="s">
        <v>1465</v>
      </c>
      <c r="C67" s="362">
        <f ca="1">C48-C58</f>
        <v>-191745</v>
      </c>
      <c r="D67" s="1185" t="s">
        <v>1466</v>
      </c>
      <c r="E67" s="1190"/>
      <c r="F67" s="1191"/>
      <c r="O67" s="1897" t="s">
        <v>1042</v>
      </c>
      <c r="P67" s="1888" t="s">
        <v>1564</v>
      </c>
      <c r="Q67" s="1936">
        <f ca="1">L51</f>
        <v>-518059</v>
      </c>
      <c r="R67" s="1889" t="s">
        <v>1584</v>
      </c>
    </row>
    <row r="68" spans="1:18" s="1845" customFormat="1" ht="16.5" thickBot="1">
      <c r="A68" s="1169" t="s">
        <v>1032</v>
      </c>
      <c r="B68" s="1170" t="s">
        <v>1487</v>
      </c>
      <c r="C68" s="347">
        <f ca="1">ROUND(C67*(1-((1+F70)/(1+F68))^F69)/(F68-F70),0)</f>
        <v>-6927510</v>
      </c>
      <c r="D68" s="1187" t="s">
        <v>1471</v>
      </c>
      <c r="E68" s="1172" t="s">
        <v>1472</v>
      </c>
      <c r="F68" s="358">
        <f ca="1">F40</f>
        <v>4.4999999999999998E-2</v>
      </c>
      <c r="O68" s="1897" t="s">
        <v>1043</v>
      </c>
      <c r="P68" s="1937" t="s">
        <v>1585</v>
      </c>
      <c r="Q68" s="1889">
        <f ca="1">ROUND(Q69-Q70*Q71,0)</f>
        <v>-23179</v>
      </c>
      <c r="R68" s="1889" t="s">
        <v>1051</v>
      </c>
    </row>
    <row r="69" spans="1:18" s="1845" customFormat="1" ht="13.5" thickBot="1">
      <c r="A69" s="1173"/>
      <c r="B69" s="1174"/>
      <c r="C69" s="352"/>
      <c r="D69" s="1192" t="s">
        <v>1475</v>
      </c>
      <c r="E69" s="1172" t="s">
        <v>1476</v>
      </c>
      <c r="F69" s="380">
        <f ca="1">F41</f>
        <v>54</v>
      </c>
      <c r="O69" s="1897" t="s">
        <v>1048</v>
      </c>
      <c r="P69" s="1937" t="s">
        <v>1586</v>
      </c>
      <c r="Q69" s="1889">
        <f ca="1">C39</f>
        <v>558905</v>
      </c>
      <c r="R69" s="1889" t="s">
        <v>1531</v>
      </c>
    </row>
    <row r="70" spans="1:18" s="1845" customFormat="1" ht="13.5" thickBot="1">
      <c r="A70" s="1176"/>
      <c r="B70" s="1177"/>
      <c r="C70" s="356"/>
      <c r="D70" s="1188"/>
      <c r="E70" s="1172" t="s">
        <v>1479</v>
      </c>
      <c r="F70" s="1278">
        <f ca="1">F42</f>
        <v>0.03</v>
      </c>
      <c r="O70" s="1897" t="s">
        <v>1049</v>
      </c>
      <c r="P70" s="1937" t="s">
        <v>1587</v>
      </c>
      <c r="Q70" s="1889">
        <f ca="1">C13</f>
        <v>6848042</v>
      </c>
      <c r="R70" s="1889" t="s">
        <v>1531</v>
      </c>
    </row>
    <row r="71" spans="1:18" s="1845" customFormat="1" ht="13.5" thickBot="1">
      <c r="A71" s="1193" t="s">
        <v>1033</v>
      </c>
      <c r="B71" s="1194" t="s">
        <v>1489</v>
      </c>
      <c r="C71" s="383">
        <f ca="1">ROUND(C68/F71,0)</f>
        <v>-15546</v>
      </c>
      <c r="D71" s="1195" t="s">
        <v>1490</v>
      </c>
      <c r="E71" s="1196" t="s">
        <v>1491</v>
      </c>
      <c r="F71" s="386">
        <f ca="1">F43</f>
        <v>445.61</v>
      </c>
      <c r="O71" s="1897" t="s">
        <v>1050</v>
      </c>
      <c r="P71" s="1937" t="s">
        <v>1588</v>
      </c>
      <c r="Q71" s="1900">
        <f ca="1">C76</f>
        <v>8.5000000000000006E-2</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582084</v>
      </c>
      <c r="D75" s="1845"/>
      <c r="E75" s="1845"/>
      <c r="F75" s="1845"/>
      <c r="K75" s="1871"/>
      <c r="L75" s="1845"/>
      <c r="O75" s="1887" t="s">
        <v>1046</v>
      </c>
      <c r="P75" s="1888" t="s">
        <v>1551</v>
      </c>
      <c r="Q75" s="1889">
        <f ca="1">Q65+Q66</f>
        <v>20192547</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-4.0999999999999925E-2</v>
      </c>
    </row>
    <row r="80" spans="1:18">
      <c r="B80" s="387" t="s">
        <v>1513</v>
      </c>
      <c r="C80" s="319">
        <f ca="1">ROUND(C75/C39,3)</f>
        <v>1.0409999999999999</v>
      </c>
    </row>
    <row r="81" spans="2:3">
      <c r="B81" s="315" t="s">
        <v>1514</v>
      </c>
      <c r="C81" s="283"/>
    </row>
    <row r="82" spans="2:3">
      <c r="B82" s="318" t="s">
        <v>1515</v>
      </c>
      <c r="C82" s="320">
        <f ca="1">1-C83</f>
        <v>0.66100000000000003</v>
      </c>
    </row>
    <row r="83" spans="2:3">
      <c r="B83" s="318" t="s">
        <v>1516</v>
      </c>
      <c r="C83" s="319">
        <f ca="1">ROUND(C13/C40,3)</f>
        <v>0.33900000000000002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2330</v>
      </c>
      <c r="B2" s="2568">
        <f ca="1">SUMIF(B6:B13,"&lt;&gt;#ref!",B6:B13)</f>
        <v>2019</v>
      </c>
      <c r="C2" s="2569" t="s">
        <v>2522</v>
      </c>
      <c r="D2" s="2570" t="s">
        <v>2523</v>
      </c>
      <c r="E2" s="2571">
        <f>SUM(E6:E13)</f>
        <v>445.61</v>
      </c>
    </row>
    <row r="3" spans="1:6" ht="15.75">
      <c r="A3" s="2567" t="s">
        <v>1396</v>
      </c>
      <c r="B3" s="2568">
        <f ca="1">ROUND(B2*10000/E2,0)</f>
        <v>45309</v>
      </c>
      <c r="C3" s="2569" t="s">
        <v>2530</v>
      </c>
      <c r="D3" s="2572"/>
      <c r="E3" s="2573"/>
    </row>
    <row r="4" spans="1:6" ht="15.75">
      <c r="A4" s="2574"/>
      <c r="B4" s="2572"/>
      <c r="C4" s="2572"/>
      <c r="D4" s="2572"/>
      <c r="E4" s="2573"/>
    </row>
    <row r="5" spans="1:6" ht="15">
      <c r="A5" s="2575" t="s">
        <v>2524</v>
      </c>
      <c r="B5" s="3163" t="s">
        <v>2525</v>
      </c>
      <c r="C5" s="3163"/>
      <c r="D5" s="2576"/>
      <c r="E5" s="2577" t="s">
        <v>2526</v>
      </c>
      <c r="F5" s="2578" t="s">
        <v>2527</v>
      </c>
    </row>
    <row r="6" spans="1:6">
      <c r="A6" s="2579" t="str">
        <f>'数据-取费表'!AN6</f>
        <v>收益法 (元)</v>
      </c>
      <c r="B6" s="2578">
        <f ca="1">IF(F6="是",'数据-取费表'!AO6,0)</f>
        <v>2019</v>
      </c>
      <c r="C6" s="2569" t="s">
        <v>2522</v>
      </c>
      <c r="D6" s="2572"/>
      <c r="E6" s="2580">
        <f>IF(OR(A6=0,F6="否"),0,'数据-取费表'!K6+'数据-取费表'!S6)</f>
        <v>445.61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4" t="s">
        <v>1076</v>
      </c>
      <c r="B1" s="3165"/>
      <c r="C1" s="3166"/>
      <c r="D1" s="3167">
        <f>SUM(I10,I15,I20,I21,I23)</f>
        <v>0</v>
      </c>
      <c r="E1" s="3167"/>
      <c r="F1" s="3167"/>
      <c r="G1" s="3167"/>
      <c r="H1" s="3167"/>
      <c r="I1" s="3168"/>
    </row>
    <row r="2" spans="1:9">
      <c r="A2" s="3169" t="s">
        <v>1077</v>
      </c>
      <c r="B2" s="3170" t="s">
        <v>1078</v>
      </c>
      <c r="C2" s="3170"/>
      <c r="D2" s="1304" t="s">
        <v>1079</v>
      </c>
      <c r="E2" s="1304" t="s">
        <v>1080</v>
      </c>
      <c r="F2" s="1304" t="s">
        <v>1081</v>
      </c>
      <c r="G2" s="1304" t="s">
        <v>1082</v>
      </c>
      <c r="H2" s="1304" t="s">
        <v>1083</v>
      </c>
      <c r="I2" s="1305" t="s">
        <v>1084</v>
      </c>
    </row>
    <row r="3" spans="1:9">
      <c r="A3" s="3169"/>
      <c r="B3" s="3170" t="s">
        <v>1085</v>
      </c>
      <c r="C3" s="3170"/>
      <c r="D3" s="1306"/>
      <c r="E3" s="1304"/>
      <c r="F3" s="1307"/>
      <c r="G3" s="1307"/>
      <c r="H3" s="1308"/>
      <c r="I3" s="1309">
        <f>ROUND(D3*E3*F3*G3*H3/10000,0)</f>
        <v>0</v>
      </c>
    </row>
    <row r="4" spans="1:9">
      <c r="A4" s="3169"/>
      <c r="B4" s="3170" t="s">
        <v>1086</v>
      </c>
      <c r="C4" s="3170"/>
      <c r="D4" s="1306"/>
      <c r="E4" s="1304"/>
      <c r="F4" s="1307"/>
      <c r="G4" s="1307"/>
      <c r="H4" s="1308"/>
      <c r="I4" s="1309">
        <f t="shared" ref="I4:I9" si="0">ROUND(D4*E4*F4*G4*H4/10000,0)</f>
        <v>0</v>
      </c>
    </row>
    <row r="5" spans="1:9">
      <c r="A5" s="3169"/>
      <c r="B5" s="3170" t="s">
        <v>1087</v>
      </c>
      <c r="C5" s="3170"/>
      <c r="D5" s="1306"/>
      <c r="E5" s="1304"/>
      <c r="F5" s="1307"/>
      <c r="G5" s="1307"/>
      <c r="H5" s="1308"/>
      <c r="I5" s="1309">
        <f t="shared" si="0"/>
        <v>0</v>
      </c>
    </row>
    <row r="6" spans="1:9">
      <c r="A6" s="3169"/>
      <c r="B6" s="3170" t="s">
        <v>1088</v>
      </c>
      <c r="C6" s="3170"/>
      <c r="D6" s="1306"/>
      <c r="E6" s="1304"/>
      <c r="F6" s="1307"/>
      <c r="G6" s="1307"/>
      <c r="H6" s="1308"/>
      <c r="I6" s="1309">
        <f t="shared" si="0"/>
        <v>0</v>
      </c>
    </row>
    <row r="7" spans="1:9">
      <c r="A7" s="3169"/>
      <c r="B7" s="3170" t="s">
        <v>1089</v>
      </c>
      <c r="C7" s="3170"/>
      <c r="D7" s="1306"/>
      <c r="E7" s="1304"/>
      <c r="F7" s="1307"/>
      <c r="G7" s="1307"/>
      <c r="H7" s="1308"/>
      <c r="I7" s="1309">
        <f t="shared" si="0"/>
        <v>0</v>
      </c>
    </row>
    <row r="8" spans="1:9">
      <c r="A8" s="3169"/>
      <c r="B8" s="3170" t="s">
        <v>1090</v>
      </c>
      <c r="C8" s="3170"/>
      <c r="D8" s="1306"/>
      <c r="E8" s="1304"/>
      <c r="F8" s="1307"/>
      <c r="G8" s="1307"/>
      <c r="H8" s="1308"/>
      <c r="I8" s="1309">
        <f t="shared" si="0"/>
        <v>0</v>
      </c>
    </row>
    <row r="9" spans="1:9">
      <c r="A9" s="3169"/>
      <c r="B9" s="3170" t="s">
        <v>1091</v>
      </c>
      <c r="C9" s="3170"/>
      <c r="D9" s="1306"/>
      <c r="E9" s="1304"/>
      <c r="F9" s="1307"/>
      <c r="G9" s="1307"/>
      <c r="H9" s="1308"/>
      <c r="I9" s="1309">
        <f t="shared" si="0"/>
        <v>0</v>
      </c>
    </row>
    <row r="10" spans="1:9">
      <c r="A10" s="3169"/>
      <c r="B10" s="3171" t="s">
        <v>1092</v>
      </c>
      <c r="C10" s="3171"/>
      <c r="D10" s="1310"/>
      <c r="E10" s="1310" t="e">
        <f>ROUND(D1*10000/D10/H9,0)</f>
        <v>#DIV/0!</v>
      </c>
      <c r="F10" s="1311"/>
      <c r="G10" s="1311"/>
      <c r="H10" s="1312"/>
      <c r="I10" s="1313">
        <f>SUM(I3:I9)</f>
        <v>0</v>
      </c>
    </row>
    <row r="11" spans="1:9" ht="14.25">
      <c r="A11" s="3169" t="s">
        <v>1093</v>
      </c>
      <c r="B11" s="3170" t="s">
        <v>1094</v>
      </c>
      <c r="C11" s="3170"/>
      <c r="D11" s="1306" t="s">
        <v>1095</v>
      </c>
      <c r="E11" s="1306" t="s">
        <v>1096</v>
      </c>
      <c r="F11" s="1307" t="s">
        <v>1097</v>
      </c>
      <c r="G11" s="1307" t="s">
        <v>1083</v>
      </c>
      <c r="H11" s="1314" t="s">
        <v>1098</v>
      </c>
      <c r="I11" s="1305" t="s">
        <v>1084</v>
      </c>
    </row>
    <row r="12" spans="1:9">
      <c r="A12" s="3169"/>
      <c r="B12" s="3170" t="s">
        <v>1099</v>
      </c>
      <c r="C12" s="3170"/>
      <c r="D12" s="1306"/>
      <c r="E12" s="1306"/>
      <c r="F12" s="1307"/>
      <c r="G12" s="1308"/>
      <c r="H12" s="1315"/>
      <c r="I12" s="1305">
        <f>ROUND(D12*E12*F12*G12/10000,0)</f>
        <v>0</v>
      </c>
    </row>
    <row r="13" spans="1:9">
      <c r="A13" s="3169"/>
      <c r="B13" s="3170" t="s">
        <v>1100</v>
      </c>
      <c r="C13" s="3170"/>
      <c r="D13" s="1306"/>
      <c r="E13" s="1306"/>
      <c r="F13" s="1307"/>
      <c r="G13" s="1308"/>
      <c r="H13" s="1315"/>
      <c r="I13" s="1305">
        <f>ROUND(D13*E13*F13*G13/10000,0)</f>
        <v>0</v>
      </c>
    </row>
    <row r="14" spans="1:9">
      <c r="A14" s="3169"/>
      <c r="B14" s="3170" t="s">
        <v>1101</v>
      </c>
      <c r="C14" s="3170"/>
      <c r="D14" s="1306"/>
      <c r="E14" s="1306"/>
      <c r="F14" s="1307"/>
      <c r="G14" s="1308"/>
      <c r="H14" s="1315"/>
      <c r="I14" s="1305">
        <f>ROUND(D14*E14*F14*G14/10000,0)</f>
        <v>0</v>
      </c>
    </row>
    <row r="15" spans="1:9">
      <c r="A15" s="3169"/>
      <c r="B15" s="3171" t="s">
        <v>1092</v>
      </c>
      <c r="C15" s="3171"/>
      <c r="D15" s="1310"/>
      <c r="E15" s="1310">
        <f>SUM(E12:E14)</f>
        <v>0</v>
      </c>
      <c r="F15" s="1311"/>
      <c r="G15" s="1308"/>
      <c r="H15" s="1315"/>
      <c r="I15" s="1316">
        <f>SUM(I12:I14)</f>
        <v>0</v>
      </c>
    </row>
    <row r="16" spans="1:9" ht="24">
      <c r="A16" s="3169" t="s">
        <v>1102</v>
      </c>
      <c r="B16" s="3170" t="s">
        <v>1103</v>
      </c>
      <c r="C16" s="3170"/>
      <c r="D16" s="1306" t="s">
        <v>1079</v>
      </c>
      <c r="E16" s="1317" t="s">
        <v>1104</v>
      </c>
      <c r="F16" s="1307" t="s">
        <v>1105</v>
      </c>
      <c r="G16" s="1308" t="s">
        <v>1083</v>
      </c>
      <c r="H16" s="1314" t="s">
        <v>1098</v>
      </c>
      <c r="I16" s="1305" t="s">
        <v>1084</v>
      </c>
    </row>
    <row r="17" spans="1:9" ht="14.25">
      <c r="A17" s="3169"/>
      <c r="B17" s="3170" t="s">
        <v>1106</v>
      </c>
      <c r="C17" s="3170"/>
      <c r="D17" s="1306"/>
      <c r="E17" s="1306"/>
      <c r="F17" s="1307"/>
      <c r="G17" s="1308"/>
      <c r="H17" s="1318"/>
      <c r="I17" s="1319">
        <f>ROUND(D17*E17*F17*G17/10000,0)</f>
        <v>0</v>
      </c>
    </row>
    <row r="18" spans="1:9" ht="14.25">
      <c r="A18" s="3169"/>
      <c r="B18" s="3170" t="s">
        <v>1107</v>
      </c>
      <c r="C18" s="3170"/>
      <c r="D18" s="1306"/>
      <c r="E18" s="1306"/>
      <c r="F18" s="1307"/>
      <c r="G18" s="1308"/>
      <c r="H18" s="1318"/>
      <c r="I18" s="1319">
        <f>ROUND(D18*E18*F18*G18/10000,0)</f>
        <v>0</v>
      </c>
    </row>
    <row r="19" spans="1:9" ht="14.25">
      <c r="A19" s="3169"/>
      <c r="B19" s="3170" t="s">
        <v>1108</v>
      </c>
      <c r="C19" s="3170"/>
      <c r="D19" s="1306"/>
      <c r="E19" s="1306"/>
      <c r="F19" s="1307"/>
      <c r="G19" s="1308"/>
      <c r="H19" s="1318"/>
      <c r="I19" s="1319">
        <f>ROUND(D19*E19*F19*G19/10000,0)</f>
        <v>0</v>
      </c>
    </row>
    <row r="20" spans="1:9">
      <c r="A20" s="3169"/>
      <c r="B20" s="3171" t="s">
        <v>1092</v>
      </c>
      <c r="C20" s="3171"/>
      <c r="D20" s="1310">
        <f>SUM(D17:D19)</f>
        <v>0</v>
      </c>
      <c r="E20" s="1310"/>
      <c r="F20" s="1311"/>
      <c r="G20" s="1308"/>
      <c r="H20" s="1315"/>
      <c r="I20" s="1316">
        <f>SUM(I17:I19)</f>
        <v>0</v>
      </c>
    </row>
    <row r="21" spans="1:9">
      <c r="A21" s="3169" t="s">
        <v>1109</v>
      </c>
      <c r="B21" s="3173"/>
      <c r="C21" s="3173"/>
      <c r="D21" s="3173"/>
      <c r="E21" s="3173"/>
      <c r="F21" s="3173"/>
      <c r="G21" s="3173"/>
      <c r="H21" s="1769">
        <v>0.1</v>
      </c>
      <c r="I21" s="1313">
        <f>ROUND(I10*H21,0)</f>
        <v>0</v>
      </c>
    </row>
    <row r="22" spans="1:9" ht="14.25">
      <c r="A22" s="3174" t="s">
        <v>1110</v>
      </c>
      <c r="B22" s="3175"/>
      <c r="C22" s="3176"/>
      <c r="D22" s="1320" t="s">
        <v>1111</v>
      </c>
      <c r="E22" s="1320" t="s">
        <v>1112</v>
      </c>
      <c r="F22" s="1321" t="s">
        <v>1113</v>
      </c>
      <c r="G22" s="1321" t="s">
        <v>1114</v>
      </c>
      <c r="H22" s="1314" t="s">
        <v>1115</v>
      </c>
      <c r="I22" s="1305" t="s">
        <v>1116</v>
      </c>
    </row>
    <row r="23" spans="1:9" ht="14.25" thickBot="1">
      <c r="A23" s="3177"/>
      <c r="B23" s="3178"/>
      <c r="C23" s="3179"/>
      <c r="D23" s="1322"/>
      <c r="E23" s="1322"/>
      <c r="F23" s="1322"/>
      <c r="G23" s="1323"/>
      <c r="H23" s="1324"/>
      <c r="I23" s="1325">
        <f>ROUND(E23*D23*F23*(1-G23)/10000,0)</f>
        <v>0</v>
      </c>
    </row>
    <row r="26" spans="1:9">
      <c r="A26" s="1326" t="s">
        <v>1117</v>
      </c>
      <c r="B26" s="1326"/>
      <c r="C26" s="1326"/>
      <c r="D26" s="1326"/>
      <c r="E26" s="3180">
        <f>C27-C30-C31-C32</f>
        <v>0</v>
      </c>
      <c r="F26" s="3180"/>
      <c r="G26" s="3180"/>
      <c r="H26" s="1741" t="s">
        <v>1341</v>
      </c>
    </row>
    <row r="27" spans="1:9">
      <c r="A27" s="1327">
        <v>1</v>
      </c>
      <c r="B27" s="1328" t="s">
        <v>1118</v>
      </c>
      <c r="C27" s="1328">
        <f>C28+C29</f>
        <v>0</v>
      </c>
      <c r="D27" s="1328"/>
      <c r="E27" s="3181"/>
      <c r="F27" s="3181"/>
      <c r="G27" s="3181"/>
    </row>
    <row r="28" spans="1:9">
      <c r="A28" s="1329" t="s">
        <v>1119</v>
      </c>
      <c r="B28" s="1328" t="s">
        <v>1120</v>
      </c>
      <c r="C28" s="1328"/>
      <c r="D28" s="1328"/>
      <c r="E28" s="3181"/>
      <c r="F28" s="3181"/>
      <c r="G28" s="318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72"/>
      <c r="F32" s="3172"/>
      <c r="G32" s="3172"/>
    </row>
    <row r="33" spans="1:7" hidden="1">
      <c r="A33" s="3182" t="s">
        <v>1129</v>
      </c>
      <c r="B33" s="3183"/>
      <c r="C33" s="3183"/>
      <c r="D33" s="3184"/>
      <c r="E33" s="3180"/>
      <c r="F33" s="3180"/>
      <c r="G33" s="3180"/>
    </row>
    <row r="34" spans="1:7" hidden="1">
      <c r="A34" s="1331">
        <v>1</v>
      </c>
      <c r="B34" s="1328" t="s">
        <v>1130</v>
      </c>
      <c r="C34" s="1328"/>
      <c r="D34" s="1328"/>
      <c r="E34" s="3181"/>
      <c r="F34" s="3181"/>
      <c r="G34" s="3181"/>
    </row>
    <row r="35" spans="1:7" hidden="1">
      <c r="A35" s="1331">
        <v>2</v>
      </c>
      <c r="B35" s="1328" t="s">
        <v>1131</v>
      </c>
      <c r="C35" s="1328"/>
      <c r="D35" s="1328"/>
      <c r="E35" s="3181"/>
      <c r="F35" s="3181"/>
      <c r="G35" s="3181"/>
    </row>
    <row r="36" spans="1:7" hidden="1">
      <c r="A36" s="1331">
        <v>3</v>
      </c>
      <c r="B36" s="1328" t="s">
        <v>1132</v>
      </c>
      <c r="C36" s="1328"/>
      <c r="D36" s="1328"/>
      <c r="E36" s="3181"/>
      <c r="F36" s="3181"/>
      <c r="G36" s="3181"/>
    </row>
    <row r="37" spans="1:7" hidden="1">
      <c r="A37" s="1331">
        <v>4</v>
      </c>
      <c r="B37" s="1328" t="s">
        <v>1133</v>
      </c>
      <c r="C37" s="1328"/>
      <c r="D37" s="1328"/>
      <c r="E37" s="3181"/>
      <c r="F37" s="3181"/>
      <c r="G37" s="3181"/>
    </row>
    <row r="38" spans="1:7" hidden="1">
      <c r="A38" s="3182" t="s">
        <v>1134</v>
      </c>
      <c r="B38" s="3183"/>
      <c r="C38" s="3183"/>
      <c r="D38" s="3184"/>
      <c r="E38" s="3180"/>
      <c r="F38" s="3180"/>
      <c r="G38" s="31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7" zoomScale="90" zoomScaleNormal="90" workbookViewId="0">
      <selection activeCell="I34" sqref="I34"/>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3180</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3754</v>
      </c>
      <c r="C2" s="2589" t="s">
        <v>70</v>
      </c>
      <c r="D2" s="1368" t="e">
        <f ca="1">SUMIF(INDIRECT("'"&amp;F2&amp;"'"&amp;"!A:A"),"承租人权益价值",INDIRECT("'"&amp;F2&amp;"'"&amp;"!c:c"))</f>
        <v>#REF!</v>
      </c>
      <c r="E2" s="2590" t="s">
        <v>2331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84248.5</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213" t="s">
        <v>2539</v>
      </c>
      <c r="D4" s="3214"/>
      <c r="E4" s="3215" t="s">
        <v>2540</v>
      </c>
      <c r="F4" s="3216"/>
      <c r="G4" s="3213" t="s">
        <v>2541</v>
      </c>
      <c r="H4" s="3214"/>
      <c r="I4" s="3213" t="s">
        <v>2542</v>
      </c>
      <c r="J4" s="3214"/>
      <c r="K4" s="2599" t="s">
        <v>2543</v>
      </c>
      <c r="L4" s="1133"/>
      <c r="M4" s="1134"/>
      <c r="N4" s="1134"/>
      <c r="O4" s="1134"/>
      <c r="P4" s="3217" t="s">
        <v>2544</v>
      </c>
      <c r="Q4" s="3218"/>
      <c r="R4" s="3200" t="s">
        <v>2540</v>
      </c>
      <c r="S4" s="3201"/>
      <c r="T4" s="3200" t="s">
        <v>2541</v>
      </c>
      <c r="U4" s="3201"/>
      <c r="V4" s="3206" t="s">
        <v>2542</v>
      </c>
      <c r="W4" s="3206"/>
      <c r="X4" s="2959"/>
      <c r="Y4" s="3200" t="s">
        <v>2544</v>
      </c>
      <c r="Z4" s="3201"/>
      <c r="AA4" s="3210" t="s">
        <v>2540</v>
      </c>
      <c r="AB4" s="3210" t="s">
        <v>2541</v>
      </c>
      <c r="AC4" s="3210" t="s">
        <v>2542</v>
      </c>
    </row>
    <row r="5" spans="1:29" ht="15">
      <c r="A5" s="405"/>
      <c r="B5" s="406"/>
      <c r="C5" s="3223" t="s">
        <v>2545</v>
      </c>
      <c r="D5" s="3224"/>
      <c r="E5" s="2944" t="s">
        <v>3157</v>
      </c>
      <c r="F5" s="2945"/>
      <c r="G5" s="2944" t="s">
        <v>3157</v>
      </c>
      <c r="H5" s="2945"/>
      <c r="I5" s="2944" t="s">
        <v>3157</v>
      </c>
      <c r="J5" s="2945"/>
      <c r="K5" s="2600"/>
      <c r="L5" s="1133"/>
      <c r="M5" s="1134"/>
      <c r="N5" s="1134"/>
      <c r="O5" s="1134"/>
      <c r="P5" s="3219"/>
      <c r="Q5" s="3220"/>
      <c r="R5" s="3202"/>
      <c r="S5" s="3203"/>
      <c r="T5" s="3202"/>
      <c r="U5" s="3203"/>
      <c r="V5" s="3206"/>
      <c r="W5" s="3206"/>
      <c r="X5" s="2959"/>
      <c r="Y5" s="3202"/>
      <c r="Z5" s="3203"/>
      <c r="AA5" s="3211"/>
      <c r="AB5" s="3211"/>
      <c r="AC5" s="3211"/>
    </row>
    <row r="6" spans="1:29" ht="15.75" thickBot="1">
      <c r="A6" s="407"/>
      <c r="B6" s="408"/>
      <c r="C6" s="3225" t="s">
        <v>2549</v>
      </c>
      <c r="D6" s="3226"/>
      <c r="E6" s="3227" t="s">
        <v>2549</v>
      </c>
      <c r="F6" s="3228"/>
      <c r="G6" s="3229" t="s">
        <v>2549</v>
      </c>
      <c r="H6" s="3230"/>
      <c r="I6" s="3225" t="s">
        <v>2549</v>
      </c>
      <c r="J6" s="3226"/>
      <c r="K6" s="2600" t="s">
        <v>2550</v>
      </c>
      <c r="L6" s="1133"/>
      <c r="M6" s="1134"/>
      <c r="N6" s="1134"/>
      <c r="O6" s="1134"/>
      <c r="P6" s="3221"/>
      <c r="Q6" s="3222"/>
      <c r="R6" s="3202"/>
      <c r="S6" s="3203"/>
      <c r="T6" s="3204"/>
      <c r="U6" s="3205"/>
      <c r="V6" s="3206"/>
      <c r="W6" s="3206"/>
      <c r="X6" s="2959"/>
      <c r="Y6" s="3204"/>
      <c r="Z6" s="3205"/>
      <c r="AA6" s="3212"/>
      <c r="AB6" s="3212"/>
      <c r="AC6" s="3212"/>
    </row>
    <row r="7" spans="1:29" s="117" customFormat="1" ht="15.75" thickBot="1">
      <c r="A7" s="409" t="s">
        <v>2551</v>
      </c>
      <c r="B7" s="410"/>
      <c r="C7" s="411">
        <f>'数据-取费表'!B2</f>
        <v>43017</v>
      </c>
      <c r="D7" s="412">
        <v>100</v>
      </c>
      <c r="E7" s="413">
        <v>42705</v>
      </c>
      <c r="F7" s="414">
        <f>SUMIF(58:58,YEAR(E7)&amp;"-"&amp;MONTH(E7),59:59)</f>
        <v>96</v>
      </c>
      <c r="G7" s="413">
        <v>42855</v>
      </c>
      <c r="H7" s="412">
        <f>SUMIF(58:58,YEAR(G7)&amp;"-"&amp;MONTH(G7),59:59)</f>
        <v>98</v>
      </c>
      <c r="I7" s="413">
        <v>43009</v>
      </c>
      <c r="J7" s="412">
        <f>SUMIF(58:58,YEAR(I7)&amp;"-"&amp;MONTH(I7),59:59)</f>
        <v>100</v>
      </c>
      <c r="K7" s="2601"/>
      <c r="L7" s="1135"/>
      <c r="M7" s="1136"/>
      <c r="N7" s="1136"/>
      <c r="O7" s="1136"/>
      <c r="P7" s="3207" t="s">
        <v>2552</v>
      </c>
      <c r="Q7" s="3208"/>
      <c r="R7" s="771" t="s">
        <v>23</v>
      </c>
      <c r="S7" s="772">
        <f t="shared" ref="S7:S15" si="0">F7</f>
        <v>96</v>
      </c>
      <c r="T7" s="771" t="s">
        <v>23</v>
      </c>
      <c r="U7" s="772">
        <f t="shared" ref="U7:U15" si="1">H7</f>
        <v>98</v>
      </c>
      <c r="V7" s="771" t="s">
        <v>23</v>
      </c>
      <c r="W7" s="772">
        <f t="shared" ref="W7:W15" si="2">J7</f>
        <v>100</v>
      </c>
      <c r="X7" s="773"/>
      <c r="Y7" s="3207" t="s">
        <v>2552</v>
      </c>
      <c r="Z7" s="3209"/>
      <c r="AA7" s="774">
        <f>D7/F7</f>
        <v>1.0416666666666667</v>
      </c>
      <c r="AB7" s="774">
        <f>D7/H7</f>
        <v>1.0204081632653061</v>
      </c>
      <c r="AC7" s="774">
        <f>D7/J7</f>
        <v>1</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07" t="s">
        <v>2555</v>
      </c>
      <c r="Q8" s="3209"/>
      <c r="R8" s="771" t="s">
        <v>23</v>
      </c>
      <c r="S8" s="772">
        <f t="shared" si="0"/>
        <v>100</v>
      </c>
      <c r="T8" s="771" t="s">
        <v>23</v>
      </c>
      <c r="U8" s="772">
        <f t="shared" si="1"/>
        <v>100</v>
      </c>
      <c r="V8" s="771" t="s">
        <v>23</v>
      </c>
      <c r="W8" s="772">
        <f t="shared" si="2"/>
        <v>100</v>
      </c>
      <c r="X8" s="773"/>
      <c r="Y8" s="3207" t="s">
        <v>2555</v>
      </c>
      <c r="Z8" s="3209"/>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199" t="s">
        <v>2558</v>
      </c>
      <c r="Q9" s="2956" t="str">
        <f t="shared" ref="Q9:Q15" si="6">B9</f>
        <v>用途</v>
      </c>
      <c r="R9" s="771" t="s">
        <v>17</v>
      </c>
      <c r="S9" s="772">
        <f t="shared" si="0"/>
        <v>100</v>
      </c>
      <c r="T9" s="771" t="s">
        <v>17</v>
      </c>
      <c r="U9" s="772">
        <f t="shared" si="1"/>
        <v>100</v>
      </c>
      <c r="V9" s="771" t="s">
        <v>17</v>
      </c>
      <c r="W9" s="772">
        <f t="shared" si="2"/>
        <v>100</v>
      </c>
      <c r="X9" s="773"/>
      <c r="Y9" s="3035" t="s">
        <v>2559</v>
      </c>
      <c r="Z9" s="2957" t="str">
        <f t="shared" ref="Z9:Z15" si="7">Q9</f>
        <v>用途</v>
      </c>
      <c r="AA9" s="774">
        <f t="shared" si="3"/>
        <v>1</v>
      </c>
      <c r="AB9" s="774">
        <f t="shared" si="4"/>
        <v>1</v>
      </c>
      <c r="AC9" s="774">
        <f t="shared" si="5"/>
        <v>1</v>
      </c>
    </row>
    <row r="10" spans="1:29" s="428" customFormat="1" ht="27">
      <c r="A10" s="422"/>
      <c r="B10" s="2958"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199"/>
      <c r="Q10" s="2956" t="str">
        <f t="shared" si="6"/>
        <v>土地使用年限（年）</v>
      </c>
      <c r="R10" s="771" t="s">
        <v>17</v>
      </c>
      <c r="S10" s="772">
        <f t="shared" si="0"/>
        <v>100</v>
      </c>
      <c r="T10" s="771" t="s">
        <v>17</v>
      </c>
      <c r="U10" s="772">
        <f t="shared" si="1"/>
        <v>100</v>
      </c>
      <c r="V10" s="771" t="s">
        <v>17</v>
      </c>
      <c r="W10" s="772">
        <f t="shared" si="2"/>
        <v>100</v>
      </c>
      <c r="X10" s="773"/>
      <c r="Y10" s="3035"/>
      <c r="Z10" s="2957" t="str">
        <f t="shared" si="7"/>
        <v>土地使用年限（年）</v>
      </c>
      <c r="AA10" s="774">
        <f t="shared" si="3"/>
        <v>1</v>
      </c>
      <c r="AB10" s="774">
        <f t="shared" si="4"/>
        <v>1</v>
      </c>
      <c r="AC10" s="774">
        <f t="shared" si="5"/>
        <v>1</v>
      </c>
    </row>
    <row r="11" spans="1:29" ht="15">
      <c r="A11" s="429"/>
      <c r="B11" s="2958"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199"/>
      <c r="Q11" s="2956" t="str">
        <f t="shared" si="6"/>
        <v>容积率</v>
      </c>
      <c r="R11" s="771" t="s">
        <v>21</v>
      </c>
      <c r="S11" s="772">
        <f t="shared" si="0"/>
        <v>100</v>
      </c>
      <c r="T11" s="771" t="s">
        <v>21</v>
      </c>
      <c r="U11" s="772">
        <f t="shared" si="1"/>
        <v>100</v>
      </c>
      <c r="V11" s="771" t="s">
        <v>21</v>
      </c>
      <c r="W11" s="772">
        <f t="shared" si="2"/>
        <v>100</v>
      </c>
      <c r="X11" s="773"/>
      <c r="Y11" s="3035"/>
      <c r="Z11" s="2957"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199"/>
      <c r="Q12" s="2956">
        <f t="shared" si="6"/>
        <v>0</v>
      </c>
      <c r="R12" s="771" t="s">
        <v>21</v>
      </c>
      <c r="S12" s="772">
        <f t="shared" si="0"/>
        <v>100</v>
      </c>
      <c r="T12" s="771" t="s">
        <v>21</v>
      </c>
      <c r="U12" s="772">
        <f t="shared" si="1"/>
        <v>100</v>
      </c>
      <c r="V12" s="771" t="s">
        <v>21</v>
      </c>
      <c r="W12" s="772">
        <f t="shared" si="2"/>
        <v>100</v>
      </c>
      <c r="X12" s="773"/>
      <c r="Y12" s="3035"/>
      <c r="Z12" s="2957">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199"/>
      <c r="Q13" s="2956">
        <f t="shared" si="6"/>
        <v>0</v>
      </c>
      <c r="R13" s="771" t="s">
        <v>21</v>
      </c>
      <c r="S13" s="772">
        <f t="shared" si="0"/>
        <v>100</v>
      </c>
      <c r="T13" s="771" t="s">
        <v>21</v>
      </c>
      <c r="U13" s="772">
        <f t="shared" si="1"/>
        <v>100</v>
      </c>
      <c r="V13" s="771" t="s">
        <v>21</v>
      </c>
      <c r="W13" s="772">
        <f t="shared" si="2"/>
        <v>100</v>
      </c>
      <c r="X13" s="773"/>
      <c r="Y13" s="3035"/>
      <c r="Z13" s="2957">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199"/>
      <c r="Q14" s="2956">
        <f t="shared" si="6"/>
        <v>0</v>
      </c>
      <c r="R14" s="771" t="s">
        <v>21</v>
      </c>
      <c r="S14" s="772">
        <f t="shared" si="0"/>
        <v>100</v>
      </c>
      <c r="T14" s="771" t="s">
        <v>21</v>
      </c>
      <c r="U14" s="772">
        <f t="shared" si="1"/>
        <v>100</v>
      </c>
      <c r="V14" s="771" t="s">
        <v>21</v>
      </c>
      <c r="W14" s="772">
        <f t="shared" si="2"/>
        <v>100</v>
      </c>
      <c r="X14" s="773"/>
      <c r="Y14" s="3035"/>
      <c r="Z14" s="2957">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190" t="s">
        <v>2563</v>
      </c>
      <c r="Q15" s="2961" t="str">
        <f t="shared" si="6"/>
        <v>居住社区成熟度</v>
      </c>
      <c r="R15" s="775" t="s">
        <v>21</v>
      </c>
      <c r="S15" s="776">
        <f t="shared" si="0"/>
        <v>100</v>
      </c>
      <c r="T15" s="775" t="s">
        <v>21</v>
      </c>
      <c r="U15" s="776">
        <f t="shared" si="1"/>
        <v>100</v>
      </c>
      <c r="V15" s="775" t="s">
        <v>21</v>
      </c>
      <c r="W15" s="776">
        <f t="shared" si="2"/>
        <v>100</v>
      </c>
      <c r="X15" s="2959"/>
      <c r="Y15" s="3192" t="s">
        <v>2563</v>
      </c>
      <c r="Z15" s="2960" t="str">
        <f t="shared" si="7"/>
        <v>居住社区成熟度</v>
      </c>
      <c r="AA15" s="2962">
        <f t="shared" si="3"/>
        <v>1</v>
      </c>
      <c r="AB15" s="2962">
        <f t="shared" si="4"/>
        <v>1</v>
      </c>
      <c r="AC15" s="2962">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191"/>
      <c r="Q16" s="2961"/>
      <c r="R16" s="775"/>
      <c r="S16" s="776"/>
      <c r="T16" s="775"/>
      <c r="U16" s="776"/>
      <c r="V16" s="775"/>
      <c r="W16" s="776"/>
      <c r="X16" s="2959"/>
      <c r="Y16" s="3193"/>
      <c r="Z16" s="2960"/>
      <c r="AA16" s="2962">
        <v>1</v>
      </c>
      <c r="AB16" s="2962">
        <v>1</v>
      </c>
      <c r="AC16" s="2962">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191"/>
      <c r="Q17" s="2961" t="str">
        <f>B17</f>
        <v>交通便捷度</v>
      </c>
      <c r="R17" s="775" t="s">
        <v>21</v>
      </c>
      <c r="S17" s="776">
        <f>F17</f>
        <v>100</v>
      </c>
      <c r="T17" s="775" t="s">
        <v>21</v>
      </c>
      <c r="U17" s="776">
        <f>H17</f>
        <v>100</v>
      </c>
      <c r="V17" s="775" t="s">
        <v>21</v>
      </c>
      <c r="W17" s="776">
        <f>J17</f>
        <v>100</v>
      </c>
      <c r="X17" s="2959"/>
      <c r="Y17" s="3193"/>
      <c r="Z17" s="2960" t="str">
        <f>Q17</f>
        <v>交通便捷度</v>
      </c>
      <c r="AA17" s="2962">
        <f t="shared" si="3"/>
        <v>1</v>
      </c>
      <c r="AB17" s="2962">
        <f t="shared" si="4"/>
        <v>1</v>
      </c>
      <c r="AC17" s="2962">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191"/>
      <c r="Q18" s="2961"/>
      <c r="R18" s="775"/>
      <c r="S18" s="776"/>
      <c r="T18" s="775"/>
      <c r="U18" s="776"/>
      <c r="V18" s="775"/>
      <c r="W18" s="776"/>
      <c r="X18" s="2959"/>
      <c r="Y18" s="3193"/>
      <c r="Z18" s="2960"/>
      <c r="AA18" s="2962">
        <v>1</v>
      </c>
      <c r="AB18" s="2962">
        <v>1</v>
      </c>
      <c r="AC18" s="2962">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191"/>
      <c r="Q19" s="2961" t="str">
        <f>B19</f>
        <v>公共配套设施</v>
      </c>
      <c r="R19" s="775" t="s">
        <v>21</v>
      </c>
      <c r="S19" s="776">
        <f>F19</f>
        <v>100</v>
      </c>
      <c r="T19" s="775" t="s">
        <v>21</v>
      </c>
      <c r="U19" s="776">
        <f>H19</f>
        <v>100</v>
      </c>
      <c r="V19" s="775" t="s">
        <v>21</v>
      </c>
      <c r="W19" s="776">
        <f>J19</f>
        <v>100</v>
      </c>
      <c r="X19" s="2959"/>
      <c r="Y19" s="3193"/>
      <c r="Z19" s="2960" t="str">
        <f>Q19</f>
        <v>公共配套设施</v>
      </c>
      <c r="AA19" s="2962">
        <f t="shared" si="3"/>
        <v>1</v>
      </c>
      <c r="AB19" s="2962">
        <f t="shared" si="4"/>
        <v>1</v>
      </c>
      <c r="AC19" s="2962">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191"/>
      <c r="Q20" s="2961"/>
      <c r="R20" s="775"/>
      <c r="S20" s="776"/>
      <c r="T20" s="775"/>
      <c r="U20" s="776"/>
      <c r="V20" s="775"/>
      <c r="W20" s="776"/>
      <c r="X20" s="2959"/>
      <c r="Y20" s="3193"/>
      <c r="Z20" s="2960"/>
      <c r="AA20" s="2962">
        <v>1</v>
      </c>
      <c r="AB20" s="2962">
        <v>1</v>
      </c>
      <c r="AC20" s="2962">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191"/>
      <c r="Q21" s="2961" t="str">
        <f>B21</f>
        <v>基础设施水平</v>
      </c>
      <c r="R21" s="775" t="s">
        <v>17</v>
      </c>
      <c r="S21" s="776">
        <f>F21</f>
        <v>100</v>
      </c>
      <c r="T21" s="775" t="s">
        <v>17</v>
      </c>
      <c r="U21" s="776">
        <f>H21</f>
        <v>100</v>
      </c>
      <c r="V21" s="775" t="s">
        <v>17</v>
      </c>
      <c r="W21" s="776">
        <f>J21</f>
        <v>100</v>
      </c>
      <c r="X21" s="2959"/>
      <c r="Y21" s="3193"/>
      <c r="Z21" s="2960" t="str">
        <f>Q21</f>
        <v>基础设施水平</v>
      </c>
      <c r="AA21" s="2962">
        <f t="shared" ref="AA21" si="8">D21/F21</f>
        <v>1</v>
      </c>
      <c r="AB21" s="2962">
        <f t="shared" ref="AB21" si="9">D21/H21</f>
        <v>1</v>
      </c>
      <c r="AC21" s="2962">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191"/>
      <c r="Q22" s="2961"/>
      <c r="R22" s="775"/>
      <c r="S22" s="776"/>
      <c r="T22" s="775"/>
      <c r="U22" s="776"/>
      <c r="V22" s="775"/>
      <c r="W22" s="776"/>
      <c r="X22" s="2959"/>
      <c r="Y22" s="3193"/>
      <c r="Z22" s="2960"/>
      <c r="AA22" s="2962">
        <v>1</v>
      </c>
      <c r="AB22" s="2962">
        <v>1</v>
      </c>
      <c r="AC22" s="2962">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191"/>
      <c r="Q23" s="2961" t="str">
        <f>B23</f>
        <v>自然及人文环境</v>
      </c>
      <c r="R23" s="775" t="s">
        <v>21</v>
      </c>
      <c r="S23" s="776">
        <f>F23</f>
        <v>100</v>
      </c>
      <c r="T23" s="775" t="s">
        <v>21</v>
      </c>
      <c r="U23" s="776">
        <f>H23</f>
        <v>100</v>
      </c>
      <c r="V23" s="775" t="s">
        <v>21</v>
      </c>
      <c r="W23" s="776">
        <f>J23</f>
        <v>100</v>
      </c>
      <c r="X23" s="2959"/>
      <c r="Y23" s="3193"/>
      <c r="Z23" s="2960" t="str">
        <f>Q23</f>
        <v>自然及人文环境</v>
      </c>
      <c r="AA23" s="2962">
        <f>D23/F23</f>
        <v>1</v>
      </c>
      <c r="AB23" s="2962">
        <f>D23/H23</f>
        <v>1</v>
      </c>
      <c r="AC23" s="2962">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191"/>
      <c r="Q24" s="2961"/>
      <c r="R24" s="775"/>
      <c r="S24" s="776"/>
      <c r="T24" s="775"/>
      <c r="U24" s="776"/>
      <c r="V24" s="775"/>
      <c r="W24" s="776"/>
      <c r="X24" s="2959"/>
      <c r="Y24" s="3193"/>
      <c r="Z24" s="2960"/>
      <c r="AA24" s="2962">
        <v>1</v>
      </c>
      <c r="AB24" s="2962">
        <v>1</v>
      </c>
      <c r="AC24" s="2962">
        <v>1</v>
      </c>
    </row>
    <row r="25" spans="1:29" ht="15">
      <c r="A25" s="429"/>
      <c r="B25" s="2958"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191"/>
      <c r="Q25" s="2961" t="str">
        <f t="shared" ref="Q25:Q46" si="11">B25</f>
        <v>楼层-1</v>
      </c>
      <c r="R25" s="775" t="s">
        <v>21</v>
      </c>
      <c r="S25" s="776">
        <f t="shared" ref="S25:S46" si="12">F25</f>
        <v>100</v>
      </c>
      <c r="T25" s="775" t="s">
        <v>21</v>
      </c>
      <c r="U25" s="776">
        <f t="shared" ref="U25:U46" si="13">H25</f>
        <v>100</v>
      </c>
      <c r="V25" s="775" t="s">
        <v>21</v>
      </c>
      <c r="W25" s="776">
        <f t="shared" ref="W25:W46" si="14">J25</f>
        <v>100</v>
      </c>
      <c r="X25" s="2959"/>
      <c r="Y25" s="3193"/>
      <c r="Z25" s="2960" t="str">
        <f>Q25</f>
        <v>楼层-1</v>
      </c>
      <c r="AA25" s="2962">
        <f t="shared" ref="AA25:AA46" si="15">D25/F25</f>
        <v>1</v>
      </c>
      <c r="AB25" s="2962">
        <f t="shared" ref="AB25:AB46" si="16">D25/H25</f>
        <v>1</v>
      </c>
      <c r="AC25" s="2962">
        <f t="shared" ref="AC25:AC46" si="17">D25/J25</f>
        <v>1</v>
      </c>
    </row>
    <row r="26" spans="1:29" ht="15">
      <c r="A26" s="429"/>
      <c r="B26" s="2958" t="s">
        <v>2565</v>
      </c>
      <c r="C26" s="2949" t="s">
        <v>3162</v>
      </c>
      <c r="D26" s="436">
        <v>100</v>
      </c>
      <c r="E26" s="2949" t="s">
        <v>3162</v>
      </c>
      <c r="F26" s="436">
        <f>SUMIF(88:88,E26,89:89)-SUMIF(88:88,C26,89:89)+100</f>
        <v>100</v>
      </c>
      <c r="G26" s="2949" t="s">
        <v>3162</v>
      </c>
      <c r="H26" s="436">
        <f>SUMIF(88:88,G26,89:89)-SUMIF(88:88,C26,89:89)+100</f>
        <v>100</v>
      </c>
      <c r="I26" s="2949" t="s">
        <v>3162</v>
      </c>
      <c r="J26" s="436">
        <f>SUMIF(88:88,I26,89:89)-SUMIF(88:88,C26,89:89)+100</f>
        <v>100</v>
      </c>
      <c r="K26" s="427">
        <v>2</v>
      </c>
      <c r="L26" s="1143"/>
      <c r="M26" s="1134"/>
      <c r="N26" s="1134"/>
      <c r="O26" s="1134"/>
      <c r="P26" s="3191"/>
      <c r="Q26" s="2961" t="str">
        <f t="shared" si="11"/>
        <v>朝向</v>
      </c>
      <c r="R26" s="775" t="s">
        <v>21</v>
      </c>
      <c r="S26" s="776">
        <f t="shared" si="12"/>
        <v>100</v>
      </c>
      <c r="T26" s="775" t="s">
        <v>21</v>
      </c>
      <c r="U26" s="776">
        <f t="shared" si="13"/>
        <v>100</v>
      </c>
      <c r="V26" s="775" t="s">
        <v>21</v>
      </c>
      <c r="W26" s="776">
        <f t="shared" si="14"/>
        <v>100</v>
      </c>
      <c r="X26" s="2959"/>
      <c r="Y26" s="3193"/>
      <c r="Z26" s="2960" t="str">
        <f>Q26</f>
        <v>朝向</v>
      </c>
      <c r="AA26" s="2962">
        <f t="shared" si="15"/>
        <v>1</v>
      </c>
      <c r="AB26" s="2962">
        <f t="shared" si="16"/>
        <v>1</v>
      </c>
      <c r="AC26" s="2962">
        <f t="shared" si="17"/>
        <v>1</v>
      </c>
    </row>
    <row r="27" spans="1:29" s="117" customFormat="1" ht="15">
      <c r="A27" s="432"/>
      <c r="B27" s="2946" t="s">
        <v>3164</v>
      </c>
      <c r="C27" s="2947" t="s">
        <v>3161</v>
      </c>
      <c r="D27" s="463">
        <v>100</v>
      </c>
      <c r="E27" s="2948" t="s">
        <v>3159</v>
      </c>
      <c r="F27" s="463">
        <f>SUMIF(90:90,E27,91:91)-SUMIF(90:90,C27,91:91)+100</f>
        <v>105</v>
      </c>
      <c r="G27" s="2948" t="s">
        <v>3159</v>
      </c>
      <c r="H27" s="463">
        <f>SUMIF(90:90,G27,91:91)-SUMIF(90:90,C27,91:91)+100</f>
        <v>105</v>
      </c>
      <c r="I27" s="2948" t="s">
        <v>3159</v>
      </c>
      <c r="J27" s="463">
        <f>SUMIF(90:90,I27,91:91)-SUMIF(90:90,C27,91:91)+100</f>
        <v>105</v>
      </c>
      <c r="K27" s="2603"/>
      <c r="L27" s="1135"/>
      <c r="M27" s="1136"/>
      <c r="N27" s="1136"/>
      <c r="O27" s="1136"/>
      <c r="P27" s="3191"/>
      <c r="Q27" s="2956" t="str">
        <f t="shared" si="11"/>
        <v>楼层</v>
      </c>
      <c r="R27" s="771" t="s">
        <v>21</v>
      </c>
      <c r="S27" s="772">
        <f t="shared" si="12"/>
        <v>105</v>
      </c>
      <c r="T27" s="771" t="s">
        <v>21</v>
      </c>
      <c r="U27" s="772">
        <f t="shared" si="13"/>
        <v>105</v>
      </c>
      <c r="V27" s="771" t="s">
        <v>21</v>
      </c>
      <c r="W27" s="772">
        <f t="shared" si="14"/>
        <v>105</v>
      </c>
      <c r="X27" s="773"/>
      <c r="Y27" s="3193"/>
      <c r="Z27" s="2957" t="str">
        <f>Q27</f>
        <v>楼层</v>
      </c>
      <c r="AA27" s="2962">
        <f t="shared" si="15"/>
        <v>0.95238095238095233</v>
      </c>
      <c r="AB27" s="2962">
        <f t="shared" si="16"/>
        <v>0.95238095238095233</v>
      </c>
      <c r="AC27" s="2962">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191"/>
      <c r="Q28" s="2961">
        <f t="shared" si="11"/>
        <v>111</v>
      </c>
      <c r="R28" s="775" t="s">
        <v>21</v>
      </c>
      <c r="S28" s="776">
        <f t="shared" si="12"/>
        <v>100</v>
      </c>
      <c r="T28" s="775" t="s">
        <v>21</v>
      </c>
      <c r="U28" s="776">
        <f t="shared" si="13"/>
        <v>100</v>
      </c>
      <c r="V28" s="775" t="s">
        <v>21</v>
      </c>
      <c r="W28" s="776">
        <f t="shared" si="14"/>
        <v>100</v>
      </c>
      <c r="X28" s="2959"/>
      <c r="Y28" s="3193"/>
      <c r="Z28" s="2960">
        <f t="shared" ref="Z28:Z46" si="18">Q28</f>
        <v>111</v>
      </c>
      <c r="AA28" s="2962">
        <f t="shared" si="15"/>
        <v>1</v>
      </c>
      <c r="AB28" s="2962">
        <f t="shared" si="16"/>
        <v>1</v>
      </c>
      <c r="AC28" s="2962">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191"/>
      <c r="Q29" s="2961">
        <f t="shared" si="11"/>
        <v>111</v>
      </c>
      <c r="R29" s="775" t="s">
        <v>21</v>
      </c>
      <c r="S29" s="776">
        <f t="shared" si="12"/>
        <v>100</v>
      </c>
      <c r="T29" s="775" t="s">
        <v>21</v>
      </c>
      <c r="U29" s="776">
        <f t="shared" si="13"/>
        <v>100</v>
      </c>
      <c r="V29" s="775" t="s">
        <v>21</v>
      </c>
      <c r="W29" s="776">
        <f t="shared" si="14"/>
        <v>100</v>
      </c>
      <c r="X29" s="2959"/>
      <c r="Y29" s="3193"/>
      <c r="Z29" s="2960">
        <f t="shared" si="18"/>
        <v>111</v>
      </c>
      <c r="AA29" s="2962">
        <f t="shared" si="15"/>
        <v>1</v>
      </c>
      <c r="AB29" s="2962">
        <f t="shared" si="16"/>
        <v>1</v>
      </c>
      <c r="AC29" s="2962">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191"/>
      <c r="Q30" s="2961">
        <f t="shared" si="11"/>
        <v>111</v>
      </c>
      <c r="R30" s="775" t="s">
        <v>21</v>
      </c>
      <c r="S30" s="776">
        <f t="shared" si="12"/>
        <v>100</v>
      </c>
      <c r="T30" s="775" t="s">
        <v>21</v>
      </c>
      <c r="U30" s="776">
        <f t="shared" si="13"/>
        <v>100</v>
      </c>
      <c r="V30" s="775" t="s">
        <v>21</v>
      </c>
      <c r="W30" s="776">
        <f t="shared" si="14"/>
        <v>100</v>
      </c>
      <c r="X30" s="2959"/>
      <c r="Y30" s="3193"/>
      <c r="Z30" s="2960">
        <f t="shared" si="18"/>
        <v>111</v>
      </c>
      <c r="AA30" s="2962">
        <f t="shared" si="15"/>
        <v>1</v>
      </c>
      <c r="AB30" s="2962">
        <f t="shared" si="16"/>
        <v>1</v>
      </c>
      <c r="AC30" s="2962">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191"/>
      <c r="Q31" s="2961">
        <f t="shared" si="11"/>
        <v>111</v>
      </c>
      <c r="R31" s="775" t="s">
        <v>21</v>
      </c>
      <c r="S31" s="776">
        <f t="shared" si="12"/>
        <v>100</v>
      </c>
      <c r="T31" s="775" t="s">
        <v>21</v>
      </c>
      <c r="U31" s="776">
        <f t="shared" si="13"/>
        <v>100</v>
      </c>
      <c r="V31" s="775" t="s">
        <v>21</v>
      </c>
      <c r="W31" s="776">
        <f t="shared" si="14"/>
        <v>100</v>
      </c>
      <c r="X31" s="2959"/>
      <c r="Y31" s="3193"/>
      <c r="Z31" s="2960">
        <f t="shared" si="18"/>
        <v>111</v>
      </c>
      <c r="AA31" s="2962">
        <f t="shared" si="15"/>
        <v>1</v>
      </c>
      <c r="AB31" s="2962">
        <f t="shared" si="16"/>
        <v>1</v>
      </c>
      <c r="AC31" s="2962">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194" t="s">
        <v>2568</v>
      </c>
      <c r="Q32" s="2961" t="str">
        <f t="shared" si="11"/>
        <v>建筑类型</v>
      </c>
      <c r="R32" s="775" t="s">
        <v>21</v>
      </c>
      <c r="S32" s="776">
        <f t="shared" si="12"/>
        <v>100</v>
      </c>
      <c r="T32" s="775" t="s">
        <v>21</v>
      </c>
      <c r="U32" s="776">
        <f t="shared" si="13"/>
        <v>100</v>
      </c>
      <c r="V32" s="775" t="s">
        <v>21</v>
      </c>
      <c r="W32" s="776">
        <f t="shared" si="14"/>
        <v>100</v>
      </c>
      <c r="X32" s="2959"/>
      <c r="Y32" s="3197" t="s">
        <v>2568</v>
      </c>
      <c r="Z32" s="2960" t="str">
        <f t="shared" si="18"/>
        <v>建筑类型</v>
      </c>
      <c r="AA32" s="2962">
        <f t="shared" si="15"/>
        <v>1</v>
      </c>
      <c r="AB32" s="2962">
        <f t="shared" si="16"/>
        <v>1</v>
      </c>
      <c r="AC32" s="2962">
        <f t="shared" si="17"/>
        <v>1</v>
      </c>
    </row>
    <row r="33" spans="1:29" s="472" customFormat="1" ht="15">
      <c r="A33" s="469"/>
      <c r="B33" s="2958" t="s">
        <v>2569</v>
      </c>
      <c r="C33" s="470">
        <f>'数据-汇总表'!E3</f>
        <v>445.61</v>
      </c>
      <c r="D33" s="136">
        <v>100</v>
      </c>
      <c r="E33" s="431">
        <v>440</v>
      </c>
      <c r="F33" s="426">
        <f>LOOKUP(E33,103:103,104:104)-LOOKUP(C33,103:103,104:104)+100</f>
        <v>100</v>
      </c>
      <c r="G33" s="430">
        <v>450</v>
      </c>
      <c r="H33" s="136">
        <f>LOOKUP(G33,103:103,104:104)-LOOKUP(C33,103:103,104:104)+100</f>
        <v>100</v>
      </c>
      <c r="I33" s="430">
        <v>453</v>
      </c>
      <c r="J33" s="136">
        <f>LOOKUP(I33,103:103,104:104)-LOOKUP(C33,103:103,104:104)+100</f>
        <v>100</v>
      </c>
      <c r="K33" s="2603"/>
      <c r="L33" s="1141"/>
      <c r="M33" s="1144"/>
      <c r="N33" s="1144"/>
      <c r="O33" s="1144"/>
      <c r="P33" s="3195"/>
      <c r="Q33" s="777" t="str">
        <f t="shared" si="11"/>
        <v>项目建筑规模</v>
      </c>
      <c r="R33" s="778" t="s">
        <v>21</v>
      </c>
      <c r="S33" s="779">
        <f t="shared" si="12"/>
        <v>100</v>
      </c>
      <c r="T33" s="778" t="s">
        <v>21</v>
      </c>
      <c r="U33" s="779">
        <f t="shared" si="13"/>
        <v>100</v>
      </c>
      <c r="V33" s="778" t="s">
        <v>21</v>
      </c>
      <c r="W33" s="779">
        <f t="shared" si="14"/>
        <v>100</v>
      </c>
      <c r="X33" s="780"/>
      <c r="Y33" s="3197"/>
      <c r="Z33" s="781" t="str">
        <f t="shared" si="18"/>
        <v>项目建筑规模</v>
      </c>
      <c r="AA33" s="2962">
        <f t="shared" si="15"/>
        <v>1</v>
      </c>
      <c r="AB33" s="2962">
        <f t="shared" si="16"/>
        <v>1</v>
      </c>
      <c r="AC33" s="2962">
        <f t="shared" si="17"/>
        <v>1</v>
      </c>
    </row>
    <row r="34" spans="1:29" ht="15">
      <c r="A34" s="473"/>
      <c r="B34" s="2958"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195"/>
      <c r="Q34" s="2961" t="str">
        <f t="shared" si="11"/>
        <v>建筑结构</v>
      </c>
      <c r="R34" s="775" t="s">
        <v>21</v>
      </c>
      <c r="S34" s="776">
        <f t="shared" si="12"/>
        <v>100</v>
      </c>
      <c r="T34" s="775" t="s">
        <v>21</v>
      </c>
      <c r="U34" s="776">
        <f t="shared" si="13"/>
        <v>100</v>
      </c>
      <c r="V34" s="775" t="s">
        <v>21</v>
      </c>
      <c r="W34" s="776">
        <f t="shared" si="14"/>
        <v>100</v>
      </c>
      <c r="X34" s="2959"/>
      <c r="Y34" s="3197"/>
      <c r="Z34" s="2960" t="str">
        <f t="shared" si="18"/>
        <v>建筑结构</v>
      </c>
      <c r="AA34" s="2962">
        <f t="shared" si="15"/>
        <v>1</v>
      </c>
      <c r="AB34" s="2962">
        <f t="shared" si="16"/>
        <v>1</v>
      </c>
      <c r="AC34" s="2962">
        <f t="shared" si="17"/>
        <v>1</v>
      </c>
    </row>
    <row r="35" spans="1:29" ht="15">
      <c r="A35" s="473"/>
      <c r="B35" s="2958"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195"/>
      <c r="Q35" s="2961" t="str">
        <f t="shared" si="11"/>
        <v>建筑品质</v>
      </c>
      <c r="R35" s="775" t="s">
        <v>21</v>
      </c>
      <c r="S35" s="776">
        <f t="shared" si="12"/>
        <v>100</v>
      </c>
      <c r="T35" s="775" t="s">
        <v>21</v>
      </c>
      <c r="U35" s="776">
        <f t="shared" si="13"/>
        <v>100</v>
      </c>
      <c r="V35" s="775" t="s">
        <v>21</v>
      </c>
      <c r="W35" s="776">
        <f t="shared" si="14"/>
        <v>100</v>
      </c>
      <c r="X35" s="2959"/>
      <c r="Y35" s="3197"/>
      <c r="Z35" s="2960" t="str">
        <f t="shared" si="18"/>
        <v>建筑品质</v>
      </c>
      <c r="AA35" s="2962">
        <f t="shared" si="15"/>
        <v>1</v>
      </c>
      <c r="AB35" s="2962">
        <f t="shared" si="16"/>
        <v>1</v>
      </c>
      <c r="AC35" s="2962">
        <f t="shared" si="17"/>
        <v>1</v>
      </c>
    </row>
    <row r="36" spans="1:29" ht="15">
      <c r="A36" s="473"/>
      <c r="B36" s="2958"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195"/>
      <c r="Q36" s="2961" t="str">
        <f t="shared" si="11"/>
        <v>公共部分装修</v>
      </c>
      <c r="R36" s="775" t="s">
        <v>21</v>
      </c>
      <c r="S36" s="776">
        <f t="shared" si="12"/>
        <v>100</v>
      </c>
      <c r="T36" s="775" t="s">
        <v>21</v>
      </c>
      <c r="U36" s="776">
        <f t="shared" si="13"/>
        <v>100</v>
      </c>
      <c r="V36" s="775" t="s">
        <v>21</v>
      </c>
      <c r="W36" s="776">
        <f t="shared" si="14"/>
        <v>100</v>
      </c>
      <c r="X36" s="2959"/>
      <c r="Y36" s="3197"/>
      <c r="Z36" s="2960" t="str">
        <f t="shared" si="18"/>
        <v>公共部分装修</v>
      </c>
      <c r="AA36" s="2962">
        <f t="shared" si="15"/>
        <v>1</v>
      </c>
      <c r="AB36" s="2962">
        <f t="shared" si="16"/>
        <v>1</v>
      </c>
      <c r="AC36" s="2962">
        <f t="shared" si="17"/>
        <v>1</v>
      </c>
    </row>
    <row r="37" spans="1:29" s="117" customFormat="1" ht="15">
      <c r="A37" s="474"/>
      <c r="B37" s="2958"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195"/>
      <c r="Q37" s="2956" t="str">
        <f t="shared" si="11"/>
        <v>成新度</v>
      </c>
      <c r="R37" s="771" t="s">
        <v>21</v>
      </c>
      <c r="S37" s="772">
        <f t="shared" si="12"/>
        <v>100</v>
      </c>
      <c r="T37" s="771" t="s">
        <v>21</v>
      </c>
      <c r="U37" s="772">
        <f t="shared" si="13"/>
        <v>100</v>
      </c>
      <c r="V37" s="771" t="s">
        <v>21</v>
      </c>
      <c r="W37" s="772">
        <f t="shared" si="14"/>
        <v>100</v>
      </c>
      <c r="X37" s="773"/>
      <c r="Y37" s="3197"/>
      <c r="Z37" s="2957" t="str">
        <f t="shared" si="18"/>
        <v>成新度</v>
      </c>
      <c r="AA37" s="774">
        <f t="shared" si="15"/>
        <v>1</v>
      </c>
      <c r="AB37" s="774">
        <f t="shared" si="16"/>
        <v>1</v>
      </c>
      <c r="AC37" s="774">
        <f t="shared" si="17"/>
        <v>1</v>
      </c>
    </row>
    <row r="38" spans="1:29" ht="15">
      <c r="A38" s="473"/>
      <c r="B38" s="2958"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195" t="s">
        <v>2568</v>
      </c>
      <c r="Q38" s="2961" t="str">
        <f t="shared" si="11"/>
        <v>物业管理</v>
      </c>
      <c r="R38" s="775" t="s">
        <v>21</v>
      </c>
      <c r="S38" s="776">
        <f t="shared" si="12"/>
        <v>100</v>
      </c>
      <c r="T38" s="775" t="s">
        <v>21</v>
      </c>
      <c r="U38" s="776">
        <f t="shared" si="13"/>
        <v>100</v>
      </c>
      <c r="V38" s="775" t="s">
        <v>21</v>
      </c>
      <c r="W38" s="776">
        <f t="shared" si="14"/>
        <v>100</v>
      </c>
      <c r="X38" s="2959"/>
      <c r="Y38" s="3197" t="s">
        <v>2568</v>
      </c>
      <c r="Z38" s="2960" t="str">
        <f t="shared" si="18"/>
        <v>物业管理</v>
      </c>
      <c r="AA38" s="2962">
        <f t="shared" si="15"/>
        <v>1</v>
      </c>
      <c r="AB38" s="2962">
        <f t="shared" si="16"/>
        <v>1</v>
      </c>
      <c r="AC38" s="2962">
        <f t="shared" si="17"/>
        <v>1</v>
      </c>
    </row>
    <row r="39" spans="1:29" ht="15">
      <c r="A39" s="473"/>
      <c r="B39" s="2958"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195"/>
      <c r="Q39" s="2961" t="str">
        <f t="shared" si="11"/>
        <v>市政基础设施</v>
      </c>
      <c r="R39" s="775" t="s">
        <v>21</v>
      </c>
      <c r="S39" s="776">
        <f t="shared" si="12"/>
        <v>100</v>
      </c>
      <c r="T39" s="775" t="s">
        <v>21</v>
      </c>
      <c r="U39" s="776">
        <f t="shared" si="13"/>
        <v>100</v>
      </c>
      <c r="V39" s="775" t="s">
        <v>21</v>
      </c>
      <c r="W39" s="776">
        <f t="shared" si="14"/>
        <v>100</v>
      </c>
      <c r="X39" s="2959"/>
      <c r="Y39" s="3197"/>
      <c r="Z39" s="2960" t="str">
        <f t="shared" si="18"/>
        <v>市政基础设施</v>
      </c>
      <c r="AA39" s="2962">
        <f t="shared" si="15"/>
        <v>1</v>
      </c>
      <c r="AB39" s="2962">
        <f t="shared" si="16"/>
        <v>1</v>
      </c>
      <c r="AC39" s="2962">
        <f t="shared" si="17"/>
        <v>1</v>
      </c>
    </row>
    <row r="40" spans="1:29" ht="15">
      <c r="A40" s="473"/>
      <c r="B40" s="2958"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5</v>
      </c>
      <c r="L40" s="1143"/>
      <c r="M40" s="1134"/>
      <c r="N40" s="1134"/>
      <c r="O40" s="1134"/>
      <c r="P40" s="3195"/>
      <c r="Q40" s="2961" t="str">
        <f t="shared" si="11"/>
        <v>房型</v>
      </c>
      <c r="R40" s="775" t="s">
        <v>21</v>
      </c>
      <c r="S40" s="776">
        <f t="shared" si="12"/>
        <v>100</v>
      </c>
      <c r="T40" s="775" t="s">
        <v>21</v>
      </c>
      <c r="U40" s="776">
        <f t="shared" si="13"/>
        <v>100</v>
      </c>
      <c r="V40" s="775" t="s">
        <v>21</v>
      </c>
      <c r="W40" s="776">
        <f t="shared" si="14"/>
        <v>100</v>
      </c>
      <c r="X40" s="2959"/>
      <c r="Y40" s="3197"/>
      <c r="Z40" s="2960" t="str">
        <f t="shared" si="18"/>
        <v>房型</v>
      </c>
      <c r="AA40" s="2962">
        <f t="shared" si="15"/>
        <v>1</v>
      </c>
      <c r="AB40" s="2962">
        <f t="shared" si="16"/>
        <v>1</v>
      </c>
      <c r="AC40" s="2962">
        <f t="shared" si="17"/>
        <v>1</v>
      </c>
    </row>
    <row r="41" spans="1:29" s="472" customFormat="1" ht="28.5">
      <c r="A41" s="469"/>
      <c r="B41" s="2958"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195"/>
      <c r="Q41" s="777" t="str">
        <f t="shared" si="11"/>
        <v>单套/主力户型建筑面积</v>
      </c>
      <c r="R41" s="778" t="s">
        <v>21</v>
      </c>
      <c r="S41" s="779">
        <f t="shared" si="12"/>
        <v>100</v>
      </c>
      <c r="T41" s="778" t="s">
        <v>21</v>
      </c>
      <c r="U41" s="779">
        <f t="shared" si="13"/>
        <v>100</v>
      </c>
      <c r="V41" s="778" t="s">
        <v>21</v>
      </c>
      <c r="W41" s="779">
        <f t="shared" si="14"/>
        <v>100</v>
      </c>
      <c r="X41" s="780"/>
      <c r="Y41" s="3197"/>
      <c r="Z41" s="781" t="str">
        <f t="shared" si="18"/>
        <v>单套/主力户型建筑面积</v>
      </c>
      <c r="AA41" s="2962">
        <f t="shared" si="15"/>
        <v>1</v>
      </c>
      <c r="AB41" s="2962">
        <f t="shared" si="16"/>
        <v>1</v>
      </c>
      <c r="AC41" s="2962">
        <f t="shared" si="17"/>
        <v>1</v>
      </c>
    </row>
    <row r="42" spans="1:29" ht="15">
      <c r="A42" s="473"/>
      <c r="B42" s="2958"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195"/>
      <c r="Q42" s="2961" t="str">
        <f t="shared" si="11"/>
        <v>内部装修</v>
      </c>
      <c r="R42" s="775" t="s">
        <v>21</v>
      </c>
      <c r="S42" s="776">
        <f t="shared" si="12"/>
        <v>100</v>
      </c>
      <c r="T42" s="775" t="s">
        <v>21</v>
      </c>
      <c r="U42" s="776">
        <f t="shared" si="13"/>
        <v>100</v>
      </c>
      <c r="V42" s="775" t="s">
        <v>21</v>
      </c>
      <c r="W42" s="776">
        <f t="shared" si="14"/>
        <v>100</v>
      </c>
      <c r="X42" s="2959"/>
      <c r="Y42" s="3197"/>
      <c r="Z42" s="2960" t="str">
        <f t="shared" si="18"/>
        <v>内部装修</v>
      </c>
      <c r="AA42" s="2962">
        <f t="shared" si="15"/>
        <v>1</v>
      </c>
      <c r="AB42" s="2962">
        <f t="shared" si="16"/>
        <v>1</v>
      </c>
      <c r="AC42" s="2962">
        <f t="shared" si="17"/>
        <v>1</v>
      </c>
    </row>
    <row r="43" spans="1:29" ht="15">
      <c r="A43" s="473"/>
      <c r="B43" s="2958"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195"/>
      <c r="Q43" s="2961" t="str">
        <f t="shared" si="11"/>
        <v>内部装修维护情况</v>
      </c>
      <c r="R43" s="775" t="s">
        <v>21</v>
      </c>
      <c r="S43" s="776">
        <f t="shared" si="12"/>
        <v>100</v>
      </c>
      <c r="T43" s="775" t="s">
        <v>21</v>
      </c>
      <c r="U43" s="776">
        <f t="shared" si="13"/>
        <v>100</v>
      </c>
      <c r="V43" s="775" t="s">
        <v>21</v>
      </c>
      <c r="W43" s="776">
        <f t="shared" si="14"/>
        <v>100</v>
      </c>
      <c r="X43" s="2959"/>
      <c r="Y43" s="3197"/>
      <c r="Z43" s="2960" t="str">
        <f t="shared" si="18"/>
        <v>内部装修维护情况</v>
      </c>
      <c r="AA43" s="2962">
        <f t="shared" si="15"/>
        <v>1</v>
      </c>
      <c r="AB43" s="2962">
        <f t="shared" si="16"/>
        <v>1</v>
      </c>
      <c r="AC43" s="2962">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195"/>
      <c r="Q44" s="2956">
        <f t="shared" si="11"/>
        <v>111</v>
      </c>
      <c r="R44" s="771" t="s">
        <v>21</v>
      </c>
      <c r="S44" s="772">
        <f t="shared" si="12"/>
        <v>100</v>
      </c>
      <c r="T44" s="771" t="s">
        <v>21</v>
      </c>
      <c r="U44" s="772">
        <f t="shared" si="13"/>
        <v>100</v>
      </c>
      <c r="V44" s="771" t="s">
        <v>21</v>
      </c>
      <c r="W44" s="772">
        <f t="shared" si="14"/>
        <v>100</v>
      </c>
      <c r="X44" s="773"/>
      <c r="Y44" s="3197"/>
      <c r="Z44" s="2957">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195"/>
      <c r="Q45" s="2961">
        <f t="shared" si="11"/>
        <v>111</v>
      </c>
      <c r="R45" s="775" t="s">
        <v>21</v>
      </c>
      <c r="S45" s="776">
        <f t="shared" si="12"/>
        <v>100</v>
      </c>
      <c r="T45" s="775" t="s">
        <v>21</v>
      </c>
      <c r="U45" s="776">
        <f t="shared" si="13"/>
        <v>100</v>
      </c>
      <c r="V45" s="775" t="s">
        <v>21</v>
      </c>
      <c r="W45" s="776">
        <f t="shared" si="14"/>
        <v>100</v>
      </c>
      <c r="X45" s="2959"/>
      <c r="Y45" s="3197"/>
      <c r="Z45" s="2960">
        <f t="shared" si="18"/>
        <v>111</v>
      </c>
      <c r="AA45" s="2962">
        <f t="shared" si="15"/>
        <v>1</v>
      </c>
      <c r="AB45" s="2962">
        <f t="shared" si="16"/>
        <v>1</v>
      </c>
      <c r="AC45" s="2962">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196"/>
      <c r="Q46" s="2961">
        <f t="shared" si="11"/>
        <v>111</v>
      </c>
      <c r="R46" s="775" t="s">
        <v>20</v>
      </c>
      <c r="S46" s="776">
        <f t="shared" si="12"/>
        <v>100</v>
      </c>
      <c r="T46" s="775" t="s">
        <v>20</v>
      </c>
      <c r="U46" s="776">
        <f t="shared" si="13"/>
        <v>100</v>
      </c>
      <c r="V46" s="775" t="s">
        <v>20</v>
      </c>
      <c r="W46" s="776">
        <f t="shared" si="14"/>
        <v>100</v>
      </c>
      <c r="X46" s="2959"/>
      <c r="Y46" s="3198"/>
      <c r="Z46" s="2960">
        <f t="shared" si="18"/>
        <v>111</v>
      </c>
      <c r="AA46" s="2962">
        <f t="shared" si="15"/>
        <v>1</v>
      </c>
      <c r="AB46" s="2962">
        <f t="shared" si="16"/>
        <v>1</v>
      </c>
      <c r="AC46" s="2962">
        <f t="shared" si="17"/>
        <v>1</v>
      </c>
    </row>
    <row r="47" spans="1:29" ht="15">
      <c r="A47" s="480" t="s">
        <v>2580</v>
      </c>
      <c r="B47" s="481"/>
      <c r="C47" s="1410" t="s">
        <v>19</v>
      </c>
      <c r="D47" s="1411"/>
      <c r="E47" s="1412">
        <v>90000</v>
      </c>
      <c r="F47" s="1413"/>
      <c r="G47" s="1414">
        <v>80000</v>
      </c>
      <c r="H47" s="1415"/>
      <c r="I47" s="1412">
        <v>90000</v>
      </c>
      <c r="J47" s="1415"/>
      <c r="K47" s="2622"/>
      <c r="L47" s="1146"/>
      <c r="M47" s="1147"/>
      <c r="N47" s="1134"/>
      <c r="O47" s="1147"/>
      <c r="P47" s="3185" t="str">
        <f>A47</f>
        <v>成交单价（元/平方米）</v>
      </c>
      <c r="Q47" s="3185"/>
      <c r="R47" s="3186">
        <f>E47</f>
        <v>90000</v>
      </c>
      <c r="S47" s="3186"/>
      <c r="T47" s="3186">
        <f>G47</f>
        <v>80000</v>
      </c>
      <c r="U47" s="3186"/>
      <c r="V47" s="3186">
        <f>I47</f>
        <v>90000</v>
      </c>
      <c r="W47" s="3186"/>
      <c r="X47" s="760"/>
      <c r="Y47" s="782"/>
      <c r="Z47" s="760"/>
      <c r="AA47" s="760"/>
      <c r="AB47" s="760"/>
      <c r="AC47" s="760"/>
    </row>
    <row r="48" spans="1:29" ht="15.75" thickBot="1">
      <c r="A48" s="487" t="s">
        <v>2581</v>
      </c>
      <c r="B48" s="488"/>
      <c r="C48" s="1416">
        <f>R49</f>
        <v>84248.5</v>
      </c>
      <c r="D48" s="1417"/>
      <c r="E48" s="1418">
        <f>R48</f>
        <v>89285.7</v>
      </c>
      <c r="F48" s="1418"/>
      <c r="G48" s="1416">
        <f>T48</f>
        <v>77745.399999999994</v>
      </c>
      <c r="H48" s="1417"/>
      <c r="I48" s="1418">
        <f>V48</f>
        <v>85714.3</v>
      </c>
      <c r="J48" s="1417"/>
      <c r="K48" s="2623"/>
      <c r="L48" s="1146"/>
      <c r="M48" s="1147"/>
      <c r="N48" s="1147"/>
      <c r="O48" s="1147"/>
      <c r="P48" s="3185" t="str">
        <f>A48</f>
        <v>比较价值（元/平方米）</v>
      </c>
      <c r="Q48" s="3185"/>
      <c r="R48" s="3186">
        <f>IF(F1="售价",ROUND(PRODUCT(R47,AA7:AA46),0),ROUND(PRODUCT(R47,AA7:AA46),1))</f>
        <v>89285.7</v>
      </c>
      <c r="S48" s="3186"/>
      <c r="T48" s="3186">
        <f>IF(F1="售价",ROUND(PRODUCT(T47,AB7:AB46),0),ROUND(PRODUCT(T47,AB7:AB46),1))</f>
        <v>77745.399999999994</v>
      </c>
      <c r="U48" s="3186"/>
      <c r="V48" s="3186">
        <f>IF(F1="售价",ROUND(PRODUCT(V47,AC7:AC46),0),ROUND(PRODUCT(V47,AC7:AC46),1))</f>
        <v>85714.3</v>
      </c>
      <c r="W48" s="3186"/>
      <c r="X48" s="760"/>
      <c r="Y48" s="760"/>
      <c r="Z48" s="760"/>
      <c r="AA48" s="760"/>
      <c r="AB48" s="760"/>
      <c r="AC48" s="760"/>
    </row>
    <row r="49" spans="1:29" ht="15.75" thickBot="1">
      <c r="A49" s="493" t="s">
        <v>2582</v>
      </c>
      <c r="B49" s="494"/>
      <c r="C49" s="1419">
        <f>R49</f>
        <v>84248.5</v>
      </c>
      <c r="D49" s="1420"/>
      <c r="E49" s="1420"/>
      <c r="F49" s="1420"/>
      <c r="G49" s="1420"/>
      <c r="H49" s="1420"/>
      <c r="I49" s="1420"/>
      <c r="J49" s="1420"/>
      <c r="K49" s="2624"/>
      <c r="L49" s="1146"/>
      <c r="M49" s="1147"/>
      <c r="N49" s="1147"/>
      <c r="O49" s="1147"/>
      <c r="P49" s="3187" t="str">
        <f>A49</f>
        <v>估价对象XX用房的比较价值（楼面单价，元/平方米）</v>
      </c>
      <c r="Q49" s="3188"/>
      <c r="R49" s="3189">
        <f>IF(F1="售价",ROUND(AVERAGE(R48:V48),0),ROUND(AVERAGE(R48:V48),1))</f>
        <v>84248.5</v>
      </c>
      <c r="S49" s="3189"/>
      <c r="T49" s="3189"/>
      <c r="U49" s="3189"/>
      <c r="V49" s="3189"/>
      <c r="W49" s="3189"/>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8.000161280025786E-3</v>
      </c>
      <c r="F52" s="501" t="str">
        <f>IF(OR(E52&gt;=0.3,E52&lt;=-0.3),"超过30%","")</f>
        <v/>
      </c>
      <c r="G52" s="500">
        <f>IF(G47&lt;G48,G48/G47-1,G47/G48-1)</f>
        <v>2.8999786482544421E-2</v>
      </c>
      <c r="H52" s="501" t="str">
        <f>IF(OR(G52&gt;=0.3,G52&lt;=-0.3),"超过30%","")</f>
        <v/>
      </c>
      <c r="I52" s="500">
        <f>IF(I47&lt;I48,I48/I47-1,I47/I48-1)</f>
        <v>4.9999825000029086E-2</v>
      </c>
      <c r="J52" s="501" t="str">
        <f>IF(OR(I52&gt;=0.3,I52&lt;=-0.3),"超过30%","")</f>
        <v/>
      </c>
      <c r="K52" s="1109"/>
      <c r="L52" s="1110"/>
      <c r="M52" s="1147"/>
      <c r="N52" s="1147"/>
      <c r="O52" s="1147"/>
    </row>
    <row r="53" spans="1:29" ht="13.5" customHeight="1">
      <c r="A53" s="1147"/>
      <c r="B53" s="1147"/>
      <c r="C53" s="498" t="s">
        <v>2584</v>
      </c>
      <c r="D53" s="502"/>
      <c r="E53" s="500">
        <f>IF(E48&lt;G48,G48/E48-1,E48/G48-1)</f>
        <v>0.14843707794930627</v>
      </c>
      <c r="F53" s="501" t="str">
        <f>IF(OR(E53&gt;=0.2,E53&lt;=-0.2),"超过20%","")</f>
        <v/>
      </c>
      <c r="G53" s="500">
        <f>IF(G48&lt;I48,I48/G48-1,G48/I48-1)</f>
        <v>0.10249995498125952</v>
      </c>
      <c r="H53" s="501" t="str">
        <f>IF(OR(G53&gt;=0.2,G53&lt;=-0.2),"超过20%","")</f>
        <v/>
      </c>
      <c r="I53" s="500">
        <f>IF(I48&lt;E48,E48/I48-1,I48/E48-1)</f>
        <v>4.1666326388945629E-2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0.125</v>
      </c>
      <c r="F54" s="501" t="str">
        <f>IF(OR(E54&gt;=0.3,E54&lt;=-0.3),"超过30%","")</f>
        <v/>
      </c>
      <c r="G54" s="500">
        <f>IF(G47&lt;I47,I47/G47-1,G47/I47-1)</f>
        <v>0.125</v>
      </c>
      <c r="H54" s="501" t="str">
        <f>IF(OR(G54&gt;=0.3,G54&lt;=-0.3),"超过30%","")</f>
        <v/>
      </c>
      <c r="I54" s="500">
        <f>IF(I47&lt;E47,E47/I47-1,I47/E47-1)</f>
        <v>0</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2551</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95</v>
      </c>
      <c r="E119" s="545">
        <f t="shared" si="32"/>
        <v>90</v>
      </c>
      <c r="F119" s="545">
        <f t="shared" si="32"/>
        <v>85</v>
      </c>
      <c r="G119" s="545">
        <f t="shared" si="32"/>
        <v>80</v>
      </c>
      <c r="H119" s="545">
        <f t="shared" si="32"/>
        <v>75</v>
      </c>
      <c r="I119" s="545">
        <f t="shared" si="32"/>
        <v>70</v>
      </c>
      <c r="J119" s="545">
        <f t="shared" si="32"/>
        <v>65</v>
      </c>
      <c r="K119" s="545">
        <f t="shared" si="32"/>
        <v>60</v>
      </c>
      <c r="L119" s="545">
        <f t="shared" si="32"/>
        <v>55</v>
      </c>
      <c r="M119" s="545">
        <f t="shared" si="32"/>
        <v>50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AA4:AA6"/>
    <mergeCell ref="AB4:AB6"/>
    <mergeCell ref="AC4:AC6"/>
    <mergeCell ref="C4:D4"/>
    <mergeCell ref="E4:F4"/>
    <mergeCell ref="G4:H4"/>
    <mergeCell ref="I4:J4"/>
    <mergeCell ref="P4:Q6"/>
    <mergeCell ref="R4:S6"/>
    <mergeCell ref="C5:D5"/>
    <mergeCell ref="C6:D6"/>
    <mergeCell ref="E6:F6"/>
    <mergeCell ref="G6:H6"/>
    <mergeCell ref="I6:J6"/>
    <mergeCell ref="P9:P14"/>
    <mergeCell ref="Y9:Y14"/>
    <mergeCell ref="T4:U6"/>
    <mergeCell ref="V4:W6"/>
    <mergeCell ref="Y4:Z6"/>
    <mergeCell ref="P7:Q7"/>
    <mergeCell ref="Y7:Z7"/>
    <mergeCell ref="P8:Q8"/>
    <mergeCell ref="Y8:Z8"/>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I43" sqref="I4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2534</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4203</v>
      </c>
      <c r="C2" s="2589" t="s">
        <v>70</v>
      </c>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94325</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213" t="s">
        <v>2539</v>
      </c>
      <c r="D4" s="3214"/>
      <c r="E4" s="3215" t="s">
        <v>2540</v>
      </c>
      <c r="F4" s="3216"/>
      <c r="G4" s="3213" t="s">
        <v>2541</v>
      </c>
      <c r="H4" s="3214"/>
      <c r="I4" s="3213" t="s">
        <v>2542</v>
      </c>
      <c r="J4" s="3214"/>
      <c r="K4" s="2599" t="s">
        <v>2543</v>
      </c>
      <c r="L4" s="1133"/>
      <c r="M4" s="1134"/>
      <c r="N4" s="1134"/>
      <c r="O4" s="1134"/>
      <c r="P4" s="3217" t="s">
        <v>2544</v>
      </c>
      <c r="Q4" s="3218"/>
      <c r="R4" s="3200" t="s">
        <v>2540</v>
      </c>
      <c r="S4" s="3201"/>
      <c r="T4" s="3200" t="s">
        <v>2541</v>
      </c>
      <c r="U4" s="3201"/>
      <c r="V4" s="3206" t="s">
        <v>2542</v>
      </c>
      <c r="W4" s="3206"/>
      <c r="X4" s="1816"/>
      <c r="Y4" s="3200" t="s">
        <v>2544</v>
      </c>
      <c r="Z4" s="3201"/>
      <c r="AA4" s="3210" t="s">
        <v>2540</v>
      </c>
      <c r="AB4" s="3210" t="s">
        <v>2541</v>
      </c>
      <c r="AC4" s="3210" t="s">
        <v>2542</v>
      </c>
    </row>
    <row r="5" spans="1:29" ht="15">
      <c r="A5" s="405"/>
      <c r="B5" s="406"/>
      <c r="C5" s="3223" t="s">
        <v>2545</v>
      </c>
      <c r="D5" s="3224"/>
      <c r="E5" s="2944" t="s">
        <v>3157</v>
      </c>
      <c r="F5" s="2945"/>
      <c r="G5" s="2944" t="s">
        <v>3157</v>
      </c>
      <c r="H5" s="2945"/>
      <c r="I5" s="2944" t="s">
        <v>3157</v>
      </c>
      <c r="J5" s="2945"/>
      <c r="K5" s="2600"/>
      <c r="L5" s="1133"/>
      <c r="M5" s="1134"/>
      <c r="N5" s="1134"/>
      <c r="O5" s="1134"/>
      <c r="P5" s="3219"/>
      <c r="Q5" s="3220"/>
      <c r="R5" s="3202"/>
      <c r="S5" s="3203"/>
      <c r="T5" s="3202"/>
      <c r="U5" s="3203"/>
      <c r="V5" s="3206"/>
      <c r="W5" s="3206"/>
      <c r="X5" s="1816"/>
      <c r="Y5" s="3202"/>
      <c r="Z5" s="3203"/>
      <c r="AA5" s="3211"/>
      <c r="AB5" s="3211"/>
      <c r="AC5" s="3211"/>
    </row>
    <row r="6" spans="1:29" ht="15.75" thickBot="1">
      <c r="A6" s="407"/>
      <c r="B6" s="408"/>
      <c r="C6" s="3225" t="s">
        <v>2549</v>
      </c>
      <c r="D6" s="3226"/>
      <c r="E6" s="3227" t="s">
        <v>2549</v>
      </c>
      <c r="F6" s="3228"/>
      <c r="G6" s="3229" t="s">
        <v>2549</v>
      </c>
      <c r="H6" s="3230"/>
      <c r="I6" s="3225" t="s">
        <v>2549</v>
      </c>
      <c r="J6" s="3226"/>
      <c r="K6" s="2600" t="s">
        <v>2550</v>
      </c>
      <c r="L6" s="1133"/>
      <c r="M6" s="1134"/>
      <c r="N6" s="1134"/>
      <c r="O6" s="1134"/>
      <c r="P6" s="3221"/>
      <c r="Q6" s="3222"/>
      <c r="R6" s="3202"/>
      <c r="S6" s="3203"/>
      <c r="T6" s="3204"/>
      <c r="U6" s="3205"/>
      <c r="V6" s="3206"/>
      <c r="W6" s="3206"/>
      <c r="X6" s="1816"/>
      <c r="Y6" s="3204"/>
      <c r="Z6" s="3205"/>
      <c r="AA6" s="3212"/>
      <c r="AB6" s="3212"/>
      <c r="AC6" s="3212"/>
    </row>
    <row r="7" spans="1:29" s="117" customFormat="1" ht="15.75" thickBot="1">
      <c r="A7" s="409" t="s">
        <v>2551</v>
      </c>
      <c r="B7" s="410"/>
      <c r="C7" s="411">
        <f>'数据-取费表'!B2</f>
        <v>43017</v>
      </c>
      <c r="D7" s="412">
        <v>100</v>
      </c>
      <c r="E7" s="413">
        <v>42705</v>
      </c>
      <c r="F7" s="414">
        <f>SUMIF(58:58,YEAR(E7)&amp;"-"&amp;MONTH(E7),59:59)</f>
        <v>96</v>
      </c>
      <c r="G7" s="413">
        <v>42855</v>
      </c>
      <c r="H7" s="412">
        <f>SUMIF(58:58,YEAR(G7)&amp;"-"&amp;MONTH(G7),59:59)</f>
        <v>98</v>
      </c>
      <c r="I7" s="413">
        <v>43009</v>
      </c>
      <c r="J7" s="412">
        <f>SUMIF(58:58,YEAR(I7)&amp;"-"&amp;MONTH(I7),59:59)</f>
        <v>100</v>
      </c>
      <c r="K7" s="2601"/>
      <c r="L7" s="1135"/>
      <c r="M7" s="1136"/>
      <c r="N7" s="1136"/>
      <c r="O7" s="1136"/>
      <c r="P7" s="3207" t="s">
        <v>2552</v>
      </c>
      <c r="Q7" s="3208"/>
      <c r="R7" s="771" t="s">
        <v>23</v>
      </c>
      <c r="S7" s="772">
        <f t="shared" ref="S7:S15" si="0">F7</f>
        <v>96</v>
      </c>
      <c r="T7" s="771" t="s">
        <v>23</v>
      </c>
      <c r="U7" s="772">
        <f t="shared" ref="U7:U15" si="1">H7</f>
        <v>98</v>
      </c>
      <c r="V7" s="771" t="s">
        <v>23</v>
      </c>
      <c r="W7" s="772">
        <f t="shared" ref="W7:W15" si="2">J7</f>
        <v>100</v>
      </c>
      <c r="X7" s="773"/>
      <c r="Y7" s="3207" t="s">
        <v>2552</v>
      </c>
      <c r="Z7" s="3209"/>
      <c r="AA7" s="774">
        <f>D7/F7</f>
        <v>1.0416666666666667</v>
      </c>
      <c r="AB7" s="774">
        <f>D7/H7</f>
        <v>1.0204081632653061</v>
      </c>
      <c r="AC7" s="774">
        <f>D7/J7</f>
        <v>1</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07" t="s">
        <v>2555</v>
      </c>
      <c r="Q8" s="3209"/>
      <c r="R8" s="771" t="s">
        <v>23</v>
      </c>
      <c r="S8" s="772">
        <f t="shared" si="0"/>
        <v>100</v>
      </c>
      <c r="T8" s="771" t="s">
        <v>23</v>
      </c>
      <c r="U8" s="772">
        <f t="shared" si="1"/>
        <v>100</v>
      </c>
      <c r="V8" s="771" t="s">
        <v>23</v>
      </c>
      <c r="W8" s="772">
        <f t="shared" si="2"/>
        <v>100</v>
      </c>
      <c r="X8" s="773"/>
      <c r="Y8" s="3207" t="s">
        <v>2555</v>
      </c>
      <c r="Z8" s="3209"/>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199" t="s">
        <v>2558</v>
      </c>
      <c r="Q9" s="1798" t="str">
        <f t="shared" ref="Q9:Q15" si="6">B9</f>
        <v>用途</v>
      </c>
      <c r="R9" s="771" t="s">
        <v>17</v>
      </c>
      <c r="S9" s="772">
        <f t="shared" si="0"/>
        <v>100</v>
      </c>
      <c r="T9" s="771" t="s">
        <v>17</v>
      </c>
      <c r="U9" s="772">
        <f t="shared" si="1"/>
        <v>100</v>
      </c>
      <c r="V9" s="771" t="s">
        <v>17</v>
      </c>
      <c r="W9" s="772">
        <f t="shared" si="2"/>
        <v>100</v>
      </c>
      <c r="X9" s="773"/>
      <c r="Y9" s="3035" t="s">
        <v>2559</v>
      </c>
      <c r="Z9" s="55" t="str">
        <f t="shared" ref="Z9:Z15" si="7">Q9</f>
        <v>用途</v>
      </c>
      <c r="AA9" s="774">
        <f t="shared" si="3"/>
        <v>1</v>
      </c>
      <c r="AB9" s="774">
        <f t="shared" si="4"/>
        <v>1</v>
      </c>
      <c r="AC9" s="774">
        <f t="shared" si="5"/>
        <v>1</v>
      </c>
    </row>
    <row r="10" spans="1:29" s="428" customFormat="1" ht="27">
      <c r="A10" s="422"/>
      <c r="B10" s="423"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199"/>
      <c r="Q10" s="1798" t="str">
        <f t="shared" si="6"/>
        <v>土地使用年限（年）</v>
      </c>
      <c r="R10" s="771" t="s">
        <v>17</v>
      </c>
      <c r="S10" s="772">
        <f t="shared" si="0"/>
        <v>100</v>
      </c>
      <c r="T10" s="771" t="s">
        <v>17</v>
      </c>
      <c r="U10" s="772">
        <f t="shared" si="1"/>
        <v>100</v>
      </c>
      <c r="V10" s="771" t="s">
        <v>17</v>
      </c>
      <c r="W10" s="772">
        <f t="shared" si="2"/>
        <v>100</v>
      </c>
      <c r="X10" s="773"/>
      <c r="Y10" s="3035"/>
      <c r="Z10" s="55" t="str">
        <f t="shared" si="7"/>
        <v>土地使用年限（年）</v>
      </c>
      <c r="AA10" s="774">
        <f t="shared" si="3"/>
        <v>1</v>
      </c>
      <c r="AB10" s="774">
        <f t="shared" si="4"/>
        <v>1</v>
      </c>
      <c r="AC10" s="774">
        <f t="shared" si="5"/>
        <v>1</v>
      </c>
    </row>
    <row r="11" spans="1:29" ht="15">
      <c r="A11" s="429"/>
      <c r="B11" s="423"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199"/>
      <c r="Q11" s="1798" t="str">
        <f t="shared" si="6"/>
        <v>容积率</v>
      </c>
      <c r="R11" s="771" t="s">
        <v>21</v>
      </c>
      <c r="S11" s="772">
        <f t="shared" si="0"/>
        <v>100</v>
      </c>
      <c r="T11" s="771" t="s">
        <v>21</v>
      </c>
      <c r="U11" s="772">
        <f t="shared" si="1"/>
        <v>100</v>
      </c>
      <c r="V11" s="771" t="s">
        <v>21</v>
      </c>
      <c r="W11" s="772">
        <f t="shared" si="2"/>
        <v>100</v>
      </c>
      <c r="X11" s="773"/>
      <c r="Y11" s="3035"/>
      <c r="Z11" s="55"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199"/>
      <c r="Q12" s="1798">
        <f t="shared" si="6"/>
        <v>0</v>
      </c>
      <c r="R12" s="771" t="s">
        <v>21</v>
      </c>
      <c r="S12" s="772">
        <f t="shared" si="0"/>
        <v>100</v>
      </c>
      <c r="T12" s="771" t="s">
        <v>21</v>
      </c>
      <c r="U12" s="772">
        <f t="shared" si="1"/>
        <v>100</v>
      </c>
      <c r="V12" s="771" t="s">
        <v>21</v>
      </c>
      <c r="W12" s="772">
        <f t="shared" si="2"/>
        <v>100</v>
      </c>
      <c r="X12" s="773"/>
      <c r="Y12" s="3035"/>
      <c r="Z12" s="55">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199"/>
      <c r="Q13" s="1798">
        <f t="shared" si="6"/>
        <v>0</v>
      </c>
      <c r="R13" s="771" t="s">
        <v>21</v>
      </c>
      <c r="S13" s="772">
        <f t="shared" si="0"/>
        <v>100</v>
      </c>
      <c r="T13" s="771" t="s">
        <v>21</v>
      </c>
      <c r="U13" s="772">
        <f t="shared" si="1"/>
        <v>100</v>
      </c>
      <c r="V13" s="771" t="s">
        <v>21</v>
      </c>
      <c r="W13" s="772">
        <f t="shared" si="2"/>
        <v>100</v>
      </c>
      <c r="X13" s="773"/>
      <c r="Y13" s="3035"/>
      <c r="Z13" s="55">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199"/>
      <c r="Q14" s="1798">
        <f t="shared" si="6"/>
        <v>0</v>
      </c>
      <c r="R14" s="771" t="s">
        <v>21</v>
      </c>
      <c r="S14" s="772">
        <f t="shared" si="0"/>
        <v>100</v>
      </c>
      <c r="T14" s="771" t="s">
        <v>21</v>
      </c>
      <c r="U14" s="772">
        <f t="shared" si="1"/>
        <v>100</v>
      </c>
      <c r="V14" s="771" t="s">
        <v>21</v>
      </c>
      <c r="W14" s="772">
        <f t="shared" si="2"/>
        <v>100</v>
      </c>
      <c r="X14" s="773"/>
      <c r="Y14" s="3035"/>
      <c r="Z14" s="55">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190" t="s">
        <v>2563</v>
      </c>
      <c r="Q15" s="1813" t="str">
        <f t="shared" si="6"/>
        <v>居住社区成熟度</v>
      </c>
      <c r="R15" s="775" t="s">
        <v>21</v>
      </c>
      <c r="S15" s="776">
        <f t="shared" si="0"/>
        <v>100</v>
      </c>
      <c r="T15" s="775" t="s">
        <v>21</v>
      </c>
      <c r="U15" s="776">
        <f t="shared" si="1"/>
        <v>100</v>
      </c>
      <c r="V15" s="775" t="s">
        <v>21</v>
      </c>
      <c r="W15" s="776">
        <f t="shared" si="2"/>
        <v>100</v>
      </c>
      <c r="X15" s="1816"/>
      <c r="Y15" s="3192" t="s">
        <v>2563</v>
      </c>
      <c r="Z15" s="1817" t="str">
        <f t="shared" si="7"/>
        <v>居住社区成熟度</v>
      </c>
      <c r="AA15" s="1814">
        <f t="shared" si="3"/>
        <v>1</v>
      </c>
      <c r="AB15" s="1814">
        <f t="shared" si="4"/>
        <v>1</v>
      </c>
      <c r="AC15" s="1814">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191"/>
      <c r="Q16" s="1813"/>
      <c r="R16" s="775"/>
      <c r="S16" s="776"/>
      <c r="T16" s="775"/>
      <c r="U16" s="776"/>
      <c r="V16" s="775"/>
      <c r="W16" s="776"/>
      <c r="X16" s="1816"/>
      <c r="Y16" s="3193"/>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191"/>
      <c r="Q17" s="1813" t="str">
        <f>B17</f>
        <v>交通便捷度</v>
      </c>
      <c r="R17" s="775" t="s">
        <v>21</v>
      </c>
      <c r="S17" s="776">
        <f>F17</f>
        <v>100</v>
      </c>
      <c r="T17" s="775" t="s">
        <v>21</v>
      </c>
      <c r="U17" s="776">
        <f>H17</f>
        <v>100</v>
      </c>
      <c r="V17" s="775" t="s">
        <v>21</v>
      </c>
      <c r="W17" s="776">
        <f>J17</f>
        <v>100</v>
      </c>
      <c r="X17" s="1816"/>
      <c r="Y17" s="3193"/>
      <c r="Z17" s="1817" t="str">
        <f>Q17</f>
        <v>交通便捷度</v>
      </c>
      <c r="AA17" s="1814">
        <f t="shared" si="3"/>
        <v>1</v>
      </c>
      <c r="AB17" s="1814">
        <f t="shared" si="4"/>
        <v>1</v>
      </c>
      <c r="AC17" s="1814">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191"/>
      <c r="Q18" s="1813"/>
      <c r="R18" s="775"/>
      <c r="S18" s="776"/>
      <c r="T18" s="775"/>
      <c r="U18" s="776"/>
      <c r="V18" s="775"/>
      <c r="W18" s="776"/>
      <c r="X18" s="1816"/>
      <c r="Y18" s="3193"/>
      <c r="Z18" s="1817"/>
      <c r="AA18" s="1814">
        <v>1</v>
      </c>
      <c r="AB18" s="1814">
        <v>1</v>
      </c>
      <c r="AC18" s="1814">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191"/>
      <c r="Q19" s="1813" t="str">
        <f>B19</f>
        <v>公共配套设施</v>
      </c>
      <c r="R19" s="775" t="s">
        <v>21</v>
      </c>
      <c r="S19" s="776">
        <f>F19</f>
        <v>100</v>
      </c>
      <c r="T19" s="775" t="s">
        <v>21</v>
      </c>
      <c r="U19" s="776">
        <f>H19</f>
        <v>100</v>
      </c>
      <c r="V19" s="775" t="s">
        <v>21</v>
      </c>
      <c r="W19" s="776">
        <f>J19</f>
        <v>100</v>
      </c>
      <c r="X19" s="1816"/>
      <c r="Y19" s="3193"/>
      <c r="Z19" s="1817" t="str">
        <f>Q19</f>
        <v>公共配套设施</v>
      </c>
      <c r="AA19" s="1814">
        <f t="shared" si="3"/>
        <v>1</v>
      </c>
      <c r="AB19" s="1814">
        <f t="shared" si="4"/>
        <v>1</v>
      </c>
      <c r="AC19" s="1814">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191"/>
      <c r="Q20" s="1813"/>
      <c r="R20" s="775"/>
      <c r="S20" s="776"/>
      <c r="T20" s="775"/>
      <c r="U20" s="776"/>
      <c r="V20" s="775"/>
      <c r="W20" s="776"/>
      <c r="X20" s="1816"/>
      <c r="Y20" s="3193"/>
      <c r="Z20" s="1817"/>
      <c r="AA20" s="1814">
        <v>1</v>
      </c>
      <c r="AB20" s="1814">
        <v>1</v>
      </c>
      <c r="AC20" s="1814">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191"/>
      <c r="Q21" s="1813" t="str">
        <f>B21</f>
        <v>基础设施水平</v>
      </c>
      <c r="R21" s="775" t="s">
        <v>17</v>
      </c>
      <c r="S21" s="776">
        <f>F21</f>
        <v>100</v>
      </c>
      <c r="T21" s="775" t="s">
        <v>17</v>
      </c>
      <c r="U21" s="776">
        <f>H21</f>
        <v>100</v>
      </c>
      <c r="V21" s="775" t="s">
        <v>17</v>
      </c>
      <c r="W21" s="776">
        <f>J21</f>
        <v>100</v>
      </c>
      <c r="X21" s="1816"/>
      <c r="Y21" s="3193"/>
      <c r="Z21" s="1817" t="str">
        <f>Q21</f>
        <v>基础设施水平</v>
      </c>
      <c r="AA21" s="1814">
        <f t="shared" ref="AA21" si="8">D21/F21</f>
        <v>1</v>
      </c>
      <c r="AB21" s="1814">
        <f t="shared" ref="AB21" si="9">D21/H21</f>
        <v>1</v>
      </c>
      <c r="AC21" s="1814">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191"/>
      <c r="Q22" s="1813"/>
      <c r="R22" s="775"/>
      <c r="S22" s="776"/>
      <c r="T22" s="775"/>
      <c r="U22" s="776"/>
      <c r="V22" s="775"/>
      <c r="W22" s="776"/>
      <c r="X22" s="1816"/>
      <c r="Y22" s="3193"/>
      <c r="Z22" s="1817"/>
      <c r="AA22" s="1814">
        <v>1</v>
      </c>
      <c r="AB22" s="1814">
        <v>1</v>
      </c>
      <c r="AC22" s="1814">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191"/>
      <c r="Q23" s="1813" t="str">
        <f>B23</f>
        <v>自然及人文环境</v>
      </c>
      <c r="R23" s="775" t="s">
        <v>21</v>
      </c>
      <c r="S23" s="776">
        <f>F23</f>
        <v>100</v>
      </c>
      <c r="T23" s="775" t="s">
        <v>21</v>
      </c>
      <c r="U23" s="776">
        <f>H23</f>
        <v>100</v>
      </c>
      <c r="V23" s="775" t="s">
        <v>21</v>
      </c>
      <c r="W23" s="776">
        <f>J23</f>
        <v>100</v>
      </c>
      <c r="X23" s="1816"/>
      <c r="Y23" s="3193"/>
      <c r="Z23" s="1817" t="str">
        <f>Q23</f>
        <v>自然及人文环境</v>
      </c>
      <c r="AA23" s="1814">
        <f>D23/F23</f>
        <v>1</v>
      </c>
      <c r="AB23" s="1814">
        <f>D23/H23</f>
        <v>1</v>
      </c>
      <c r="AC23" s="1814">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191"/>
      <c r="Q24" s="1813"/>
      <c r="R24" s="775"/>
      <c r="S24" s="776"/>
      <c r="T24" s="775"/>
      <c r="U24" s="776"/>
      <c r="V24" s="775"/>
      <c r="W24" s="776"/>
      <c r="X24" s="1816"/>
      <c r="Y24" s="3193"/>
      <c r="Z24" s="1817"/>
      <c r="AA24" s="1814">
        <v>1</v>
      </c>
      <c r="AB24" s="1814">
        <v>1</v>
      </c>
      <c r="AC24" s="1814">
        <v>1</v>
      </c>
    </row>
    <row r="25" spans="1:29" ht="15">
      <c r="A25" s="429"/>
      <c r="B25" s="423"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191"/>
      <c r="Q25" s="1813" t="str">
        <f t="shared" ref="Q25:Q46" si="11">B25</f>
        <v>楼层-1</v>
      </c>
      <c r="R25" s="775" t="s">
        <v>21</v>
      </c>
      <c r="S25" s="776">
        <f t="shared" ref="S25:S46" si="12">F25</f>
        <v>100</v>
      </c>
      <c r="T25" s="775" t="s">
        <v>21</v>
      </c>
      <c r="U25" s="776">
        <f t="shared" ref="U25:U46" si="13">H25</f>
        <v>100</v>
      </c>
      <c r="V25" s="775" t="s">
        <v>21</v>
      </c>
      <c r="W25" s="776">
        <f t="shared" ref="W25:W46" si="14">J25</f>
        <v>100</v>
      </c>
      <c r="X25" s="1816"/>
      <c r="Y25" s="3193"/>
      <c r="Z25" s="1817" t="str">
        <f>Q25</f>
        <v>楼层-1</v>
      </c>
      <c r="AA25" s="1814">
        <f t="shared" ref="AA25:AA46" si="15">D25/F25</f>
        <v>1</v>
      </c>
      <c r="AB25" s="1814">
        <f t="shared" ref="AB25:AB46" si="16">D25/H25</f>
        <v>1</v>
      </c>
      <c r="AC25" s="1814">
        <f t="shared" ref="AC25:AC46" si="17">D25/J25</f>
        <v>1</v>
      </c>
    </row>
    <row r="26" spans="1:29" ht="15">
      <c r="A26" s="429"/>
      <c r="B26" s="423" t="s">
        <v>2565</v>
      </c>
      <c r="C26" s="2949" t="s">
        <v>3168</v>
      </c>
      <c r="D26" s="436">
        <v>100</v>
      </c>
      <c r="E26" s="2949" t="s">
        <v>3168</v>
      </c>
      <c r="F26" s="436">
        <f>SUMIF(88:88,E26,89:89)-SUMIF(88:88,C26,89:89)+100</f>
        <v>100</v>
      </c>
      <c r="G26" s="2949" t="s">
        <v>3168</v>
      </c>
      <c r="H26" s="436">
        <f>SUMIF(88:88,G26,89:89)-SUMIF(88:88,C26,89:89)+100</f>
        <v>100</v>
      </c>
      <c r="I26" s="2949" t="s">
        <v>3168</v>
      </c>
      <c r="J26" s="436">
        <f>SUMIF(88:88,I26,89:89)-SUMIF(88:88,C26,89:89)+100</f>
        <v>100</v>
      </c>
      <c r="K26" s="427">
        <v>2</v>
      </c>
      <c r="L26" s="1143"/>
      <c r="M26" s="1134"/>
      <c r="N26" s="1134"/>
      <c r="O26" s="1134"/>
      <c r="P26" s="3191"/>
      <c r="Q26" s="1813" t="str">
        <f t="shared" si="11"/>
        <v>朝向</v>
      </c>
      <c r="R26" s="775" t="s">
        <v>21</v>
      </c>
      <c r="S26" s="776">
        <f t="shared" si="12"/>
        <v>100</v>
      </c>
      <c r="T26" s="775" t="s">
        <v>21</v>
      </c>
      <c r="U26" s="776">
        <f t="shared" si="13"/>
        <v>100</v>
      </c>
      <c r="V26" s="775" t="s">
        <v>21</v>
      </c>
      <c r="W26" s="776">
        <f t="shared" si="14"/>
        <v>100</v>
      </c>
      <c r="X26" s="1816"/>
      <c r="Y26" s="3193"/>
      <c r="Z26" s="1817" t="str">
        <f>Q26</f>
        <v>朝向</v>
      </c>
      <c r="AA26" s="1814">
        <f t="shared" si="15"/>
        <v>1</v>
      </c>
      <c r="AB26" s="1814">
        <f t="shared" si="16"/>
        <v>1</v>
      </c>
      <c r="AC26" s="1814">
        <f t="shared" si="17"/>
        <v>1</v>
      </c>
    </row>
    <row r="27" spans="1:29" s="117" customFormat="1" ht="15">
      <c r="A27" s="432"/>
      <c r="B27" s="2946" t="s">
        <v>3164</v>
      </c>
      <c r="C27" s="2947" t="s">
        <v>3165</v>
      </c>
      <c r="D27" s="463">
        <v>100</v>
      </c>
      <c r="E27" s="2948" t="s">
        <v>3166</v>
      </c>
      <c r="F27" s="463">
        <f>SUMIF(90:90,E27,91:91)-SUMIF(90:90,C27,91:91)+100</f>
        <v>105</v>
      </c>
      <c r="G27" s="2948" t="s">
        <v>3166</v>
      </c>
      <c r="H27" s="463">
        <f>SUMIF(90:90,G27,91:91)-SUMIF(90:90,C27,91:91)+100</f>
        <v>105</v>
      </c>
      <c r="I27" s="2948" t="s">
        <v>3166</v>
      </c>
      <c r="J27" s="463">
        <f>SUMIF(90:90,I27,91:91)-SUMIF(90:90,C27,91:91)+100</f>
        <v>105</v>
      </c>
      <c r="K27" s="2603"/>
      <c r="L27" s="1135"/>
      <c r="M27" s="1136"/>
      <c r="N27" s="1136"/>
      <c r="O27" s="1136"/>
      <c r="P27" s="3191"/>
      <c r="Q27" s="1798" t="str">
        <f t="shared" si="11"/>
        <v>楼层</v>
      </c>
      <c r="R27" s="771" t="s">
        <v>21</v>
      </c>
      <c r="S27" s="772">
        <f t="shared" si="12"/>
        <v>105</v>
      </c>
      <c r="T27" s="771" t="s">
        <v>21</v>
      </c>
      <c r="U27" s="772">
        <f t="shared" si="13"/>
        <v>105</v>
      </c>
      <c r="V27" s="771" t="s">
        <v>21</v>
      </c>
      <c r="W27" s="772">
        <f t="shared" si="14"/>
        <v>105</v>
      </c>
      <c r="X27" s="773"/>
      <c r="Y27" s="3193"/>
      <c r="Z27" s="55" t="str">
        <f>Q27</f>
        <v>楼层</v>
      </c>
      <c r="AA27" s="1814">
        <f t="shared" si="15"/>
        <v>0.95238095238095233</v>
      </c>
      <c r="AB27" s="1814">
        <f t="shared" si="16"/>
        <v>0.95238095238095233</v>
      </c>
      <c r="AC27" s="1814">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191"/>
      <c r="Q28" s="1813">
        <f t="shared" si="11"/>
        <v>111</v>
      </c>
      <c r="R28" s="775" t="s">
        <v>21</v>
      </c>
      <c r="S28" s="776">
        <f t="shared" si="12"/>
        <v>100</v>
      </c>
      <c r="T28" s="775" t="s">
        <v>21</v>
      </c>
      <c r="U28" s="776">
        <f t="shared" si="13"/>
        <v>100</v>
      </c>
      <c r="V28" s="775" t="s">
        <v>21</v>
      </c>
      <c r="W28" s="776">
        <f t="shared" si="14"/>
        <v>100</v>
      </c>
      <c r="X28" s="1816"/>
      <c r="Y28" s="3193"/>
      <c r="Z28" s="1817">
        <f t="shared" ref="Z28:Z46" si="18">Q28</f>
        <v>111</v>
      </c>
      <c r="AA28" s="1814">
        <f t="shared" si="15"/>
        <v>1</v>
      </c>
      <c r="AB28" s="1814">
        <f t="shared" si="16"/>
        <v>1</v>
      </c>
      <c r="AC28" s="1814">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191"/>
      <c r="Q29" s="1813">
        <f t="shared" si="11"/>
        <v>111</v>
      </c>
      <c r="R29" s="775" t="s">
        <v>21</v>
      </c>
      <c r="S29" s="776">
        <f t="shared" si="12"/>
        <v>100</v>
      </c>
      <c r="T29" s="775" t="s">
        <v>21</v>
      </c>
      <c r="U29" s="776">
        <f t="shared" si="13"/>
        <v>100</v>
      </c>
      <c r="V29" s="775" t="s">
        <v>21</v>
      </c>
      <c r="W29" s="776">
        <f t="shared" si="14"/>
        <v>100</v>
      </c>
      <c r="X29" s="1816"/>
      <c r="Y29" s="3193"/>
      <c r="Z29" s="1817">
        <f t="shared" si="18"/>
        <v>111</v>
      </c>
      <c r="AA29" s="1814">
        <f t="shared" si="15"/>
        <v>1</v>
      </c>
      <c r="AB29" s="1814">
        <f t="shared" si="16"/>
        <v>1</v>
      </c>
      <c r="AC29" s="1814">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191"/>
      <c r="Q30" s="1813">
        <f t="shared" si="11"/>
        <v>111</v>
      </c>
      <c r="R30" s="775" t="s">
        <v>21</v>
      </c>
      <c r="S30" s="776">
        <f t="shared" si="12"/>
        <v>100</v>
      </c>
      <c r="T30" s="775" t="s">
        <v>21</v>
      </c>
      <c r="U30" s="776">
        <f t="shared" si="13"/>
        <v>100</v>
      </c>
      <c r="V30" s="775" t="s">
        <v>21</v>
      </c>
      <c r="W30" s="776">
        <f t="shared" si="14"/>
        <v>100</v>
      </c>
      <c r="X30" s="1816"/>
      <c r="Y30" s="3193"/>
      <c r="Z30" s="1817">
        <f t="shared" si="18"/>
        <v>111</v>
      </c>
      <c r="AA30" s="1814">
        <f t="shared" si="15"/>
        <v>1</v>
      </c>
      <c r="AB30" s="1814">
        <f t="shared" si="16"/>
        <v>1</v>
      </c>
      <c r="AC30" s="1814">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191"/>
      <c r="Q31" s="1813">
        <f t="shared" si="11"/>
        <v>111</v>
      </c>
      <c r="R31" s="775" t="s">
        <v>21</v>
      </c>
      <c r="S31" s="776">
        <f t="shared" si="12"/>
        <v>100</v>
      </c>
      <c r="T31" s="775" t="s">
        <v>21</v>
      </c>
      <c r="U31" s="776">
        <f t="shared" si="13"/>
        <v>100</v>
      </c>
      <c r="V31" s="775" t="s">
        <v>21</v>
      </c>
      <c r="W31" s="776">
        <f t="shared" si="14"/>
        <v>100</v>
      </c>
      <c r="X31" s="1816"/>
      <c r="Y31" s="3193"/>
      <c r="Z31" s="1817">
        <f t="shared" si="18"/>
        <v>111</v>
      </c>
      <c r="AA31" s="1814">
        <f t="shared" si="15"/>
        <v>1</v>
      </c>
      <c r="AB31" s="1814">
        <f t="shared" si="16"/>
        <v>1</v>
      </c>
      <c r="AC31" s="1814">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194" t="s">
        <v>2568</v>
      </c>
      <c r="Q32" s="1813" t="str">
        <f t="shared" si="11"/>
        <v>建筑类型</v>
      </c>
      <c r="R32" s="775" t="s">
        <v>21</v>
      </c>
      <c r="S32" s="776">
        <f t="shared" si="12"/>
        <v>100</v>
      </c>
      <c r="T32" s="775" t="s">
        <v>21</v>
      </c>
      <c r="U32" s="776">
        <f t="shared" si="13"/>
        <v>100</v>
      </c>
      <c r="V32" s="775" t="s">
        <v>21</v>
      </c>
      <c r="W32" s="776">
        <f t="shared" si="14"/>
        <v>100</v>
      </c>
      <c r="X32" s="1816"/>
      <c r="Y32" s="3197" t="s">
        <v>2568</v>
      </c>
      <c r="Z32" s="1817" t="str">
        <f t="shared" si="18"/>
        <v>建筑类型</v>
      </c>
      <c r="AA32" s="1814">
        <f t="shared" si="15"/>
        <v>1</v>
      </c>
      <c r="AB32" s="1814">
        <f t="shared" si="16"/>
        <v>1</v>
      </c>
      <c r="AC32" s="1814">
        <f t="shared" si="17"/>
        <v>1</v>
      </c>
    </row>
    <row r="33" spans="1:29" s="472" customFormat="1" ht="15">
      <c r="A33" s="469"/>
      <c r="B33" s="423" t="s">
        <v>2569</v>
      </c>
      <c r="C33" s="470">
        <f>'数据-汇总表'!E3</f>
        <v>445.61</v>
      </c>
      <c r="D33" s="136">
        <v>100</v>
      </c>
      <c r="E33" s="431">
        <v>445.86</v>
      </c>
      <c r="F33" s="426">
        <f>LOOKUP(E33,103:103,104:104)-LOOKUP(C33,103:103,104:104)+100</f>
        <v>100</v>
      </c>
      <c r="G33" s="430">
        <v>439.68</v>
      </c>
      <c r="H33" s="136">
        <f>LOOKUP(G33,103:103,104:104)-LOOKUP(C33,103:103,104:104)+100</f>
        <v>100</v>
      </c>
      <c r="I33" s="430">
        <v>440</v>
      </c>
      <c r="J33" s="136">
        <f>LOOKUP(I33,103:103,104:104)-LOOKUP(C33,103:103,104:104)+100</f>
        <v>100</v>
      </c>
      <c r="K33" s="2603"/>
      <c r="L33" s="1141"/>
      <c r="M33" s="1144"/>
      <c r="N33" s="1144"/>
      <c r="O33" s="1144"/>
      <c r="P33" s="3195"/>
      <c r="Q33" s="777" t="str">
        <f t="shared" si="11"/>
        <v>项目建筑规模</v>
      </c>
      <c r="R33" s="778" t="s">
        <v>21</v>
      </c>
      <c r="S33" s="779">
        <f t="shared" si="12"/>
        <v>100</v>
      </c>
      <c r="T33" s="778" t="s">
        <v>21</v>
      </c>
      <c r="U33" s="779">
        <f t="shared" si="13"/>
        <v>100</v>
      </c>
      <c r="V33" s="778" t="s">
        <v>21</v>
      </c>
      <c r="W33" s="779">
        <f t="shared" si="14"/>
        <v>100</v>
      </c>
      <c r="X33" s="780"/>
      <c r="Y33" s="3197"/>
      <c r="Z33" s="781" t="str">
        <f t="shared" si="18"/>
        <v>项目建筑规模</v>
      </c>
      <c r="AA33" s="1814">
        <f t="shared" si="15"/>
        <v>1</v>
      </c>
      <c r="AB33" s="1814">
        <f t="shared" si="16"/>
        <v>1</v>
      </c>
      <c r="AC33" s="1814">
        <f t="shared" si="17"/>
        <v>1</v>
      </c>
    </row>
    <row r="34" spans="1:29" ht="15">
      <c r="A34" s="473"/>
      <c r="B34" s="423"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195"/>
      <c r="Q34" s="1813" t="str">
        <f t="shared" si="11"/>
        <v>建筑结构</v>
      </c>
      <c r="R34" s="775" t="s">
        <v>21</v>
      </c>
      <c r="S34" s="776">
        <f t="shared" si="12"/>
        <v>100</v>
      </c>
      <c r="T34" s="775" t="s">
        <v>21</v>
      </c>
      <c r="U34" s="776">
        <f t="shared" si="13"/>
        <v>100</v>
      </c>
      <c r="V34" s="775" t="s">
        <v>21</v>
      </c>
      <c r="W34" s="776">
        <f t="shared" si="14"/>
        <v>100</v>
      </c>
      <c r="X34" s="1816"/>
      <c r="Y34" s="3197"/>
      <c r="Z34" s="1817" t="str">
        <f t="shared" si="18"/>
        <v>建筑结构</v>
      </c>
      <c r="AA34" s="1814">
        <f t="shared" si="15"/>
        <v>1</v>
      </c>
      <c r="AB34" s="1814">
        <f t="shared" si="16"/>
        <v>1</v>
      </c>
      <c r="AC34" s="1814">
        <f t="shared" si="17"/>
        <v>1</v>
      </c>
    </row>
    <row r="35" spans="1:29" ht="15">
      <c r="A35" s="473"/>
      <c r="B35" s="423"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195"/>
      <c r="Q35" s="1813" t="str">
        <f t="shared" si="11"/>
        <v>建筑品质</v>
      </c>
      <c r="R35" s="775" t="s">
        <v>21</v>
      </c>
      <c r="S35" s="776">
        <f t="shared" si="12"/>
        <v>100</v>
      </c>
      <c r="T35" s="775" t="s">
        <v>21</v>
      </c>
      <c r="U35" s="776">
        <f t="shared" si="13"/>
        <v>100</v>
      </c>
      <c r="V35" s="775" t="s">
        <v>21</v>
      </c>
      <c r="W35" s="776">
        <f t="shared" si="14"/>
        <v>100</v>
      </c>
      <c r="X35" s="1816"/>
      <c r="Y35" s="3197"/>
      <c r="Z35" s="1817" t="str">
        <f t="shared" si="18"/>
        <v>建筑品质</v>
      </c>
      <c r="AA35" s="1814">
        <f t="shared" si="15"/>
        <v>1</v>
      </c>
      <c r="AB35" s="1814">
        <f t="shared" si="16"/>
        <v>1</v>
      </c>
      <c r="AC35" s="1814">
        <f t="shared" si="17"/>
        <v>1</v>
      </c>
    </row>
    <row r="36" spans="1:29" ht="15">
      <c r="A36" s="473"/>
      <c r="B36" s="423"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195"/>
      <c r="Q36" s="1813" t="str">
        <f t="shared" si="11"/>
        <v>公共部分装修</v>
      </c>
      <c r="R36" s="775" t="s">
        <v>21</v>
      </c>
      <c r="S36" s="776">
        <f t="shared" si="12"/>
        <v>100</v>
      </c>
      <c r="T36" s="775" t="s">
        <v>21</v>
      </c>
      <c r="U36" s="776">
        <f t="shared" si="13"/>
        <v>100</v>
      </c>
      <c r="V36" s="775" t="s">
        <v>21</v>
      </c>
      <c r="W36" s="776">
        <f t="shared" si="14"/>
        <v>100</v>
      </c>
      <c r="X36" s="1816"/>
      <c r="Y36" s="3197"/>
      <c r="Z36" s="1817" t="str">
        <f t="shared" si="18"/>
        <v>公共部分装修</v>
      </c>
      <c r="AA36" s="1814">
        <f t="shared" si="15"/>
        <v>1</v>
      </c>
      <c r="AB36" s="1814">
        <f t="shared" si="16"/>
        <v>1</v>
      </c>
      <c r="AC36" s="1814">
        <f t="shared" si="17"/>
        <v>1</v>
      </c>
    </row>
    <row r="37" spans="1:29" s="117" customFormat="1" ht="15">
      <c r="A37" s="474"/>
      <c r="B37" s="423"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195"/>
      <c r="Q37" s="1798" t="str">
        <f t="shared" si="11"/>
        <v>成新度</v>
      </c>
      <c r="R37" s="771" t="s">
        <v>21</v>
      </c>
      <c r="S37" s="772">
        <f t="shared" si="12"/>
        <v>100</v>
      </c>
      <c r="T37" s="771" t="s">
        <v>21</v>
      </c>
      <c r="U37" s="772">
        <f t="shared" si="13"/>
        <v>100</v>
      </c>
      <c r="V37" s="771" t="s">
        <v>21</v>
      </c>
      <c r="W37" s="772">
        <f t="shared" si="14"/>
        <v>100</v>
      </c>
      <c r="X37" s="773"/>
      <c r="Y37" s="3197"/>
      <c r="Z37" s="55" t="str">
        <f t="shared" si="18"/>
        <v>成新度</v>
      </c>
      <c r="AA37" s="774">
        <f t="shared" si="15"/>
        <v>1</v>
      </c>
      <c r="AB37" s="774">
        <f t="shared" si="16"/>
        <v>1</v>
      </c>
      <c r="AC37" s="774">
        <f t="shared" si="17"/>
        <v>1</v>
      </c>
    </row>
    <row r="38" spans="1:29" ht="15">
      <c r="A38" s="473"/>
      <c r="B38" s="423"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195" t="s">
        <v>2568</v>
      </c>
      <c r="Q38" s="1813" t="str">
        <f t="shared" si="11"/>
        <v>物业管理</v>
      </c>
      <c r="R38" s="775" t="s">
        <v>21</v>
      </c>
      <c r="S38" s="776">
        <f t="shared" si="12"/>
        <v>100</v>
      </c>
      <c r="T38" s="775" t="s">
        <v>21</v>
      </c>
      <c r="U38" s="776">
        <f t="shared" si="13"/>
        <v>100</v>
      </c>
      <c r="V38" s="775" t="s">
        <v>21</v>
      </c>
      <c r="W38" s="776">
        <f t="shared" si="14"/>
        <v>100</v>
      </c>
      <c r="X38" s="1816"/>
      <c r="Y38" s="3197" t="s">
        <v>2568</v>
      </c>
      <c r="Z38" s="1817" t="str">
        <f t="shared" si="18"/>
        <v>物业管理</v>
      </c>
      <c r="AA38" s="1814">
        <f t="shared" si="15"/>
        <v>1</v>
      </c>
      <c r="AB38" s="1814">
        <f t="shared" si="16"/>
        <v>1</v>
      </c>
      <c r="AC38" s="1814">
        <f t="shared" si="17"/>
        <v>1</v>
      </c>
    </row>
    <row r="39" spans="1:29" ht="15">
      <c r="A39" s="473"/>
      <c r="B39" s="423"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195"/>
      <c r="Q39" s="1813" t="str">
        <f t="shared" si="11"/>
        <v>市政基础设施</v>
      </c>
      <c r="R39" s="775" t="s">
        <v>21</v>
      </c>
      <c r="S39" s="776">
        <f t="shared" si="12"/>
        <v>100</v>
      </c>
      <c r="T39" s="775" t="s">
        <v>21</v>
      </c>
      <c r="U39" s="776">
        <f t="shared" si="13"/>
        <v>100</v>
      </c>
      <c r="V39" s="775" t="s">
        <v>21</v>
      </c>
      <c r="W39" s="776">
        <f t="shared" si="14"/>
        <v>100</v>
      </c>
      <c r="X39" s="1816"/>
      <c r="Y39" s="3197"/>
      <c r="Z39" s="1817" t="str">
        <f t="shared" si="18"/>
        <v>市政基础设施</v>
      </c>
      <c r="AA39" s="1814">
        <f t="shared" si="15"/>
        <v>1</v>
      </c>
      <c r="AB39" s="1814">
        <f t="shared" si="16"/>
        <v>1</v>
      </c>
      <c r="AC39" s="1814">
        <f t="shared" si="17"/>
        <v>1</v>
      </c>
    </row>
    <row r="40" spans="1:29" ht="15">
      <c r="A40" s="473"/>
      <c r="B40" s="423"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10</v>
      </c>
      <c r="L40" s="1143"/>
      <c r="M40" s="1134"/>
      <c r="N40" s="1134"/>
      <c r="O40" s="1134"/>
      <c r="P40" s="3195"/>
      <c r="Q40" s="1813" t="str">
        <f t="shared" si="11"/>
        <v>房型</v>
      </c>
      <c r="R40" s="775" t="s">
        <v>21</v>
      </c>
      <c r="S40" s="776">
        <f t="shared" si="12"/>
        <v>100</v>
      </c>
      <c r="T40" s="775" t="s">
        <v>21</v>
      </c>
      <c r="U40" s="776">
        <f t="shared" si="13"/>
        <v>100</v>
      </c>
      <c r="V40" s="775" t="s">
        <v>21</v>
      </c>
      <c r="W40" s="776">
        <f t="shared" si="14"/>
        <v>100</v>
      </c>
      <c r="X40" s="1816"/>
      <c r="Y40" s="3197"/>
      <c r="Z40" s="1817" t="str">
        <f t="shared" si="18"/>
        <v>房型</v>
      </c>
      <c r="AA40" s="1814">
        <f t="shared" si="15"/>
        <v>1</v>
      </c>
      <c r="AB40" s="1814">
        <f t="shared" si="16"/>
        <v>1</v>
      </c>
      <c r="AC40" s="1814">
        <f t="shared" si="17"/>
        <v>1</v>
      </c>
    </row>
    <row r="41" spans="1:29" s="472" customFormat="1" ht="28.5">
      <c r="A41" s="469"/>
      <c r="B41" s="423"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195"/>
      <c r="Q41" s="777" t="str">
        <f t="shared" si="11"/>
        <v>单套/主力户型建筑面积</v>
      </c>
      <c r="R41" s="778" t="s">
        <v>21</v>
      </c>
      <c r="S41" s="779">
        <f t="shared" si="12"/>
        <v>100</v>
      </c>
      <c r="T41" s="778" t="s">
        <v>21</v>
      </c>
      <c r="U41" s="779">
        <f t="shared" si="13"/>
        <v>100</v>
      </c>
      <c r="V41" s="778" t="s">
        <v>21</v>
      </c>
      <c r="W41" s="779">
        <f t="shared" si="14"/>
        <v>100</v>
      </c>
      <c r="X41" s="780"/>
      <c r="Y41" s="3197"/>
      <c r="Z41" s="781" t="str">
        <f t="shared" si="18"/>
        <v>单套/主力户型建筑面积</v>
      </c>
      <c r="AA41" s="1814">
        <f t="shared" si="15"/>
        <v>1</v>
      </c>
      <c r="AB41" s="1814">
        <f t="shared" si="16"/>
        <v>1</v>
      </c>
      <c r="AC41" s="1814">
        <f t="shared" si="17"/>
        <v>1</v>
      </c>
    </row>
    <row r="42" spans="1:29" ht="15">
      <c r="A42" s="473"/>
      <c r="B42" s="423"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195"/>
      <c r="Q42" s="1813" t="str">
        <f t="shared" si="11"/>
        <v>内部装修</v>
      </c>
      <c r="R42" s="775" t="s">
        <v>21</v>
      </c>
      <c r="S42" s="776">
        <f t="shared" si="12"/>
        <v>100</v>
      </c>
      <c r="T42" s="775" t="s">
        <v>21</v>
      </c>
      <c r="U42" s="776">
        <f t="shared" si="13"/>
        <v>100</v>
      </c>
      <c r="V42" s="775" t="s">
        <v>21</v>
      </c>
      <c r="W42" s="776">
        <f t="shared" si="14"/>
        <v>100</v>
      </c>
      <c r="X42" s="1816"/>
      <c r="Y42" s="3197"/>
      <c r="Z42" s="1817" t="str">
        <f t="shared" si="18"/>
        <v>内部装修</v>
      </c>
      <c r="AA42" s="1814">
        <f t="shared" si="15"/>
        <v>1</v>
      </c>
      <c r="AB42" s="1814">
        <f t="shared" si="16"/>
        <v>1</v>
      </c>
      <c r="AC42" s="1814">
        <f t="shared" si="17"/>
        <v>1</v>
      </c>
    </row>
    <row r="43" spans="1:29" ht="15">
      <c r="A43" s="473"/>
      <c r="B43" s="423"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195"/>
      <c r="Q43" s="1813" t="str">
        <f t="shared" si="11"/>
        <v>内部装修维护情况</v>
      </c>
      <c r="R43" s="775" t="s">
        <v>21</v>
      </c>
      <c r="S43" s="776">
        <f t="shared" si="12"/>
        <v>100</v>
      </c>
      <c r="T43" s="775" t="s">
        <v>21</v>
      </c>
      <c r="U43" s="776">
        <f t="shared" si="13"/>
        <v>100</v>
      </c>
      <c r="V43" s="775" t="s">
        <v>21</v>
      </c>
      <c r="W43" s="776">
        <f t="shared" si="14"/>
        <v>100</v>
      </c>
      <c r="X43" s="1816"/>
      <c r="Y43" s="3197"/>
      <c r="Z43" s="1817" t="str">
        <f t="shared" si="18"/>
        <v>内部装修维护情况</v>
      </c>
      <c r="AA43" s="1814">
        <f t="shared" si="15"/>
        <v>1</v>
      </c>
      <c r="AB43" s="1814">
        <f t="shared" si="16"/>
        <v>1</v>
      </c>
      <c r="AC43" s="1814">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195"/>
      <c r="Q44" s="1798">
        <f t="shared" si="11"/>
        <v>111</v>
      </c>
      <c r="R44" s="771" t="s">
        <v>21</v>
      </c>
      <c r="S44" s="772">
        <f t="shared" si="12"/>
        <v>100</v>
      </c>
      <c r="T44" s="771" t="s">
        <v>21</v>
      </c>
      <c r="U44" s="772">
        <f t="shared" si="13"/>
        <v>100</v>
      </c>
      <c r="V44" s="771" t="s">
        <v>21</v>
      </c>
      <c r="W44" s="772">
        <f t="shared" si="14"/>
        <v>100</v>
      </c>
      <c r="X44" s="773"/>
      <c r="Y44" s="3197"/>
      <c r="Z44" s="55">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195"/>
      <c r="Q45" s="1813">
        <f t="shared" si="11"/>
        <v>111</v>
      </c>
      <c r="R45" s="775" t="s">
        <v>21</v>
      </c>
      <c r="S45" s="776">
        <f t="shared" si="12"/>
        <v>100</v>
      </c>
      <c r="T45" s="775" t="s">
        <v>21</v>
      </c>
      <c r="U45" s="776">
        <f t="shared" si="13"/>
        <v>100</v>
      </c>
      <c r="V45" s="775" t="s">
        <v>21</v>
      </c>
      <c r="W45" s="776">
        <f t="shared" si="14"/>
        <v>100</v>
      </c>
      <c r="X45" s="1816"/>
      <c r="Y45" s="3197"/>
      <c r="Z45" s="1817">
        <f t="shared" si="18"/>
        <v>111</v>
      </c>
      <c r="AA45" s="1814">
        <f t="shared" si="15"/>
        <v>1</v>
      </c>
      <c r="AB45" s="1814">
        <f t="shared" si="16"/>
        <v>1</v>
      </c>
      <c r="AC45" s="1814">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196"/>
      <c r="Q46" s="1813">
        <f t="shared" si="11"/>
        <v>111</v>
      </c>
      <c r="R46" s="775" t="s">
        <v>20</v>
      </c>
      <c r="S46" s="776">
        <f t="shared" si="12"/>
        <v>100</v>
      </c>
      <c r="T46" s="775" t="s">
        <v>20</v>
      </c>
      <c r="U46" s="776">
        <f t="shared" si="13"/>
        <v>100</v>
      </c>
      <c r="V46" s="775" t="s">
        <v>20</v>
      </c>
      <c r="W46" s="776">
        <f t="shared" si="14"/>
        <v>100</v>
      </c>
      <c r="X46" s="1816"/>
      <c r="Y46" s="3198"/>
      <c r="Z46" s="1817">
        <f t="shared" si="18"/>
        <v>111</v>
      </c>
      <c r="AA46" s="1814">
        <f t="shared" si="15"/>
        <v>1</v>
      </c>
      <c r="AB46" s="1814">
        <f t="shared" si="16"/>
        <v>1</v>
      </c>
      <c r="AC46" s="1814">
        <f t="shared" si="17"/>
        <v>1</v>
      </c>
    </row>
    <row r="47" spans="1:29" ht="15">
      <c r="A47" s="480" t="s">
        <v>2580</v>
      </c>
      <c r="B47" s="481"/>
      <c r="C47" s="1410" t="s">
        <v>19</v>
      </c>
      <c r="D47" s="1411"/>
      <c r="E47" s="1412">
        <v>96761</v>
      </c>
      <c r="F47" s="1413"/>
      <c r="G47" s="1414">
        <v>97344</v>
      </c>
      <c r="H47" s="1415"/>
      <c r="I47" s="1412">
        <v>97000</v>
      </c>
      <c r="J47" s="1415"/>
      <c r="K47" s="2622"/>
      <c r="L47" s="1146"/>
      <c r="M47" s="1147"/>
      <c r="N47" s="1134"/>
      <c r="O47" s="1147"/>
      <c r="P47" s="3185" t="str">
        <f>A47</f>
        <v>成交单价（元/平方米）</v>
      </c>
      <c r="Q47" s="3185"/>
      <c r="R47" s="3186">
        <f>E47</f>
        <v>96761</v>
      </c>
      <c r="S47" s="3186"/>
      <c r="T47" s="3186">
        <f>G47</f>
        <v>97344</v>
      </c>
      <c r="U47" s="3186"/>
      <c r="V47" s="3186">
        <f>I47</f>
        <v>97000</v>
      </c>
      <c r="W47" s="3186"/>
      <c r="X47" s="760"/>
      <c r="Y47" s="782"/>
      <c r="Z47" s="760"/>
      <c r="AA47" s="760"/>
      <c r="AB47" s="760"/>
      <c r="AC47" s="760"/>
    </row>
    <row r="48" spans="1:29" ht="15.75" thickBot="1">
      <c r="A48" s="487" t="s">
        <v>2581</v>
      </c>
      <c r="B48" s="488"/>
      <c r="C48" s="1416">
        <f>R49</f>
        <v>94325</v>
      </c>
      <c r="D48" s="1417"/>
      <c r="E48" s="1418">
        <f>R48</f>
        <v>95993</v>
      </c>
      <c r="F48" s="1418"/>
      <c r="G48" s="1416">
        <f>T48</f>
        <v>94601</v>
      </c>
      <c r="H48" s="1417"/>
      <c r="I48" s="1418">
        <f>V48</f>
        <v>92381</v>
      </c>
      <c r="J48" s="1417"/>
      <c r="K48" s="2623"/>
      <c r="L48" s="1146"/>
      <c r="M48" s="1147"/>
      <c r="N48" s="1147"/>
      <c r="O48" s="1147"/>
      <c r="P48" s="3185" t="str">
        <f>A48</f>
        <v>比较价值（元/平方米）</v>
      </c>
      <c r="Q48" s="3185"/>
      <c r="R48" s="3186">
        <f>IF(F1="售价",ROUND(PRODUCT(R47,AA7:AA46),0),ROUND(PRODUCT(R47,AA7:AA46),1))</f>
        <v>95993</v>
      </c>
      <c r="S48" s="3186"/>
      <c r="T48" s="3186">
        <f>IF(F1="售价",ROUND(PRODUCT(T47,AB7:AB46),0),ROUND(PRODUCT(T47,AB7:AB46),1))</f>
        <v>94601</v>
      </c>
      <c r="U48" s="3186"/>
      <c r="V48" s="3186">
        <f>IF(F1="售价",ROUND(PRODUCT(V47,AC7:AC46),0),ROUND(PRODUCT(V47,AC7:AC46),1))</f>
        <v>92381</v>
      </c>
      <c r="W48" s="3186"/>
      <c r="X48" s="760"/>
      <c r="Y48" s="760"/>
      <c r="Z48" s="760"/>
      <c r="AA48" s="760"/>
      <c r="AB48" s="760"/>
      <c r="AC48" s="760"/>
    </row>
    <row r="49" spans="1:29" ht="15.75" thickBot="1">
      <c r="A49" s="493" t="s">
        <v>2582</v>
      </c>
      <c r="B49" s="494"/>
      <c r="C49" s="1419">
        <f>R49</f>
        <v>94325</v>
      </c>
      <c r="D49" s="1420"/>
      <c r="E49" s="1420"/>
      <c r="F49" s="1420"/>
      <c r="G49" s="1420"/>
      <c r="H49" s="1420"/>
      <c r="I49" s="1420"/>
      <c r="J49" s="1420"/>
      <c r="K49" s="2624"/>
      <c r="L49" s="1146"/>
      <c r="M49" s="1147"/>
      <c r="N49" s="1147"/>
      <c r="O49" s="1147"/>
      <c r="P49" s="3187" t="str">
        <f>A49</f>
        <v>估价对象XX用房的比较价值（楼面单价，元/平方米）</v>
      </c>
      <c r="Q49" s="3188"/>
      <c r="R49" s="3189">
        <f>IF(F1="售价",ROUND(AVERAGE(R48:V48),0),ROUND(AVERAGE(R48:V48),1))</f>
        <v>94325</v>
      </c>
      <c r="S49" s="3189"/>
      <c r="T49" s="3189"/>
      <c r="U49" s="3189"/>
      <c r="V49" s="3189"/>
      <c r="W49" s="3189"/>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8.0005833758711731E-3</v>
      </c>
      <c r="F52" s="501" t="str">
        <f>IF(OR(E52&gt;=0.3,E52&lt;=-0.3),"超过30%","")</f>
        <v/>
      </c>
      <c r="G52" s="500">
        <f>IF(G47&lt;G48,G48/G47-1,G47/G48-1)</f>
        <v>2.8995465164215917E-2</v>
      </c>
      <c r="H52" s="501" t="str">
        <f>IF(OR(G52&gt;=0.3,G52&lt;=-0.3),"超过30%","")</f>
        <v/>
      </c>
      <c r="I52" s="500">
        <f>IF(I47&lt;I48,I48/I47-1,I47/I48-1)</f>
        <v>4.9999458763165583E-2</v>
      </c>
      <c r="J52" s="501" t="str">
        <f>IF(OR(I52&gt;=0.3,I52&lt;=-0.3),"超过30%","")</f>
        <v/>
      </c>
      <c r="K52" s="1109"/>
      <c r="L52" s="1110"/>
      <c r="M52" s="1147"/>
      <c r="N52" s="1147"/>
      <c r="O52" s="1147"/>
    </row>
    <row r="53" spans="1:29" ht="13.5" customHeight="1">
      <c r="A53" s="1147"/>
      <c r="B53" s="1147"/>
      <c r="C53" s="498" t="s">
        <v>2584</v>
      </c>
      <c r="D53" s="502"/>
      <c r="E53" s="500">
        <f>IF(E48&lt;G48,G48/E48-1,E48/G48-1)</f>
        <v>1.4714432194162796E-2</v>
      </c>
      <c r="F53" s="501" t="str">
        <f>IF(OR(E53&gt;=0.2,E53&lt;=-0.2),"超过20%","")</f>
        <v/>
      </c>
      <c r="G53" s="500">
        <f>IF(G48&lt;I48,I48/G48-1,G48/I48-1)</f>
        <v>2.4030915447981638E-2</v>
      </c>
      <c r="H53" s="501" t="str">
        <f>IF(OR(G53&gt;=0.2,G53&lt;=-0.2),"超过20%","")</f>
        <v/>
      </c>
      <c r="I53" s="500">
        <f>IF(I48&lt;E48,E48/I48-1,I48/E48-1)</f>
        <v>3.9098948918067533E-2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6.025154762765883E-3</v>
      </c>
      <c r="F54" s="501" t="str">
        <f>IF(OR(E54&gt;=0.3,E54&lt;=-0.3),"超过30%","")</f>
        <v/>
      </c>
      <c r="G54" s="500">
        <f>IF(G47&lt;I47,I47/G47-1,G47/I47-1)</f>
        <v>3.5463917525773159E-3</v>
      </c>
      <c r="H54" s="501" t="str">
        <f>IF(OR(G54&gt;=0.3,G54&lt;=-0.3),"超过30%","")</f>
        <v/>
      </c>
      <c r="I54" s="500">
        <f>IF(I47&lt;E47,E47/I47-1,I47/E47-1)</f>
        <v>2.4700034104649937E-3</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2587</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2589</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90</v>
      </c>
      <c r="E119" s="545">
        <f t="shared" si="32"/>
        <v>80</v>
      </c>
      <c r="F119" s="545">
        <f t="shared" si="32"/>
        <v>70</v>
      </c>
      <c r="G119" s="545">
        <f t="shared" si="32"/>
        <v>60</v>
      </c>
      <c r="H119" s="545">
        <f t="shared" si="32"/>
        <v>50</v>
      </c>
      <c r="I119" s="545">
        <f t="shared" si="32"/>
        <v>40</v>
      </c>
      <c r="J119" s="545">
        <f t="shared" si="32"/>
        <v>30</v>
      </c>
      <c r="K119" s="545">
        <f t="shared" si="32"/>
        <v>20</v>
      </c>
      <c r="L119" s="545">
        <f t="shared" si="32"/>
        <v>10</v>
      </c>
      <c r="M119" s="545">
        <f t="shared" si="32"/>
        <v>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AA4:AA6"/>
    <mergeCell ref="AB4:AB6"/>
    <mergeCell ref="P9:P14"/>
    <mergeCell ref="Y9:Y14"/>
    <mergeCell ref="AC4:AC6"/>
    <mergeCell ref="P4:Q6"/>
    <mergeCell ref="T4:U6"/>
    <mergeCell ref="V4:W6"/>
    <mergeCell ref="P8:Q8"/>
    <mergeCell ref="Y8:Z8"/>
    <mergeCell ref="Y4:Z6"/>
    <mergeCell ref="P7:Q7"/>
    <mergeCell ref="Y7:Z7"/>
    <mergeCell ref="R4:S6"/>
    <mergeCell ref="I4:J4"/>
    <mergeCell ref="I6:J6"/>
    <mergeCell ref="C5:D5"/>
    <mergeCell ref="C6:D6"/>
    <mergeCell ref="E6:F6"/>
    <mergeCell ref="G6:H6"/>
    <mergeCell ref="C4:D4"/>
    <mergeCell ref="E4:F4"/>
    <mergeCell ref="G4:H4"/>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2645</v>
      </c>
      <c r="C1" s="1638" t="s">
        <v>2533</v>
      </c>
      <c r="D1" s="1625"/>
      <c r="E1" s="2658"/>
      <c r="F1" s="2587"/>
      <c r="G1" s="1635" t="s">
        <v>2646</v>
      </c>
      <c r="H1" s="1634"/>
      <c r="I1" s="1634"/>
      <c r="J1" s="1634"/>
      <c r="K1" s="1636"/>
      <c r="L1" s="1637"/>
      <c r="M1" s="1638"/>
      <c r="N1" s="1638"/>
      <c r="O1" s="1638"/>
      <c r="P1" s="2659"/>
      <c r="Q1" s="2660"/>
      <c r="R1" s="2660"/>
      <c r="S1" s="2660"/>
      <c r="T1" s="2660"/>
      <c r="U1" s="2660"/>
      <c r="V1" s="2660"/>
      <c r="W1" s="2660"/>
      <c r="X1" s="2660"/>
      <c r="Y1" s="2660"/>
      <c r="Z1" s="2660"/>
      <c r="AA1" s="2660"/>
      <c r="AB1" s="2660"/>
      <c r="AC1" s="2661"/>
    </row>
    <row r="2" spans="1:29" s="399" customFormat="1" ht="28.5" customHeight="1" thickTop="1">
      <c r="A2" s="1621" t="s">
        <v>2330</v>
      </c>
      <c r="B2" s="1421" t="e">
        <f ca="1">IF(C2="——",ROUND(C49*D3/10000,0),ROUND(C49*D3/10000,0)-D2)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9" customFormat="1" ht="28.5" customHeight="1" thickBot="1">
      <c r="A3" s="248" t="s">
        <v>2332</v>
      </c>
      <c r="B3" s="610" t="e">
        <f ca="1">IF(C2="——",C49,ROUND(B2*10000/D3,0))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2" t="s">
        <v>2648</v>
      </c>
      <c r="B4" s="403"/>
      <c r="C4" s="3213" t="s">
        <v>2649</v>
      </c>
      <c r="D4" s="3214"/>
      <c r="E4" s="3215" t="s">
        <v>2650</v>
      </c>
      <c r="F4" s="3216"/>
      <c r="G4" s="3213" t="s">
        <v>2651</v>
      </c>
      <c r="H4" s="3214"/>
      <c r="I4" s="3213" t="s">
        <v>2652</v>
      </c>
      <c r="J4" s="3214"/>
      <c r="K4" s="611" t="s">
        <v>2653</v>
      </c>
      <c r="L4" s="1133"/>
      <c r="M4" s="1134"/>
      <c r="N4" s="1134"/>
      <c r="O4" s="1134"/>
      <c r="P4" s="3217" t="s">
        <v>2654</v>
      </c>
      <c r="Q4" s="3218"/>
      <c r="R4" s="3200" t="s">
        <v>2650</v>
      </c>
      <c r="S4" s="3201"/>
      <c r="T4" s="3200" t="s">
        <v>2651</v>
      </c>
      <c r="U4" s="3201"/>
      <c r="V4" s="3206" t="s">
        <v>2652</v>
      </c>
      <c r="W4" s="3206"/>
      <c r="X4" s="1816"/>
      <c r="Y4" s="3200" t="s">
        <v>2654</v>
      </c>
      <c r="Z4" s="3201"/>
      <c r="AA4" s="3210" t="s">
        <v>2650</v>
      </c>
      <c r="AB4" s="3206" t="s">
        <v>2651</v>
      </c>
      <c r="AC4" s="3210" t="s">
        <v>2652</v>
      </c>
    </row>
    <row r="5" spans="1:29" ht="15">
      <c r="A5" s="405"/>
      <c r="B5" s="406"/>
      <c r="C5" s="3223" t="s">
        <v>2545</v>
      </c>
      <c r="D5" s="3224"/>
      <c r="E5" s="3231" t="s">
        <v>2546</v>
      </c>
      <c r="F5" s="3232"/>
      <c r="G5" s="3223" t="s">
        <v>2547</v>
      </c>
      <c r="H5" s="3224"/>
      <c r="I5" s="3223" t="s">
        <v>2548</v>
      </c>
      <c r="J5" s="3224"/>
      <c r="K5" s="611"/>
      <c r="L5" s="1133"/>
      <c r="M5" s="1134"/>
      <c r="N5" s="1134"/>
      <c r="O5" s="1134"/>
      <c r="P5" s="3219"/>
      <c r="Q5" s="3220"/>
      <c r="R5" s="3202"/>
      <c r="S5" s="3203"/>
      <c r="T5" s="3202"/>
      <c r="U5" s="3203"/>
      <c r="V5" s="3206"/>
      <c r="W5" s="3206"/>
      <c r="X5" s="1816"/>
      <c r="Y5" s="3202"/>
      <c r="Z5" s="3203"/>
      <c r="AA5" s="3211"/>
      <c r="AB5" s="3206"/>
      <c r="AC5" s="3211"/>
    </row>
    <row r="6" spans="1:29" ht="15.75" thickBot="1">
      <c r="A6" s="407"/>
      <c r="B6" s="408"/>
      <c r="C6" s="3225" t="s">
        <v>2549</v>
      </c>
      <c r="D6" s="3226"/>
      <c r="E6" s="3227" t="s">
        <v>2549</v>
      </c>
      <c r="F6" s="3228"/>
      <c r="G6" s="3225" t="s">
        <v>2549</v>
      </c>
      <c r="H6" s="3226"/>
      <c r="I6" s="3225" t="s">
        <v>2549</v>
      </c>
      <c r="J6" s="3226"/>
      <c r="K6" s="611" t="s">
        <v>2550</v>
      </c>
      <c r="L6" s="1133"/>
      <c r="M6" s="1134"/>
      <c r="N6" s="1134"/>
      <c r="O6" s="1134"/>
      <c r="P6" s="3221"/>
      <c r="Q6" s="3222"/>
      <c r="R6" s="3202"/>
      <c r="S6" s="3203"/>
      <c r="T6" s="3204"/>
      <c r="U6" s="3205"/>
      <c r="V6" s="3206"/>
      <c r="W6" s="3206"/>
      <c r="X6" s="1816"/>
      <c r="Y6" s="3204"/>
      <c r="Z6" s="3205"/>
      <c r="AA6" s="3212"/>
      <c r="AB6" s="3206"/>
      <c r="AC6" s="3212"/>
    </row>
    <row r="7" spans="1:29" s="117" customFormat="1" ht="15.75" thickBot="1">
      <c r="A7" s="409" t="s">
        <v>2551</v>
      </c>
      <c r="B7" s="410"/>
      <c r="C7" s="411">
        <f>'数据-取费表'!B2</f>
        <v>43017</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07" t="s">
        <v>2552</v>
      </c>
      <c r="Q7" s="3208"/>
      <c r="R7" s="771" t="s">
        <v>17</v>
      </c>
      <c r="S7" s="772">
        <f t="shared" ref="S7:S15" si="0">F7</f>
        <v>0</v>
      </c>
      <c r="T7" s="771" t="s">
        <v>17</v>
      </c>
      <c r="U7" s="772">
        <f t="shared" ref="U7:U15" si="1">H7</f>
        <v>0</v>
      </c>
      <c r="V7" s="771" t="s">
        <v>17</v>
      </c>
      <c r="W7" s="772">
        <f t="shared" ref="W7:W15" si="2">J7</f>
        <v>0</v>
      </c>
      <c r="X7" s="773"/>
      <c r="Y7" s="3207" t="s">
        <v>2552</v>
      </c>
      <c r="Z7" s="3209"/>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07" t="s">
        <v>2555</v>
      </c>
      <c r="Q8" s="3209"/>
      <c r="R8" s="771" t="s">
        <v>17</v>
      </c>
      <c r="S8" s="772">
        <f t="shared" si="0"/>
        <v>0</v>
      </c>
      <c r="T8" s="771" t="s">
        <v>17</v>
      </c>
      <c r="U8" s="772">
        <f t="shared" si="1"/>
        <v>0</v>
      </c>
      <c r="V8" s="771" t="s">
        <v>17</v>
      </c>
      <c r="W8" s="772">
        <f t="shared" si="2"/>
        <v>0</v>
      </c>
      <c r="X8" s="773"/>
      <c r="Y8" s="3207" t="s">
        <v>2555</v>
      </c>
      <c r="Z8" s="3209"/>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199" t="s">
        <v>2558</v>
      </c>
      <c r="Q9" s="1798" t="str">
        <f t="shared" ref="Q9:Q15" si="6">B9</f>
        <v>用途</v>
      </c>
      <c r="R9" s="771" t="s">
        <v>17</v>
      </c>
      <c r="S9" s="772">
        <f t="shared" si="0"/>
        <v>100</v>
      </c>
      <c r="T9" s="771" t="s">
        <v>17</v>
      </c>
      <c r="U9" s="772">
        <f t="shared" si="1"/>
        <v>100</v>
      </c>
      <c r="V9" s="771" t="s">
        <v>17</v>
      </c>
      <c r="W9" s="772">
        <f t="shared" si="2"/>
        <v>100</v>
      </c>
      <c r="X9" s="773"/>
      <c r="Y9" s="3035"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199"/>
      <c r="Q10" s="1798" t="str">
        <f t="shared" si="6"/>
        <v>土地使用年限（年）</v>
      </c>
      <c r="R10" s="771" t="s">
        <v>17</v>
      </c>
      <c r="S10" s="772">
        <f t="shared" si="0"/>
        <v>100</v>
      </c>
      <c r="T10" s="771" t="s">
        <v>17</v>
      </c>
      <c r="U10" s="772">
        <f t="shared" si="1"/>
        <v>100</v>
      </c>
      <c r="V10" s="771" t="s">
        <v>17</v>
      </c>
      <c r="W10" s="772">
        <f t="shared" si="2"/>
        <v>100</v>
      </c>
      <c r="X10" s="773"/>
      <c r="Y10" s="3035"/>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199"/>
      <c r="Q11" s="1798" t="str">
        <f t="shared" si="6"/>
        <v>容积率</v>
      </c>
      <c r="R11" s="771" t="s">
        <v>17</v>
      </c>
      <c r="S11" s="772" t="e">
        <f t="shared" si="0"/>
        <v>#N/A</v>
      </c>
      <c r="T11" s="771" t="s">
        <v>17</v>
      </c>
      <c r="U11" s="772" t="e">
        <f t="shared" si="1"/>
        <v>#N/A</v>
      </c>
      <c r="V11" s="771" t="s">
        <v>17</v>
      </c>
      <c r="W11" s="772" t="e">
        <f t="shared" si="2"/>
        <v>#N/A</v>
      </c>
      <c r="X11" s="773"/>
      <c r="Y11" s="3035"/>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99"/>
      <c r="Q12" s="1798">
        <f t="shared" si="6"/>
        <v>111</v>
      </c>
      <c r="R12" s="771" t="s">
        <v>17</v>
      </c>
      <c r="S12" s="772">
        <f t="shared" si="0"/>
        <v>100</v>
      </c>
      <c r="T12" s="771" t="s">
        <v>17</v>
      </c>
      <c r="U12" s="772">
        <f t="shared" si="1"/>
        <v>100</v>
      </c>
      <c r="V12" s="771" t="s">
        <v>17</v>
      </c>
      <c r="W12" s="772">
        <f t="shared" si="2"/>
        <v>100</v>
      </c>
      <c r="X12" s="773"/>
      <c r="Y12" s="3035"/>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99"/>
      <c r="Q13" s="1798">
        <f t="shared" si="6"/>
        <v>111</v>
      </c>
      <c r="R13" s="771" t="s">
        <v>17</v>
      </c>
      <c r="S13" s="772">
        <f t="shared" si="0"/>
        <v>100</v>
      </c>
      <c r="T13" s="771" t="s">
        <v>17</v>
      </c>
      <c r="U13" s="772">
        <f t="shared" si="1"/>
        <v>100</v>
      </c>
      <c r="V13" s="771" t="s">
        <v>17</v>
      </c>
      <c r="W13" s="772">
        <f t="shared" si="2"/>
        <v>100</v>
      </c>
      <c r="X13" s="773"/>
      <c r="Y13" s="3035"/>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99"/>
      <c r="Q14" s="1798">
        <f t="shared" si="6"/>
        <v>111</v>
      </c>
      <c r="R14" s="771" t="s">
        <v>17</v>
      </c>
      <c r="S14" s="772">
        <f t="shared" si="0"/>
        <v>100</v>
      </c>
      <c r="T14" s="771" t="s">
        <v>17</v>
      </c>
      <c r="U14" s="772">
        <f t="shared" si="1"/>
        <v>100</v>
      </c>
      <c r="V14" s="771" t="s">
        <v>17</v>
      </c>
      <c r="W14" s="772">
        <f t="shared" si="2"/>
        <v>100</v>
      </c>
      <c r="X14" s="773"/>
      <c r="Y14" s="3035"/>
      <c r="Z14" s="55">
        <f t="shared" si="7"/>
        <v>111</v>
      </c>
      <c r="AA14" s="774">
        <f t="shared" si="3"/>
        <v>1</v>
      </c>
      <c r="AB14" s="774">
        <f t="shared" si="4"/>
        <v>1</v>
      </c>
      <c r="AC14" s="774">
        <f t="shared" si="5"/>
        <v>1</v>
      </c>
    </row>
    <row r="15" spans="1:29" ht="71.25">
      <c r="A15" s="441" t="s">
        <v>2562</v>
      </c>
      <c r="B15" s="69" t="s">
        <v>2656</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190" t="s">
        <v>2563</v>
      </c>
      <c r="Q15" s="1813" t="str">
        <f t="shared" si="6"/>
        <v>商业繁华度</v>
      </c>
      <c r="R15" s="775" t="s">
        <v>17</v>
      </c>
      <c r="S15" s="776">
        <f t="shared" si="0"/>
        <v>100</v>
      </c>
      <c r="T15" s="775" t="s">
        <v>17</v>
      </c>
      <c r="U15" s="776">
        <f t="shared" si="1"/>
        <v>100</v>
      </c>
      <c r="V15" s="775" t="s">
        <v>17</v>
      </c>
      <c r="W15" s="776">
        <f t="shared" si="2"/>
        <v>100</v>
      </c>
      <c r="X15" s="1816"/>
      <c r="Y15" s="3192" t="s">
        <v>2563</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34"/>
      <c r="P16" s="3191"/>
      <c r="Q16" s="1813"/>
      <c r="R16" s="775"/>
      <c r="S16" s="776"/>
      <c r="T16" s="775"/>
      <c r="U16" s="776"/>
      <c r="V16" s="775"/>
      <c r="W16" s="776"/>
      <c r="X16" s="1816"/>
      <c r="Y16" s="3193"/>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191"/>
      <c r="Q17" s="1813" t="str">
        <f>B17</f>
        <v>交通便捷度</v>
      </c>
      <c r="R17" s="775" t="s">
        <v>17</v>
      </c>
      <c r="S17" s="776">
        <f>F17</f>
        <v>100</v>
      </c>
      <c r="T17" s="775" t="s">
        <v>17</v>
      </c>
      <c r="U17" s="776">
        <f>H17</f>
        <v>100</v>
      </c>
      <c r="V17" s="775" t="s">
        <v>17</v>
      </c>
      <c r="W17" s="776">
        <f>J17</f>
        <v>100</v>
      </c>
      <c r="X17" s="1816"/>
      <c r="Y17" s="3193"/>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34"/>
      <c r="P18" s="3191"/>
      <c r="Q18" s="1813"/>
      <c r="R18" s="775"/>
      <c r="S18" s="776"/>
      <c r="T18" s="775"/>
      <c r="U18" s="776"/>
      <c r="V18" s="775"/>
      <c r="W18" s="776"/>
      <c r="X18" s="1816"/>
      <c r="Y18" s="3193"/>
      <c r="Z18" s="1817"/>
      <c r="AA18" s="1814">
        <v>1</v>
      </c>
      <c r="AB18" s="1814">
        <v>1</v>
      </c>
      <c r="AC18" s="1814">
        <v>1</v>
      </c>
    </row>
    <row r="19" spans="1:29" ht="42.75">
      <c r="A19" s="429"/>
      <c r="B19" s="452" t="s">
        <v>2657</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191"/>
      <c r="Q19" s="1813" t="str">
        <f>B19</f>
        <v>公共配套设施</v>
      </c>
      <c r="R19" s="775" t="s">
        <v>17</v>
      </c>
      <c r="S19" s="776">
        <f>F19</f>
        <v>100</v>
      </c>
      <c r="T19" s="775" t="s">
        <v>17</v>
      </c>
      <c r="U19" s="776">
        <f>H19</f>
        <v>100</v>
      </c>
      <c r="V19" s="775" t="s">
        <v>17</v>
      </c>
      <c r="W19" s="776">
        <f>J19</f>
        <v>100</v>
      </c>
      <c r="X19" s="1816"/>
      <c r="Y19" s="3193"/>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34"/>
      <c r="P20" s="3191"/>
      <c r="Q20" s="1813"/>
      <c r="R20" s="775"/>
      <c r="S20" s="776"/>
      <c r="T20" s="775"/>
      <c r="U20" s="776"/>
      <c r="V20" s="775"/>
      <c r="W20" s="776"/>
      <c r="X20" s="1816"/>
      <c r="Y20" s="3193"/>
      <c r="Z20" s="1817"/>
      <c r="AA20" s="1814">
        <v>1</v>
      </c>
      <c r="AB20" s="1814">
        <v>1</v>
      </c>
      <c r="AC20" s="1814">
        <v>1</v>
      </c>
    </row>
    <row r="21" spans="1:29" ht="28.5">
      <c r="A21" s="429"/>
      <c r="B21" s="1387" t="s">
        <v>2658</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191"/>
      <c r="Q21" s="1813" t="str">
        <f>B21</f>
        <v>基础设施水平</v>
      </c>
      <c r="R21" s="775" t="s">
        <v>17</v>
      </c>
      <c r="S21" s="776">
        <f>F21</f>
        <v>100</v>
      </c>
      <c r="T21" s="775" t="s">
        <v>17</v>
      </c>
      <c r="U21" s="776">
        <f>H21</f>
        <v>100</v>
      </c>
      <c r="V21" s="775" t="s">
        <v>17</v>
      </c>
      <c r="W21" s="776">
        <f>J21</f>
        <v>100</v>
      </c>
      <c r="X21" s="1816"/>
      <c r="Y21" s="3193"/>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34"/>
      <c r="P22" s="3191"/>
      <c r="Q22" s="1813"/>
      <c r="R22" s="775"/>
      <c r="S22" s="776"/>
      <c r="T22" s="775"/>
      <c r="U22" s="776"/>
      <c r="V22" s="775"/>
      <c r="W22" s="776"/>
      <c r="X22" s="1816"/>
      <c r="Y22" s="3193"/>
      <c r="Z22" s="1817"/>
      <c r="AA22" s="1814">
        <v>1</v>
      </c>
      <c r="AB22" s="1814">
        <v>1</v>
      </c>
      <c r="AC22" s="1814">
        <v>1</v>
      </c>
    </row>
    <row r="23" spans="1:29" ht="57">
      <c r="A23" s="429"/>
      <c r="B23" s="452" t="s">
        <v>2104</v>
      </c>
      <c r="C23" s="2665"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191"/>
      <c r="Q23" s="1813" t="str">
        <f>B23</f>
        <v>自然及人文环境</v>
      </c>
      <c r="R23" s="775" t="s">
        <v>17</v>
      </c>
      <c r="S23" s="776">
        <f>F23</f>
        <v>100</v>
      </c>
      <c r="T23" s="775" t="s">
        <v>17</v>
      </c>
      <c r="U23" s="776">
        <f>H23</f>
        <v>100</v>
      </c>
      <c r="V23" s="775" t="s">
        <v>17</v>
      </c>
      <c r="W23" s="776">
        <f>J23</f>
        <v>100</v>
      </c>
      <c r="X23" s="1816"/>
      <c r="Y23" s="3193"/>
      <c r="Z23" s="1817" t="str">
        <f>Q23</f>
        <v>自然及人文环境</v>
      </c>
      <c r="AA23" s="1814">
        <f t="shared" si="3"/>
        <v>1</v>
      </c>
      <c r="AB23" s="1814">
        <f t="shared" si="4"/>
        <v>1</v>
      </c>
      <c r="AC23" s="1814">
        <f t="shared" si="5"/>
        <v>1</v>
      </c>
    </row>
    <row r="24" spans="1:29" ht="15">
      <c r="A24" s="429"/>
      <c r="B24" s="457"/>
      <c r="C24" s="448"/>
      <c r="D24" s="449"/>
      <c r="E24" s="2607"/>
      <c r="F24" s="450"/>
      <c r="G24" s="2606"/>
      <c r="H24" s="449"/>
      <c r="I24" s="2607"/>
      <c r="J24" s="449"/>
      <c r="K24" s="616"/>
      <c r="L24" s="1143"/>
      <c r="M24" s="1134"/>
      <c r="N24" s="1134"/>
      <c r="O24" s="1134"/>
      <c r="P24" s="3191"/>
      <c r="Q24" s="1813"/>
      <c r="R24" s="775"/>
      <c r="S24" s="776"/>
      <c r="T24" s="775"/>
      <c r="U24" s="776"/>
      <c r="V24" s="775"/>
      <c r="W24" s="776"/>
      <c r="X24" s="1816"/>
      <c r="Y24" s="3193"/>
      <c r="Z24" s="1817"/>
      <c r="AA24" s="1814">
        <v>1</v>
      </c>
      <c r="AB24" s="1814">
        <v>1</v>
      </c>
      <c r="AC24" s="1814">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191"/>
      <c r="Q25" s="1813" t="str">
        <f t="shared" ref="Q25:Q46" si="11">B25</f>
        <v>临街状况</v>
      </c>
      <c r="R25" s="775" t="s">
        <v>17</v>
      </c>
      <c r="S25" s="776">
        <f>F25</f>
        <v>100</v>
      </c>
      <c r="T25" s="775" t="s">
        <v>17</v>
      </c>
      <c r="U25" s="776">
        <f>H25</f>
        <v>100</v>
      </c>
      <c r="V25" s="775" t="s">
        <v>17</v>
      </c>
      <c r="W25" s="776">
        <f>J25</f>
        <v>100</v>
      </c>
      <c r="X25" s="1816"/>
      <c r="Y25" s="3193"/>
      <c r="Z25" s="1817" t="str">
        <f>Q25</f>
        <v>临街状况</v>
      </c>
      <c r="AA25" s="1814">
        <f t="shared" si="3"/>
        <v>1</v>
      </c>
      <c r="AB25" s="1814">
        <f t="shared" si="4"/>
        <v>1</v>
      </c>
      <c r="AC25" s="1814">
        <f t="shared" si="5"/>
        <v>1</v>
      </c>
    </row>
    <row r="26" spans="1:29" ht="15">
      <c r="A26" s="429"/>
      <c r="B26" s="1389" t="s">
        <v>2660</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191"/>
      <c r="Q26" s="1813" t="str">
        <f t="shared" si="11"/>
        <v>平面位置/可视性</v>
      </c>
      <c r="R26" s="775" t="s">
        <v>17</v>
      </c>
      <c r="S26" s="776">
        <f>F26</f>
        <v>100</v>
      </c>
      <c r="T26" s="775" t="s">
        <v>17</v>
      </c>
      <c r="U26" s="776">
        <f>H26</f>
        <v>100</v>
      </c>
      <c r="V26" s="775" t="s">
        <v>17</v>
      </c>
      <c r="W26" s="776">
        <f>J26</f>
        <v>100</v>
      </c>
      <c r="X26" s="1816"/>
      <c r="Y26" s="3193"/>
      <c r="Z26" s="1817" t="str">
        <f>Q26</f>
        <v>平面位置/可视性</v>
      </c>
      <c r="AA26" s="1814">
        <f t="shared" si="3"/>
        <v>1</v>
      </c>
      <c r="AB26" s="1814">
        <f t="shared" si="4"/>
        <v>1</v>
      </c>
      <c r="AC26" s="1814">
        <f t="shared" si="5"/>
        <v>1</v>
      </c>
    </row>
    <row r="27" spans="1:29" s="117" customFormat="1" ht="15">
      <c r="A27" s="432"/>
      <c r="B27" s="452" t="s">
        <v>2661</v>
      </c>
      <c r="C27" s="2666"/>
      <c r="D27" s="463">
        <v>100</v>
      </c>
      <c r="E27" s="2666"/>
      <c r="F27" s="465">
        <f>SUMIF(90:90,E27,91:91)-SUMIF(90:90,C27,91:91)+100</f>
        <v>100</v>
      </c>
      <c r="G27" s="2666"/>
      <c r="H27" s="463">
        <f>SUMIF(90:90,G27,91:91)-SUMIF(90:90,C27,91:91)+100</f>
        <v>100</v>
      </c>
      <c r="I27" s="2666"/>
      <c r="J27" s="463">
        <f>SUMIF(90:90,I27,91:91)-SUMIF(90:90,C27,91:91)+100</f>
        <v>100</v>
      </c>
      <c r="K27" s="613"/>
      <c r="L27" s="1135"/>
      <c r="M27" s="1136"/>
      <c r="N27" s="1136"/>
      <c r="O27" s="1136"/>
      <c r="P27" s="3191"/>
      <c r="Q27" s="1798" t="str">
        <f t="shared" si="11"/>
        <v>人流量</v>
      </c>
      <c r="R27" s="771" t="s">
        <v>17</v>
      </c>
      <c r="S27" s="772">
        <f>F27</f>
        <v>100</v>
      </c>
      <c r="T27" s="771" t="s">
        <v>17</v>
      </c>
      <c r="U27" s="772">
        <f>H27</f>
        <v>100</v>
      </c>
      <c r="V27" s="771" t="s">
        <v>17</v>
      </c>
      <c r="W27" s="772">
        <f>J27</f>
        <v>100</v>
      </c>
      <c r="X27" s="773"/>
      <c r="Y27" s="3193"/>
      <c r="Z27" s="55" t="str">
        <f>Q27</f>
        <v>人流量</v>
      </c>
      <c r="AA27" s="1814">
        <f>D27/F27</f>
        <v>1</v>
      </c>
      <c r="AB27" s="1814">
        <f>D27/H27</f>
        <v>1</v>
      </c>
      <c r="AC27" s="1814">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191"/>
      <c r="Q28" s="1813" t="str">
        <f t="shared" si="11"/>
        <v>楼层</v>
      </c>
      <c r="R28" s="775" t="s">
        <v>17</v>
      </c>
      <c r="S28" s="776">
        <f t="shared" ref="S28:S46" si="12">F28</f>
        <v>100</v>
      </c>
      <c r="T28" s="775" t="s">
        <v>17</v>
      </c>
      <c r="U28" s="776">
        <f t="shared" ref="U28:U46" si="13">H28</f>
        <v>100</v>
      </c>
      <c r="V28" s="775" t="s">
        <v>17</v>
      </c>
      <c r="W28" s="776">
        <f t="shared" ref="W28:W46" si="14">J28</f>
        <v>100</v>
      </c>
      <c r="X28" s="1816"/>
      <c r="Y28" s="3193"/>
      <c r="Z28" s="1817" t="str">
        <f t="shared" ref="Z28:Z46" si="15">Q28</f>
        <v>楼层</v>
      </c>
      <c r="AA28" s="1814">
        <f t="shared" si="3"/>
        <v>1</v>
      </c>
      <c r="AB28" s="1814">
        <f t="shared" si="4"/>
        <v>1</v>
      </c>
      <c r="AC28" s="1814">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191"/>
      <c r="Q29" s="1813">
        <f t="shared" si="11"/>
        <v>111</v>
      </c>
      <c r="R29" s="775" t="s">
        <v>17</v>
      </c>
      <c r="S29" s="776">
        <f t="shared" si="12"/>
        <v>100</v>
      </c>
      <c r="T29" s="775" t="s">
        <v>17</v>
      </c>
      <c r="U29" s="776">
        <f t="shared" si="13"/>
        <v>100</v>
      </c>
      <c r="V29" s="775" t="s">
        <v>17</v>
      </c>
      <c r="W29" s="776">
        <f t="shared" si="14"/>
        <v>100</v>
      </c>
      <c r="X29" s="1816"/>
      <c r="Y29" s="3193"/>
      <c r="Z29" s="1817">
        <f t="shared" si="15"/>
        <v>111</v>
      </c>
      <c r="AA29" s="1814">
        <f t="shared" si="3"/>
        <v>1</v>
      </c>
      <c r="AB29" s="1814">
        <f t="shared" si="4"/>
        <v>1</v>
      </c>
      <c r="AC29" s="1814">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191"/>
      <c r="Q30" s="1813">
        <f t="shared" si="11"/>
        <v>111</v>
      </c>
      <c r="R30" s="775" t="s">
        <v>17</v>
      </c>
      <c r="S30" s="776">
        <f t="shared" si="12"/>
        <v>100</v>
      </c>
      <c r="T30" s="775" t="s">
        <v>17</v>
      </c>
      <c r="U30" s="776">
        <f t="shared" si="13"/>
        <v>100</v>
      </c>
      <c r="V30" s="775" t="s">
        <v>17</v>
      </c>
      <c r="W30" s="776">
        <f t="shared" si="14"/>
        <v>100</v>
      </c>
      <c r="X30" s="1816"/>
      <c r="Y30" s="3193"/>
      <c r="Z30" s="1817">
        <f t="shared" si="15"/>
        <v>111</v>
      </c>
      <c r="AA30" s="1814">
        <f t="shared" si="3"/>
        <v>1</v>
      </c>
      <c r="AB30" s="1814">
        <f t="shared" si="4"/>
        <v>1</v>
      </c>
      <c r="AC30" s="1814">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191"/>
      <c r="Q31" s="1813">
        <f t="shared" si="11"/>
        <v>111</v>
      </c>
      <c r="R31" s="775" t="s">
        <v>17</v>
      </c>
      <c r="S31" s="776">
        <f t="shared" si="12"/>
        <v>100</v>
      </c>
      <c r="T31" s="775" t="s">
        <v>17</v>
      </c>
      <c r="U31" s="776">
        <f t="shared" si="13"/>
        <v>100</v>
      </c>
      <c r="V31" s="775" t="s">
        <v>17</v>
      </c>
      <c r="W31" s="776">
        <f t="shared" si="14"/>
        <v>100</v>
      </c>
      <c r="X31" s="1816"/>
      <c r="Y31" s="3193"/>
      <c r="Z31" s="1817">
        <f t="shared" si="15"/>
        <v>111</v>
      </c>
      <c r="AA31" s="1814">
        <f t="shared" si="3"/>
        <v>1</v>
      </c>
      <c r="AB31" s="1814">
        <f t="shared" si="4"/>
        <v>1</v>
      </c>
      <c r="AC31" s="1814">
        <f t="shared" si="5"/>
        <v>1</v>
      </c>
    </row>
    <row r="32" spans="1:29" ht="15">
      <c r="A32" s="441" t="s">
        <v>2566</v>
      </c>
      <c r="B32" s="71" t="s">
        <v>2663</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3"/>
      <c r="M32" s="1134"/>
      <c r="N32" s="1134"/>
      <c r="O32" s="1134"/>
      <c r="P32" s="3194" t="s">
        <v>2568</v>
      </c>
      <c r="Q32" s="1813" t="str">
        <f t="shared" si="11"/>
        <v>商业类型</v>
      </c>
      <c r="R32" s="775" t="s">
        <v>17</v>
      </c>
      <c r="S32" s="776">
        <f t="shared" si="12"/>
        <v>100</v>
      </c>
      <c r="T32" s="775" t="s">
        <v>17</v>
      </c>
      <c r="U32" s="776">
        <f t="shared" si="13"/>
        <v>100</v>
      </c>
      <c r="V32" s="775" t="s">
        <v>17</v>
      </c>
      <c r="W32" s="776">
        <f t="shared" si="14"/>
        <v>100</v>
      </c>
      <c r="X32" s="1816"/>
      <c r="Y32" s="3197" t="s">
        <v>2568</v>
      </c>
      <c r="Z32" s="1817" t="str">
        <f t="shared" si="15"/>
        <v>商业类型</v>
      </c>
      <c r="AA32" s="1814">
        <f t="shared" si="3"/>
        <v>1</v>
      </c>
      <c r="AB32" s="1814">
        <f t="shared" si="4"/>
        <v>1</v>
      </c>
      <c r="AC32" s="1814">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195"/>
      <c r="Q33" s="777" t="str">
        <f t="shared" si="11"/>
        <v>项目建筑规模</v>
      </c>
      <c r="R33" s="778" t="s">
        <v>17</v>
      </c>
      <c r="S33" s="779" t="e">
        <f t="shared" si="12"/>
        <v>#N/A</v>
      </c>
      <c r="T33" s="778" t="s">
        <v>17</v>
      </c>
      <c r="U33" s="779" t="e">
        <f t="shared" si="13"/>
        <v>#N/A</v>
      </c>
      <c r="V33" s="778" t="s">
        <v>17</v>
      </c>
      <c r="W33" s="779" t="e">
        <f t="shared" si="14"/>
        <v>#N/A</v>
      </c>
      <c r="X33" s="780"/>
      <c r="Y33" s="3197"/>
      <c r="Z33" s="781" t="str">
        <f t="shared" si="15"/>
        <v>项目建筑规模</v>
      </c>
      <c r="AA33" s="1814" t="e">
        <f t="shared" si="3"/>
        <v>#N/A</v>
      </c>
      <c r="AB33" s="1814" t="e">
        <f t="shared" si="4"/>
        <v>#N/A</v>
      </c>
      <c r="AC33" s="1814" t="e">
        <f t="shared" si="5"/>
        <v>#N/A</v>
      </c>
    </row>
    <row r="34" spans="1:29" ht="15">
      <c r="A34" s="473"/>
      <c r="B34" s="423" t="s">
        <v>2570</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3"/>
      <c r="M34" s="1134"/>
      <c r="N34" s="1134"/>
      <c r="O34" s="1134"/>
      <c r="P34" s="3195"/>
      <c r="Q34" s="1813" t="str">
        <f t="shared" si="11"/>
        <v>建筑结构</v>
      </c>
      <c r="R34" s="775" t="s">
        <v>17</v>
      </c>
      <c r="S34" s="776">
        <f t="shared" si="12"/>
        <v>100</v>
      </c>
      <c r="T34" s="775" t="s">
        <v>17</v>
      </c>
      <c r="U34" s="776">
        <f t="shared" si="13"/>
        <v>100</v>
      </c>
      <c r="V34" s="775" t="s">
        <v>17</v>
      </c>
      <c r="W34" s="776">
        <f t="shared" si="14"/>
        <v>100</v>
      </c>
      <c r="X34" s="1816"/>
      <c r="Y34" s="3197"/>
      <c r="Z34" s="1817" t="str">
        <f t="shared" si="15"/>
        <v>建筑结构</v>
      </c>
      <c r="AA34" s="1814">
        <f t="shared" si="3"/>
        <v>1</v>
      </c>
      <c r="AB34" s="1814">
        <f t="shared" si="4"/>
        <v>1</v>
      </c>
      <c r="AC34" s="1814">
        <f t="shared" si="5"/>
        <v>1</v>
      </c>
    </row>
    <row r="35" spans="1:29" ht="15">
      <c r="A35" s="473"/>
      <c r="B35" s="423" t="s">
        <v>2664</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3"/>
      <c r="M35" s="1134"/>
      <c r="N35" s="1134"/>
      <c r="O35" s="1134"/>
      <c r="P35" s="3195"/>
      <c r="Q35" s="1813" t="str">
        <f t="shared" si="11"/>
        <v>公共部分装修</v>
      </c>
      <c r="R35" s="775" t="s">
        <v>17</v>
      </c>
      <c r="S35" s="776">
        <f t="shared" si="12"/>
        <v>100</v>
      </c>
      <c r="T35" s="775" t="s">
        <v>17</v>
      </c>
      <c r="U35" s="776">
        <f t="shared" si="13"/>
        <v>100</v>
      </c>
      <c r="V35" s="775" t="s">
        <v>17</v>
      </c>
      <c r="W35" s="776">
        <f t="shared" si="14"/>
        <v>100</v>
      </c>
      <c r="X35" s="1816"/>
      <c r="Y35" s="3197"/>
      <c r="Z35" s="1817" t="str">
        <f t="shared" si="15"/>
        <v>公共部分装修</v>
      </c>
      <c r="AA35" s="1814">
        <f t="shared" si="3"/>
        <v>1</v>
      </c>
      <c r="AB35" s="1814">
        <f t="shared" si="4"/>
        <v>1</v>
      </c>
      <c r="AC35" s="1814">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195"/>
      <c r="Q36" s="1813" t="str">
        <f t="shared" si="11"/>
        <v>成新度</v>
      </c>
      <c r="R36" s="775" t="s">
        <v>17</v>
      </c>
      <c r="S36" s="776" t="e">
        <f t="shared" si="12"/>
        <v>#N/A</v>
      </c>
      <c r="T36" s="775" t="s">
        <v>17</v>
      </c>
      <c r="U36" s="776" t="e">
        <f t="shared" si="13"/>
        <v>#N/A</v>
      </c>
      <c r="V36" s="775" t="s">
        <v>17</v>
      </c>
      <c r="W36" s="776" t="e">
        <f t="shared" si="14"/>
        <v>#N/A</v>
      </c>
      <c r="X36" s="1816"/>
      <c r="Y36" s="3197"/>
      <c r="Z36" s="1817" t="str">
        <f t="shared" si="15"/>
        <v>成新度</v>
      </c>
      <c r="AA36" s="1814" t="e">
        <f t="shared" si="3"/>
        <v>#N/A</v>
      </c>
      <c r="AB36" s="1814" t="e">
        <f t="shared" si="4"/>
        <v>#N/A</v>
      </c>
      <c r="AC36" s="1814" t="e">
        <f t="shared" si="5"/>
        <v>#N/A</v>
      </c>
    </row>
    <row r="37" spans="1:29" s="117" customFormat="1" ht="15">
      <c r="A37" s="474"/>
      <c r="B37" s="423" t="s">
        <v>2666</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5"/>
      <c r="M37" s="1136"/>
      <c r="N37" s="1136"/>
      <c r="O37" s="1136"/>
      <c r="P37" s="3195"/>
      <c r="Q37" s="1798" t="str">
        <f t="shared" si="11"/>
        <v>市政基础设施</v>
      </c>
      <c r="R37" s="771" t="s">
        <v>17</v>
      </c>
      <c r="S37" s="772">
        <f t="shared" si="12"/>
        <v>100</v>
      </c>
      <c r="T37" s="771" t="s">
        <v>17</v>
      </c>
      <c r="U37" s="772">
        <f t="shared" si="13"/>
        <v>100</v>
      </c>
      <c r="V37" s="771" t="s">
        <v>17</v>
      </c>
      <c r="W37" s="772">
        <f t="shared" si="14"/>
        <v>100</v>
      </c>
      <c r="X37" s="773"/>
      <c r="Y37" s="3197"/>
      <c r="Z37" s="55" t="str">
        <f t="shared" si="15"/>
        <v>市政基础设施</v>
      </c>
      <c r="AA37" s="774">
        <f t="shared" si="3"/>
        <v>1</v>
      </c>
      <c r="AB37" s="774">
        <f t="shared" si="4"/>
        <v>1</v>
      </c>
      <c r="AC37" s="774">
        <f t="shared" si="5"/>
        <v>1</v>
      </c>
    </row>
    <row r="38" spans="1:29" ht="15">
      <c r="A38" s="473"/>
      <c r="B38" s="423" t="s">
        <v>2667</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3"/>
      <c r="M38" s="1134"/>
      <c r="N38" s="1134"/>
      <c r="O38" s="1134"/>
      <c r="P38" s="3195" t="s">
        <v>2568</v>
      </c>
      <c r="Q38" s="1813" t="str">
        <f t="shared" si="11"/>
        <v>业态</v>
      </c>
      <c r="R38" s="775" t="s">
        <v>17</v>
      </c>
      <c r="S38" s="776">
        <f t="shared" si="12"/>
        <v>100</v>
      </c>
      <c r="T38" s="775" t="s">
        <v>17</v>
      </c>
      <c r="U38" s="776">
        <f t="shared" si="13"/>
        <v>100</v>
      </c>
      <c r="V38" s="775" t="s">
        <v>17</v>
      </c>
      <c r="W38" s="776">
        <f t="shared" si="14"/>
        <v>100</v>
      </c>
      <c r="X38" s="1816"/>
      <c r="Y38" s="3197" t="s">
        <v>2568</v>
      </c>
      <c r="Z38" s="1817" t="str">
        <f t="shared" si="15"/>
        <v>业态</v>
      </c>
      <c r="AA38" s="1814">
        <f t="shared" si="3"/>
        <v>1</v>
      </c>
      <c r="AB38" s="1814">
        <f t="shared" si="4"/>
        <v>1</v>
      </c>
      <c r="AC38" s="1814">
        <f t="shared" si="5"/>
        <v>1</v>
      </c>
    </row>
    <row r="39" spans="1:29" ht="15">
      <c r="A39" s="473"/>
      <c r="B39" s="423" t="s">
        <v>2668</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3"/>
      <c r="M39" s="1134"/>
      <c r="N39" s="1134"/>
      <c r="O39" s="1134"/>
      <c r="P39" s="3195"/>
      <c r="Q39" s="1813" t="str">
        <f t="shared" si="11"/>
        <v>层高</v>
      </c>
      <c r="R39" s="775" t="s">
        <v>17</v>
      </c>
      <c r="S39" s="776">
        <f t="shared" si="12"/>
        <v>100</v>
      </c>
      <c r="T39" s="775" t="s">
        <v>17</v>
      </c>
      <c r="U39" s="776">
        <f t="shared" si="13"/>
        <v>100</v>
      </c>
      <c r="V39" s="775" t="s">
        <v>17</v>
      </c>
      <c r="W39" s="776">
        <f t="shared" si="14"/>
        <v>100</v>
      </c>
      <c r="X39" s="1816"/>
      <c r="Y39" s="3197"/>
      <c r="Z39" s="1817" t="str">
        <f t="shared" si="15"/>
        <v>层高</v>
      </c>
      <c r="AA39" s="1814">
        <f t="shared" si="3"/>
        <v>1</v>
      </c>
      <c r="AB39" s="1814">
        <f t="shared" si="4"/>
        <v>1</v>
      </c>
      <c r="AC39" s="1814">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195"/>
      <c r="Q40" s="1813" t="str">
        <f t="shared" si="11"/>
        <v>单套建筑面积</v>
      </c>
      <c r="R40" s="775" t="s">
        <v>17</v>
      </c>
      <c r="S40" s="776">
        <f t="shared" si="12"/>
        <v>100</v>
      </c>
      <c r="T40" s="775" t="s">
        <v>17</v>
      </c>
      <c r="U40" s="776">
        <f t="shared" si="13"/>
        <v>100</v>
      </c>
      <c r="V40" s="775" t="s">
        <v>17</v>
      </c>
      <c r="W40" s="776">
        <f t="shared" si="14"/>
        <v>100</v>
      </c>
      <c r="X40" s="1816"/>
      <c r="Y40" s="3197"/>
      <c r="Z40" s="1817" t="str">
        <f t="shared" si="15"/>
        <v>单套建筑面积</v>
      </c>
      <c r="AA40" s="1814">
        <f t="shared" si="3"/>
        <v>1</v>
      </c>
      <c r="AB40" s="1814">
        <f t="shared" si="4"/>
        <v>1</v>
      </c>
      <c r="AC40" s="1814">
        <f t="shared" si="5"/>
        <v>1</v>
      </c>
    </row>
    <row r="41" spans="1:29" s="472" customFormat="1" ht="15">
      <c r="A41" s="469"/>
      <c r="B41" s="1815"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195"/>
      <c r="Q41" s="777" t="str">
        <f t="shared" si="11"/>
        <v>进深比</v>
      </c>
      <c r="R41" s="778" t="s">
        <v>17</v>
      </c>
      <c r="S41" s="779">
        <f t="shared" si="12"/>
        <v>100</v>
      </c>
      <c r="T41" s="778" t="s">
        <v>17</v>
      </c>
      <c r="U41" s="779">
        <f t="shared" si="13"/>
        <v>100</v>
      </c>
      <c r="V41" s="778" t="s">
        <v>17</v>
      </c>
      <c r="W41" s="779">
        <f t="shared" si="14"/>
        <v>100</v>
      </c>
      <c r="X41" s="780"/>
      <c r="Y41" s="3197"/>
      <c r="Z41" s="781" t="str">
        <f t="shared" si="15"/>
        <v>进深比</v>
      </c>
      <c r="AA41" s="1814">
        <f t="shared" si="3"/>
        <v>1</v>
      </c>
      <c r="AB41" s="1814">
        <f t="shared" si="4"/>
        <v>1</v>
      </c>
      <c r="AC41" s="1814">
        <f t="shared" si="5"/>
        <v>1</v>
      </c>
    </row>
    <row r="42" spans="1:29" ht="15">
      <c r="A42" s="473"/>
      <c r="B42" s="423" t="s">
        <v>2671</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3"/>
      <c r="M42" s="1134"/>
      <c r="N42" s="1134"/>
      <c r="O42" s="1134"/>
      <c r="P42" s="3195"/>
      <c r="Q42" s="1813" t="str">
        <f t="shared" si="11"/>
        <v>内部装修</v>
      </c>
      <c r="R42" s="775" t="s">
        <v>17</v>
      </c>
      <c r="S42" s="776">
        <f t="shared" si="12"/>
        <v>100</v>
      </c>
      <c r="T42" s="775" t="s">
        <v>17</v>
      </c>
      <c r="U42" s="776">
        <f t="shared" si="13"/>
        <v>100</v>
      </c>
      <c r="V42" s="775" t="s">
        <v>17</v>
      </c>
      <c r="W42" s="776">
        <f t="shared" si="14"/>
        <v>100</v>
      </c>
      <c r="X42" s="1816"/>
      <c r="Y42" s="3197"/>
      <c r="Z42" s="1817" t="str">
        <f t="shared" si="15"/>
        <v>内部装修</v>
      </c>
      <c r="AA42" s="1814">
        <f t="shared" si="3"/>
        <v>1</v>
      </c>
      <c r="AB42" s="1814">
        <f t="shared" si="4"/>
        <v>1</v>
      </c>
      <c r="AC42" s="1814">
        <f t="shared" si="5"/>
        <v>1</v>
      </c>
    </row>
    <row r="43" spans="1:29" ht="15">
      <c r="A43" s="473"/>
      <c r="B43" s="423" t="s">
        <v>2579</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3"/>
      <c r="M43" s="1134"/>
      <c r="N43" s="1134"/>
      <c r="O43" s="1134"/>
      <c r="P43" s="3195"/>
      <c r="Q43" s="1813" t="str">
        <f t="shared" si="11"/>
        <v>内部装修维护情况</v>
      </c>
      <c r="R43" s="775" t="s">
        <v>17</v>
      </c>
      <c r="S43" s="776">
        <f t="shared" si="12"/>
        <v>100</v>
      </c>
      <c r="T43" s="775" t="s">
        <v>17</v>
      </c>
      <c r="U43" s="776">
        <f t="shared" si="13"/>
        <v>100</v>
      </c>
      <c r="V43" s="775" t="s">
        <v>17</v>
      </c>
      <c r="W43" s="776">
        <f t="shared" si="14"/>
        <v>100</v>
      </c>
      <c r="X43" s="1816"/>
      <c r="Y43" s="3197"/>
      <c r="Z43" s="1817" t="str">
        <f t="shared" si="15"/>
        <v>内部装修维护情况</v>
      </c>
      <c r="AA43" s="1814">
        <f t="shared" si="3"/>
        <v>1</v>
      </c>
      <c r="AB43" s="1814">
        <f t="shared" si="4"/>
        <v>1</v>
      </c>
      <c r="AC43" s="1814">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195"/>
      <c r="Q44" s="1798">
        <f t="shared" si="11"/>
        <v>111</v>
      </c>
      <c r="R44" s="771" t="s">
        <v>17</v>
      </c>
      <c r="S44" s="772">
        <f t="shared" si="12"/>
        <v>100</v>
      </c>
      <c r="T44" s="771" t="s">
        <v>17</v>
      </c>
      <c r="U44" s="772">
        <f t="shared" si="13"/>
        <v>100</v>
      </c>
      <c r="V44" s="771" t="s">
        <v>17</v>
      </c>
      <c r="W44" s="772">
        <f t="shared" si="14"/>
        <v>100</v>
      </c>
      <c r="X44" s="773"/>
      <c r="Y44" s="3197"/>
      <c r="Z44" s="55">
        <f t="shared" si="15"/>
        <v>111</v>
      </c>
      <c r="AA44" s="774">
        <f t="shared" si="3"/>
        <v>1</v>
      </c>
      <c r="AB44" s="774">
        <f t="shared" si="4"/>
        <v>1</v>
      </c>
      <c r="AC44" s="774">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195"/>
      <c r="Q45" s="1813">
        <f t="shared" si="11"/>
        <v>111</v>
      </c>
      <c r="R45" s="775" t="s">
        <v>17</v>
      </c>
      <c r="S45" s="776">
        <f t="shared" si="12"/>
        <v>100</v>
      </c>
      <c r="T45" s="775" t="s">
        <v>17</v>
      </c>
      <c r="U45" s="776">
        <f t="shared" si="13"/>
        <v>100</v>
      </c>
      <c r="V45" s="775" t="s">
        <v>17</v>
      </c>
      <c r="W45" s="776">
        <f t="shared" si="14"/>
        <v>100</v>
      </c>
      <c r="X45" s="1816"/>
      <c r="Y45" s="3197"/>
      <c r="Z45" s="1817">
        <f t="shared" si="15"/>
        <v>111</v>
      </c>
      <c r="AA45" s="1814">
        <f t="shared" si="3"/>
        <v>1</v>
      </c>
      <c r="AB45" s="1814">
        <f t="shared" si="4"/>
        <v>1</v>
      </c>
      <c r="AC45" s="1814">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196"/>
      <c r="Q46" s="1813">
        <f t="shared" si="11"/>
        <v>111</v>
      </c>
      <c r="R46" s="775" t="s">
        <v>17</v>
      </c>
      <c r="S46" s="776">
        <f t="shared" si="12"/>
        <v>100</v>
      </c>
      <c r="T46" s="775" t="s">
        <v>17</v>
      </c>
      <c r="U46" s="776">
        <f t="shared" si="13"/>
        <v>100</v>
      </c>
      <c r="V46" s="775" t="s">
        <v>17</v>
      </c>
      <c r="W46" s="776">
        <f t="shared" si="14"/>
        <v>100</v>
      </c>
      <c r="X46" s="1816"/>
      <c r="Y46" s="3198"/>
      <c r="Z46" s="1817">
        <f t="shared" si="15"/>
        <v>111</v>
      </c>
      <c r="AA46" s="1814">
        <f t="shared" si="3"/>
        <v>1</v>
      </c>
      <c r="AB46" s="1814">
        <f t="shared" si="4"/>
        <v>1</v>
      </c>
      <c r="AC46" s="1814">
        <f t="shared" si="5"/>
        <v>1</v>
      </c>
    </row>
    <row r="47" spans="1:29" ht="15">
      <c r="A47" s="480" t="s">
        <v>2580</v>
      </c>
      <c r="B47" s="481"/>
      <c r="C47" s="1410" t="s">
        <v>1</v>
      </c>
      <c r="D47" s="1411"/>
      <c r="E47" s="1412"/>
      <c r="F47" s="1413"/>
      <c r="G47" s="1414"/>
      <c r="H47" s="1415"/>
      <c r="I47" s="1412"/>
      <c r="J47" s="1415"/>
      <c r="K47" s="784"/>
      <c r="L47" s="1146"/>
      <c r="M47" s="1147"/>
      <c r="N47" s="1134"/>
      <c r="O47" s="1147"/>
      <c r="P47" s="3185" t="str">
        <f>A47</f>
        <v>成交单价（元/平方米）</v>
      </c>
      <c r="Q47" s="3185"/>
      <c r="R47" s="3206">
        <f>E47</f>
        <v>0</v>
      </c>
      <c r="S47" s="3206"/>
      <c r="T47" s="3206">
        <f>G47</f>
        <v>0</v>
      </c>
      <c r="U47" s="3206"/>
      <c r="V47" s="3206">
        <f>I47</f>
        <v>0</v>
      </c>
      <c r="W47" s="3206"/>
      <c r="X47" s="760"/>
      <c r="Y47" s="782"/>
      <c r="Z47" s="760"/>
      <c r="AA47" s="760"/>
      <c r="AB47" s="760"/>
      <c r="AC47" s="760"/>
    </row>
    <row r="48" spans="1:29" ht="15.75" thickBot="1">
      <c r="A48" s="487" t="s">
        <v>2672</v>
      </c>
      <c r="B48" s="488"/>
      <c r="C48" s="1416" t="e">
        <f>R49</f>
        <v>#DIV/0!</v>
      </c>
      <c r="D48" s="1417"/>
      <c r="E48" s="1418" t="e">
        <f>R48</f>
        <v>#DIV/0!</v>
      </c>
      <c r="F48" s="1418"/>
      <c r="G48" s="1416" t="e">
        <f>T48</f>
        <v>#DIV/0!</v>
      </c>
      <c r="H48" s="1417"/>
      <c r="I48" s="1418" t="e">
        <f>V48</f>
        <v>#DIV/0!</v>
      </c>
      <c r="J48" s="1417"/>
      <c r="K48" s="785"/>
      <c r="L48" s="1146"/>
      <c r="M48" s="1147"/>
      <c r="N48" s="1134"/>
      <c r="O48" s="1147"/>
      <c r="P48" s="3185" t="str">
        <f>A48</f>
        <v>比较价值（元/平方米）</v>
      </c>
      <c r="Q48" s="3185"/>
      <c r="R48" s="3186" t="e">
        <f>IF(F1="售价",ROUND(PRODUCT(R47,AA7:AA46),0),ROUND(PRODUCT(R47,AA7:AA46),1))</f>
        <v>#DIV/0!</v>
      </c>
      <c r="S48" s="3186"/>
      <c r="T48" s="3186" t="e">
        <f>IF(F1="售价",ROUND(PRODUCT(T47,AB7:AB46),0),ROUND(PRODUCT(T47,AB7:AB46),1))</f>
        <v>#DIV/0!</v>
      </c>
      <c r="U48" s="3186"/>
      <c r="V48" s="3186" t="e">
        <f>IF(F1="售价",ROUND(PRODUCT(V47,AC7:AC46),0),ROUND(PRODUCT(V47,AC7:AC46),1))</f>
        <v>#DIV/0!</v>
      </c>
      <c r="W48" s="3186"/>
      <c r="X48" s="760"/>
      <c r="Y48" s="760"/>
      <c r="Z48" s="760"/>
      <c r="AA48" s="760"/>
      <c r="AB48" s="760"/>
      <c r="AC48" s="760"/>
    </row>
    <row r="49" spans="1:29" ht="15.75" thickBot="1">
      <c r="A49" s="493" t="s">
        <v>2673</v>
      </c>
      <c r="B49" s="494"/>
      <c r="C49" s="1420" t="e">
        <f>R49</f>
        <v>#DIV/0!</v>
      </c>
      <c r="D49" s="1420"/>
      <c r="E49" s="1420"/>
      <c r="F49" s="1420"/>
      <c r="G49" s="1420"/>
      <c r="H49" s="1420"/>
      <c r="I49" s="1420"/>
      <c r="J49" s="1420"/>
      <c r="K49" s="786"/>
      <c r="L49" s="1146"/>
      <c r="M49" s="1147"/>
      <c r="N49" s="1134"/>
      <c r="O49" s="1147"/>
      <c r="P49" s="3187" t="str">
        <f>A49</f>
        <v>估价对象XX用房的比较价值（楼面单价，元/平方米）</v>
      </c>
      <c r="Q49" s="3188"/>
      <c r="R49" s="3189" t="e">
        <f>IF(F1="售价",ROUND(AVERAGE(R48:V48),0),ROUND(AVERAGE(R48:V48),1))</f>
        <v>#DIV/0!</v>
      </c>
      <c r="S49" s="3189"/>
      <c r="T49" s="3189"/>
      <c r="U49" s="3189"/>
      <c r="V49" s="3189"/>
      <c r="W49" s="3189"/>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c r="P50" s="676"/>
      <c r="Q50" s="760"/>
      <c r="R50" s="760"/>
      <c r="S50" s="760"/>
      <c r="T50" s="760"/>
      <c r="U50" s="760"/>
      <c r="V50" s="760"/>
      <c r="W50" s="760"/>
      <c r="X50" s="760"/>
      <c r="Y50" s="760"/>
      <c r="Z50" s="760"/>
      <c r="AA50" s="760"/>
      <c r="AB50" s="760"/>
      <c r="AC50" s="760"/>
    </row>
    <row r="51" spans="1:29">
      <c r="A51" s="1147"/>
      <c r="B51" s="1147"/>
      <c r="C51" s="1147"/>
      <c r="D51" s="1147"/>
      <c r="E51" s="1147"/>
      <c r="F51" s="1147"/>
      <c r="G51" s="1147"/>
      <c r="H51" s="1147"/>
      <c r="I51" s="1147"/>
      <c r="J51" s="1147"/>
      <c r="K51" s="1109"/>
      <c r="L51" s="1110"/>
      <c r="M51" s="1147"/>
      <c r="N51" s="1147"/>
      <c r="O51" s="1147"/>
      <c r="P51" s="676"/>
      <c r="Q51" s="760"/>
      <c r="R51" s="760"/>
      <c r="S51" s="760"/>
      <c r="T51" s="760"/>
      <c r="U51" s="760"/>
      <c r="V51" s="760"/>
      <c r="W51" s="760"/>
      <c r="X51" s="760"/>
      <c r="Y51" s="760"/>
      <c r="Z51" s="760"/>
      <c r="AA51" s="760"/>
      <c r="AB51" s="760"/>
      <c r="AC51" s="760"/>
    </row>
    <row r="52" spans="1:29" ht="13.5" customHeight="1">
      <c r="A52" s="1147"/>
      <c r="B52" s="1147"/>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7"/>
      <c r="N52" s="1147"/>
      <c r="O52" s="1147"/>
      <c r="P52" s="676"/>
      <c r="Q52" s="760"/>
      <c r="R52" s="760"/>
      <c r="S52" s="760"/>
      <c r="T52" s="760"/>
      <c r="U52" s="760"/>
      <c r="V52" s="760"/>
      <c r="W52" s="760"/>
      <c r="X52" s="760"/>
      <c r="Y52" s="760"/>
      <c r="Z52" s="760"/>
      <c r="AA52" s="760"/>
      <c r="AB52" s="760"/>
      <c r="AC52" s="760"/>
    </row>
    <row r="53" spans="1:29" ht="13.5" customHeight="1">
      <c r="A53" s="1147"/>
      <c r="B53" s="1147"/>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7"/>
      <c r="N53" s="1147"/>
      <c r="O53" s="1147"/>
      <c r="P53" s="676"/>
      <c r="Q53" s="760"/>
      <c r="R53" s="760"/>
      <c r="S53" s="760"/>
      <c r="T53" s="760"/>
      <c r="U53" s="760"/>
      <c r="V53" s="760"/>
      <c r="W53" s="760"/>
      <c r="X53" s="760"/>
      <c r="Y53" s="760"/>
      <c r="Z53" s="760"/>
      <c r="AA53" s="760"/>
      <c r="AB53" s="760"/>
      <c r="AC53" s="760"/>
    </row>
    <row r="54" spans="1:29" s="503" customFormat="1" ht="13.5" customHeight="1">
      <c r="A54" s="1148"/>
      <c r="B54" s="1148"/>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67"/>
      <c r="Q54" s="761"/>
      <c r="R54" s="761"/>
      <c r="S54" s="761"/>
      <c r="T54" s="761"/>
      <c r="U54" s="761"/>
      <c r="V54" s="761"/>
      <c r="W54" s="761"/>
      <c r="X54" s="761"/>
      <c r="Y54" s="761"/>
      <c r="Z54" s="761"/>
      <c r="AA54" s="761"/>
      <c r="AB54" s="761"/>
      <c r="AC54" s="761"/>
    </row>
    <row r="55" spans="1:29" s="503" customFormat="1">
      <c r="A55" s="1148"/>
      <c r="B55" s="1149"/>
      <c r="C55" s="1153"/>
      <c r="D55" s="1148"/>
      <c r="E55" s="1148"/>
      <c r="F55" s="1148"/>
      <c r="G55" s="1148"/>
      <c r="H55" s="1148"/>
      <c r="I55" s="1148"/>
      <c r="J55" s="1148"/>
      <c r="K55" s="1151"/>
      <c r="L55" s="1152"/>
      <c r="M55" s="1148"/>
      <c r="N55" s="1148"/>
      <c r="O55" s="1148"/>
      <c r="P55" s="2667"/>
      <c r="Q55" s="761"/>
      <c r="R55" s="761"/>
      <c r="S55" s="761"/>
      <c r="T55" s="761"/>
      <c r="U55" s="761"/>
      <c r="V55" s="761"/>
      <c r="W55" s="761"/>
      <c r="X55" s="761"/>
      <c r="Y55" s="761"/>
      <c r="Z55" s="761"/>
      <c r="AA55" s="761"/>
      <c r="AB55" s="761"/>
      <c r="AC55" s="761"/>
    </row>
    <row r="56" spans="1:29">
      <c r="A56" s="1147"/>
      <c r="B56" s="1149"/>
      <c r="C56" s="1153"/>
      <c r="D56" s="1147"/>
      <c r="E56" s="1147"/>
      <c r="F56" s="1147"/>
      <c r="G56" s="1147"/>
      <c r="H56" s="1147"/>
      <c r="I56" s="1147"/>
      <c r="J56" s="1147"/>
      <c r="K56" s="1109"/>
      <c r="L56" s="1110"/>
      <c r="M56" s="1147"/>
      <c r="N56" s="1147"/>
      <c r="O56" s="1147"/>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4"/>
      <c r="M57" s="1162"/>
      <c r="N57" s="1162"/>
      <c r="O57" s="1162"/>
      <c r="P57" s="2668"/>
      <c r="Q57" s="2669"/>
      <c r="R57" s="760"/>
      <c r="S57" s="760"/>
      <c r="T57" s="760"/>
      <c r="U57" s="760"/>
      <c r="V57" s="760"/>
      <c r="W57" s="760"/>
      <c r="X57" s="760"/>
      <c r="Y57" s="760"/>
      <c r="Z57" s="760"/>
      <c r="AA57" s="760"/>
      <c r="AB57" s="760"/>
      <c r="AC57" s="760"/>
    </row>
    <row r="58" spans="1:29" s="509" customFormat="1" ht="15">
      <c r="A58" s="506" t="s">
        <v>2551</v>
      </c>
      <c r="B58" s="507"/>
      <c r="C58" s="1578" t="str">
        <f>YEAR(C7)&amp;"-"&amp;MONTH(C7)</f>
        <v>2017-10</v>
      </c>
      <c r="D58" s="1579">
        <f>EDATE(C58,-1)</f>
        <v>42979</v>
      </c>
      <c r="E58" s="1579">
        <f t="shared" ref="E58:N58" si="16">EDATE(D58,-1)</f>
        <v>42948</v>
      </c>
      <c r="F58" s="1579">
        <f t="shared" si="16"/>
        <v>42917</v>
      </c>
      <c r="G58" s="1579">
        <f t="shared" si="16"/>
        <v>42887</v>
      </c>
      <c r="H58" s="1579">
        <f t="shared" si="16"/>
        <v>42856</v>
      </c>
      <c r="I58" s="1579">
        <f t="shared" si="16"/>
        <v>42826</v>
      </c>
      <c r="J58" s="1579">
        <f t="shared" si="16"/>
        <v>42795</v>
      </c>
      <c r="K58" s="1579">
        <f t="shared" si="16"/>
        <v>42767</v>
      </c>
      <c r="L58" s="1579">
        <f t="shared" si="16"/>
        <v>42736</v>
      </c>
      <c r="M58" s="1579">
        <f t="shared" si="16"/>
        <v>42705</v>
      </c>
      <c r="N58" s="1579">
        <f t="shared" si="16"/>
        <v>42675</v>
      </c>
      <c r="O58" s="1579">
        <f>EDATE(N58,-1)</f>
        <v>42644</v>
      </c>
      <c r="P58" s="1574"/>
    </row>
    <row r="59" spans="1:29" s="117" customFormat="1" ht="15">
      <c r="A59" s="510"/>
      <c r="B59" s="511"/>
      <c r="C59" s="1577">
        <v>100</v>
      </c>
      <c r="D59" s="513"/>
      <c r="E59" s="513"/>
      <c r="F59" s="513"/>
      <c r="G59" s="513"/>
      <c r="H59" s="513"/>
      <c r="I59" s="513"/>
      <c r="J59" s="513"/>
      <c r="K59" s="513"/>
      <c r="L59" s="513"/>
      <c r="M59" s="514"/>
      <c r="N59" s="513"/>
      <c r="O59" s="514"/>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2655</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f>C9</f>
        <v>0</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1"/>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1"/>
      <c r="Q67" s="505"/>
    </row>
    <row r="68" spans="1:17" ht="15">
      <c r="A68" s="535"/>
      <c r="B68" s="549"/>
      <c r="C68" s="550"/>
      <c r="D68" s="550"/>
      <c r="E68" s="550"/>
      <c r="F68" s="550"/>
      <c r="G68" s="550"/>
      <c r="H68" s="550"/>
      <c r="I68" s="550"/>
      <c r="J68" s="550"/>
      <c r="K68" s="551"/>
      <c r="L68" s="552"/>
      <c r="M68" s="553"/>
      <c r="N68" s="1155"/>
      <c r="O68" s="1155"/>
      <c r="P68" s="2631"/>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1"/>
      <c r="Q69" s="505"/>
    </row>
    <row r="70" spans="1:17" s="472" customFormat="1" ht="15.75" thickTop="1">
      <c r="A70" s="554"/>
      <c r="B70" s="539">
        <f>B12</f>
        <v>111</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111</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37"/>
      <c r="E73" s="537"/>
      <c r="F73" s="537"/>
      <c r="G73" s="561"/>
      <c r="H73" s="563"/>
      <c r="I73" s="563"/>
      <c r="J73" s="563"/>
      <c r="K73" s="563"/>
      <c r="L73" s="563"/>
      <c r="M73" s="564"/>
      <c r="N73" s="1157"/>
      <c r="O73" s="1157"/>
      <c r="P73" s="2632"/>
      <c r="Q73" s="560"/>
    </row>
    <row r="74" spans="1:17" s="472" customFormat="1" ht="15.75" thickTop="1">
      <c r="A74" s="554"/>
      <c r="B74" s="547">
        <f>B14</f>
        <v>111</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1"/>
      <c r="Q81" s="505"/>
    </row>
    <row r="82" spans="1:17" ht="15.75" thickTop="1">
      <c r="A82" s="535"/>
      <c r="B82" s="547" t="s">
        <v>2658</v>
      </c>
      <c r="C82" s="661" t="s">
        <v>2678</v>
      </c>
      <c r="D82" s="661" t="s">
        <v>2679</v>
      </c>
      <c r="E82" s="661" t="s">
        <v>2680</v>
      </c>
      <c r="F82" s="661" t="s">
        <v>2681</v>
      </c>
      <c r="G82" s="661" t="s">
        <v>2682</v>
      </c>
      <c r="H82" s="540"/>
      <c r="I82" s="540"/>
      <c r="J82" s="540"/>
      <c r="K82" s="540"/>
      <c r="L82" s="540"/>
      <c r="M82" s="1385"/>
      <c r="N82" s="1156"/>
      <c r="O82" s="1156"/>
      <c r="P82" s="263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1"/>
      <c r="Q85" s="505"/>
    </row>
    <row r="86" spans="1:17" s="117" customFormat="1" ht="15.75" thickTop="1">
      <c r="A86" s="580"/>
      <c r="B86" s="539" t="s">
        <v>2683</v>
      </c>
      <c r="C86" s="555"/>
      <c r="D86" s="555"/>
      <c r="E86" s="555"/>
      <c r="F86" s="555"/>
      <c r="G86" s="555"/>
      <c r="H86" s="555"/>
      <c r="I86" s="555"/>
      <c r="J86" s="555"/>
      <c r="K86" s="555"/>
      <c r="L86" s="581"/>
      <c r="M86" s="582"/>
      <c r="N86" s="1154"/>
      <c r="O86" s="1154"/>
      <c r="P86" s="2631"/>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1"/>
      <c r="Q87" s="505"/>
    </row>
    <row r="88" spans="1:17" s="117" customFormat="1" ht="15.75" thickTop="1">
      <c r="A88" s="580"/>
      <c r="B88" s="539" t="str">
        <f>B26</f>
        <v>平面位置/可视性</v>
      </c>
      <c r="C88" s="555"/>
      <c r="D88" s="555"/>
      <c r="E88" s="555"/>
      <c r="F88" s="2636"/>
      <c r="G88" s="555"/>
      <c r="H88" s="555"/>
      <c r="I88" s="555"/>
      <c r="J88" s="555"/>
      <c r="K88" s="555"/>
      <c r="L88" s="555"/>
      <c r="M88" s="582"/>
      <c r="N88" s="1154"/>
      <c r="O88" s="1154"/>
      <c r="P88" s="2631"/>
      <c r="Q88" s="505"/>
    </row>
    <row r="89" spans="1:17" s="117" customFormat="1" ht="15.75" thickBot="1">
      <c r="A89" s="580"/>
      <c r="B89" s="544"/>
      <c r="C89" s="561"/>
      <c r="D89" s="537"/>
      <c r="E89" s="537"/>
      <c r="F89" s="537"/>
      <c r="G89" s="537"/>
      <c r="H89" s="537"/>
      <c r="I89" s="537"/>
      <c r="J89" s="537"/>
      <c r="K89" s="537"/>
      <c r="L89" s="537"/>
      <c r="M89" s="537"/>
      <c r="N89" s="1156"/>
      <c r="O89" s="1156"/>
      <c r="P89" s="2631"/>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2"/>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2"/>
      <c r="Q91" s="560"/>
    </row>
    <row r="92" spans="1:17" ht="15.75" thickTop="1">
      <c r="A92" s="535"/>
      <c r="B92" s="539" t="str">
        <f>B28</f>
        <v>楼层</v>
      </c>
      <c r="C92" s="555"/>
      <c r="D92" s="555"/>
      <c r="E92" s="555"/>
      <c r="F92" s="555"/>
      <c r="G92" s="555"/>
      <c r="H92" s="555"/>
      <c r="I92" s="555"/>
      <c r="J92" s="555"/>
      <c r="K92" s="555"/>
      <c r="L92" s="581"/>
      <c r="M92" s="582"/>
      <c r="N92" s="1155"/>
      <c r="O92" s="1155"/>
      <c r="P92" s="2631"/>
      <c r="Q92" s="505"/>
    </row>
    <row r="93" spans="1:17" ht="15.75" thickBot="1">
      <c r="A93" s="535"/>
      <c r="B93" s="544"/>
      <c r="C93" s="537"/>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37"/>
      <c r="E95" s="537"/>
      <c r="F95" s="537"/>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61"/>
      <c r="D97" s="537"/>
      <c r="E97" s="537"/>
      <c r="F97" s="537"/>
      <c r="G97" s="537"/>
      <c r="H97" s="537"/>
      <c r="I97" s="537"/>
      <c r="J97" s="537"/>
      <c r="K97" s="537"/>
      <c r="L97" s="537"/>
      <c r="M97" s="538"/>
      <c r="N97" s="1156"/>
      <c r="O97" s="1156"/>
      <c r="P97" s="2631"/>
      <c r="Q97" s="505"/>
    </row>
    <row r="98" spans="1:17" ht="15.75" thickTop="1">
      <c r="A98" s="535"/>
      <c r="B98" s="547">
        <f>B31</f>
        <v>111</v>
      </c>
      <c r="C98" s="555"/>
      <c r="D98" s="555"/>
      <c r="E98" s="555"/>
      <c r="F98" s="555"/>
      <c r="G98" s="588"/>
      <c r="H98" s="588"/>
      <c r="I98" s="588"/>
      <c r="J98" s="588"/>
      <c r="K98" s="589"/>
      <c r="L98" s="590"/>
      <c r="M98" s="591"/>
      <c r="N98" s="1155"/>
      <c r="O98" s="1155"/>
      <c r="P98" s="2631"/>
      <c r="Q98" s="505"/>
    </row>
    <row r="99" spans="1:17" ht="15.75" thickBot="1">
      <c r="A99" s="2637"/>
      <c r="B99" s="570"/>
      <c r="C99" s="571"/>
      <c r="D99" s="571"/>
      <c r="E99" s="571"/>
      <c r="F99" s="571"/>
      <c r="G99" s="592"/>
      <c r="H99" s="592"/>
      <c r="I99" s="592"/>
      <c r="J99" s="592"/>
      <c r="K99" s="592"/>
      <c r="L99" s="592"/>
      <c r="M99" s="593"/>
      <c r="N99" s="1156"/>
      <c r="O99" s="1156"/>
      <c r="P99" s="2631"/>
      <c r="Q99" s="505"/>
    </row>
    <row r="100" spans="1:17">
      <c r="A100" s="528" t="s">
        <v>2566</v>
      </c>
      <c r="B100" s="529" t="s">
        <v>2684</v>
      </c>
      <c r="C100" s="531"/>
      <c r="D100" s="531"/>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1"/>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1"/>
      <c r="Q102" s="505"/>
    </row>
    <row r="103" spans="1:17" s="472" customFormat="1">
      <c r="A103" s="594"/>
      <c r="B103" s="595"/>
      <c r="C103" s="596"/>
      <c r="D103" s="596"/>
      <c r="E103" s="596"/>
      <c r="F103" s="596"/>
      <c r="G103" s="596"/>
      <c r="H103" s="596"/>
      <c r="I103" s="596"/>
      <c r="J103" s="597"/>
      <c r="K103" s="597"/>
      <c r="L103" s="598"/>
      <c r="M103" s="599"/>
      <c r="N103" s="1157"/>
      <c r="O103" s="1157"/>
      <c r="P103" s="2632"/>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2"/>
      <c r="Q104" s="560"/>
    </row>
    <row r="105" spans="1:17" ht="15" thickTop="1">
      <c r="A105" s="600"/>
      <c r="B105" s="539" t="s">
        <v>2617</v>
      </c>
      <c r="C105" s="555"/>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1"/>
      <c r="Q106" s="505"/>
    </row>
    <row r="107" spans="1:17" ht="15" thickTop="1">
      <c r="A107" s="600"/>
      <c r="B107" s="539" t="s">
        <v>2619</v>
      </c>
      <c r="C107" s="555"/>
      <c r="D107" s="555"/>
      <c r="E107" s="555"/>
      <c r="F107" s="584"/>
      <c r="G107" s="584"/>
      <c r="H107" s="584"/>
      <c r="I107" s="584"/>
      <c r="J107" s="584"/>
      <c r="K107" s="585"/>
      <c r="L107" s="586"/>
      <c r="M107" s="587"/>
      <c r="N107" s="1155"/>
      <c r="O107" s="1155"/>
      <c r="P107" s="263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1"/>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1"/>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1"/>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1"/>
      <c r="Q111" s="505"/>
    </row>
    <row r="112" spans="1:17" s="472" customFormat="1" ht="15" thickTop="1">
      <c r="A112" s="594"/>
      <c r="B112" s="539" t="s">
        <v>2621</v>
      </c>
      <c r="C112" s="555"/>
      <c r="D112" s="555"/>
      <c r="E112" s="555"/>
      <c r="F112" s="555"/>
      <c r="G112" s="555"/>
      <c r="H112" s="584"/>
      <c r="I112" s="584"/>
      <c r="J112" s="584"/>
      <c r="K112" s="585"/>
      <c r="L112" s="586"/>
      <c r="M112" s="587"/>
      <c r="N112" s="1157"/>
      <c r="O112" s="1157"/>
      <c r="P112" s="263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2"/>
      <c r="Q113" s="560"/>
    </row>
    <row r="114" spans="1:17" ht="15" thickTop="1">
      <c r="A114" s="600"/>
      <c r="B114" s="539" t="s">
        <v>2685</v>
      </c>
      <c r="C114" s="555"/>
      <c r="D114" s="555"/>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1"/>
      <c r="Q115" s="505"/>
    </row>
    <row r="116" spans="1:17" ht="15" thickTop="1">
      <c r="A116" s="600"/>
      <c r="B116" s="539" t="s">
        <v>2686</v>
      </c>
      <c r="C116" s="555"/>
      <c r="D116" s="555"/>
      <c r="E116" s="555"/>
      <c r="F116" s="555"/>
      <c r="G116" s="555"/>
      <c r="H116" s="584"/>
      <c r="I116" s="584"/>
      <c r="J116" s="584"/>
      <c r="K116" s="585"/>
      <c r="L116" s="586"/>
      <c r="M116" s="587"/>
      <c r="N116" s="1155"/>
      <c r="O116" s="1155"/>
      <c r="P116" s="263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1"/>
      <c r="Q117" s="505"/>
    </row>
    <row r="118" spans="1:17" ht="15" thickTop="1">
      <c r="A118" s="600"/>
      <c r="B118" s="539" t="s">
        <v>2687</v>
      </c>
      <c r="C118" s="628"/>
      <c r="D118" s="628"/>
      <c r="E118" s="628"/>
      <c r="F118" s="628"/>
      <c r="G118" s="628"/>
      <c r="H118" s="556"/>
      <c r="I118" s="556"/>
      <c r="J118" s="556"/>
      <c r="K118" s="556"/>
      <c r="L118" s="557"/>
      <c r="M118" s="558"/>
      <c r="N118" s="1155"/>
      <c r="O118" s="1155"/>
      <c r="P118" s="2631"/>
      <c r="Q118" s="505"/>
    </row>
    <row r="119" spans="1:17" ht="15.75" thickBot="1">
      <c r="A119" s="535"/>
      <c r="B119" s="544"/>
      <c r="C119" s="561"/>
      <c r="D119" s="537"/>
      <c r="E119" s="537"/>
      <c r="F119" s="537"/>
      <c r="G119" s="537"/>
      <c r="H119" s="537"/>
      <c r="I119" s="537"/>
      <c r="J119" s="537"/>
      <c r="K119" s="537"/>
      <c r="L119" s="537"/>
      <c r="M119" s="538"/>
      <c r="N119" s="1156"/>
      <c r="O119" s="1156"/>
      <c r="P119" s="2631"/>
      <c r="Q119" s="505"/>
    </row>
    <row r="120" spans="1:17" s="472" customFormat="1" ht="15" thickTop="1">
      <c r="A120" s="594"/>
      <c r="B120" s="539" t="s">
        <v>2688</v>
      </c>
      <c r="C120" s="584"/>
      <c r="D120" s="584"/>
      <c r="E120" s="584"/>
      <c r="F120" s="584"/>
      <c r="G120" s="556"/>
      <c r="H120" s="556"/>
      <c r="I120" s="556"/>
      <c r="J120" s="556"/>
      <c r="K120" s="556"/>
      <c r="L120" s="557"/>
      <c r="M120" s="558"/>
      <c r="N120" s="1157"/>
      <c r="O120" s="1157"/>
      <c r="P120" s="2632"/>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2"/>
      <c r="Q121" s="560"/>
    </row>
    <row r="122" spans="1:17" ht="15" thickTop="1">
      <c r="A122" s="600"/>
      <c r="B122" s="539" t="s">
        <v>2623</v>
      </c>
      <c r="C122" s="555"/>
      <c r="D122" s="555"/>
      <c r="E122" s="555"/>
      <c r="F122" s="584"/>
      <c r="G122" s="584"/>
      <c r="H122" s="584"/>
      <c r="I122" s="584"/>
      <c r="J122" s="584"/>
      <c r="K122" s="585"/>
      <c r="L122" s="586"/>
      <c r="M122" s="587"/>
      <c r="N122" s="1155"/>
      <c r="O122" s="1155"/>
      <c r="P122" s="263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37"/>
      <c r="E129" s="537"/>
      <c r="F129" s="537"/>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2689</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IF(C2="——",ROUND(C50*D3/10000,0),ROUND(C50*D3/10000,0)-D2)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769"/>
      <c r="Q3" s="769"/>
      <c r="R3" s="769"/>
      <c r="S3" s="769"/>
      <c r="T3" s="769"/>
      <c r="U3" s="769"/>
      <c r="V3" s="769"/>
      <c r="W3" s="769"/>
      <c r="X3" s="769"/>
      <c r="Y3" s="769"/>
      <c r="Z3" s="769"/>
      <c r="AA3" s="769"/>
      <c r="AB3" s="769"/>
      <c r="AC3" s="770"/>
    </row>
    <row r="4" spans="1:29" ht="15">
      <c r="A4" s="402" t="s">
        <v>2648</v>
      </c>
      <c r="B4" s="403"/>
      <c r="C4" s="3213" t="s">
        <v>2649</v>
      </c>
      <c r="D4" s="3214"/>
      <c r="E4" s="3215" t="s">
        <v>2650</v>
      </c>
      <c r="F4" s="3216"/>
      <c r="G4" s="3213" t="s">
        <v>2651</v>
      </c>
      <c r="H4" s="3214"/>
      <c r="I4" s="3213" t="s">
        <v>2652</v>
      </c>
      <c r="J4" s="3214"/>
      <c r="K4" s="611" t="s">
        <v>2653</v>
      </c>
      <c r="L4" s="1133"/>
      <c r="M4" s="1134"/>
      <c r="N4" s="1134"/>
      <c r="O4" s="1134"/>
      <c r="P4" s="3239" t="s">
        <v>2654</v>
      </c>
      <c r="Q4" s="3240"/>
      <c r="R4" s="3234" t="s">
        <v>2650</v>
      </c>
      <c r="S4" s="3235"/>
      <c r="T4" s="3234" t="s">
        <v>2651</v>
      </c>
      <c r="U4" s="3235"/>
      <c r="V4" s="3243" t="s">
        <v>2652</v>
      </c>
      <c r="W4" s="3243"/>
      <c r="X4" s="2671"/>
      <c r="Y4" s="3234" t="s">
        <v>2654</v>
      </c>
      <c r="Z4" s="3235"/>
      <c r="AA4" s="3233" t="s">
        <v>2650</v>
      </c>
      <c r="AB4" s="3233" t="s">
        <v>2651</v>
      </c>
      <c r="AC4" s="3236" t="s">
        <v>2652</v>
      </c>
    </row>
    <row r="5" spans="1:29" ht="15">
      <c r="A5" s="405"/>
      <c r="B5" s="406"/>
      <c r="C5" s="3223" t="s">
        <v>2545</v>
      </c>
      <c r="D5" s="3224"/>
      <c r="E5" s="3231" t="s">
        <v>2546</v>
      </c>
      <c r="F5" s="3232"/>
      <c r="G5" s="3223" t="s">
        <v>2547</v>
      </c>
      <c r="H5" s="3224"/>
      <c r="I5" s="3223" t="s">
        <v>2548</v>
      </c>
      <c r="J5" s="3224"/>
      <c r="K5" s="611"/>
      <c r="L5" s="1133"/>
      <c r="M5" s="1134"/>
      <c r="N5" s="1134"/>
      <c r="O5" s="1134"/>
      <c r="P5" s="3241"/>
      <c r="Q5" s="3220"/>
      <c r="R5" s="3202"/>
      <c r="S5" s="3203"/>
      <c r="T5" s="3202"/>
      <c r="U5" s="3203"/>
      <c r="V5" s="3206"/>
      <c r="W5" s="3206"/>
      <c r="X5" s="1816"/>
      <c r="Y5" s="3202"/>
      <c r="Z5" s="3203"/>
      <c r="AA5" s="3211"/>
      <c r="AB5" s="3211"/>
      <c r="AC5" s="3237"/>
    </row>
    <row r="6" spans="1:29" ht="15.75" thickBot="1">
      <c r="A6" s="407"/>
      <c r="B6" s="408"/>
      <c r="C6" s="3225" t="s">
        <v>2549</v>
      </c>
      <c r="D6" s="3226"/>
      <c r="E6" s="3227" t="s">
        <v>2549</v>
      </c>
      <c r="F6" s="3228"/>
      <c r="G6" s="3225" t="s">
        <v>2549</v>
      </c>
      <c r="H6" s="3226"/>
      <c r="I6" s="3225" t="s">
        <v>2549</v>
      </c>
      <c r="J6" s="3226"/>
      <c r="K6" s="611" t="s">
        <v>2550</v>
      </c>
      <c r="L6" s="1133"/>
      <c r="M6" s="1134"/>
      <c r="N6" s="1134"/>
      <c r="O6" s="1134"/>
      <c r="P6" s="3242"/>
      <c r="Q6" s="3222"/>
      <c r="R6" s="3202"/>
      <c r="S6" s="3203"/>
      <c r="T6" s="3204"/>
      <c r="U6" s="3205"/>
      <c r="V6" s="3206"/>
      <c r="W6" s="3206"/>
      <c r="X6" s="1816"/>
      <c r="Y6" s="3204"/>
      <c r="Z6" s="3205"/>
      <c r="AA6" s="3212"/>
      <c r="AB6" s="3212"/>
      <c r="AC6" s="3238"/>
    </row>
    <row r="7" spans="1:29" s="117" customFormat="1" ht="15.75" thickBot="1">
      <c r="A7" s="409" t="s">
        <v>2551</v>
      </c>
      <c r="B7" s="410"/>
      <c r="C7" s="411">
        <f>'数据-取费表'!B2</f>
        <v>43017</v>
      </c>
      <c r="D7" s="412">
        <v>100</v>
      </c>
      <c r="E7" s="413"/>
      <c r="F7" s="414">
        <f>SUMIF(59:59,YEAR(E7)&amp;"-"&amp;MONTH(E7),60:60)</f>
        <v>0</v>
      </c>
      <c r="G7" s="413"/>
      <c r="H7" s="412">
        <f>SUMIF(59:59,YEAR(G7)&amp;"-"&amp;MONTH(G7),60:60)</f>
        <v>0</v>
      </c>
      <c r="I7" s="413"/>
      <c r="J7" s="412">
        <f>SUMIF(59:59,YEAR(I7)&amp;"-"&amp;MONTH(I7),60:60)</f>
        <v>0</v>
      </c>
      <c r="K7" s="612"/>
      <c r="L7" s="1135"/>
      <c r="M7" s="1136"/>
      <c r="N7" s="1136"/>
      <c r="O7" s="1136"/>
      <c r="P7" s="3244" t="s">
        <v>2552</v>
      </c>
      <c r="Q7" s="3208"/>
      <c r="R7" s="771" t="s">
        <v>17</v>
      </c>
      <c r="S7" s="772">
        <f t="shared" ref="S7:S15" si="0">F7</f>
        <v>0</v>
      </c>
      <c r="T7" s="771" t="s">
        <v>17</v>
      </c>
      <c r="U7" s="772">
        <f t="shared" ref="U7:U15" si="1">H7</f>
        <v>0</v>
      </c>
      <c r="V7" s="771" t="s">
        <v>17</v>
      </c>
      <c r="W7" s="772">
        <f t="shared" ref="W7:W15" si="2">J7</f>
        <v>0</v>
      </c>
      <c r="X7" s="773"/>
      <c r="Y7" s="3207" t="s">
        <v>2552</v>
      </c>
      <c r="Z7" s="3209"/>
      <c r="AA7" s="774" t="e">
        <f>D7/F7</f>
        <v>#DIV/0!</v>
      </c>
      <c r="AB7" s="774" t="e">
        <f>D7/H7</f>
        <v>#DIV/0!</v>
      </c>
      <c r="AC7" s="2672"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5"/>
      <c r="M8" s="1136"/>
      <c r="N8" s="1136"/>
      <c r="O8" s="1136"/>
      <c r="P8" s="3244" t="s">
        <v>2555</v>
      </c>
      <c r="Q8" s="3209"/>
      <c r="R8" s="771" t="s">
        <v>17</v>
      </c>
      <c r="S8" s="772">
        <f t="shared" si="0"/>
        <v>0</v>
      </c>
      <c r="T8" s="771" t="s">
        <v>17</v>
      </c>
      <c r="U8" s="772">
        <f t="shared" si="1"/>
        <v>0</v>
      </c>
      <c r="V8" s="771" t="s">
        <v>17</v>
      </c>
      <c r="W8" s="772">
        <f t="shared" si="2"/>
        <v>0</v>
      </c>
      <c r="X8" s="773"/>
      <c r="Y8" s="3207" t="s">
        <v>2555</v>
      </c>
      <c r="Z8" s="3209"/>
      <c r="AA8" s="774" t="e">
        <f t="shared" ref="AA8:AA47" si="3">D8/F8</f>
        <v>#DIV/0!</v>
      </c>
      <c r="AB8" s="774" t="e">
        <f t="shared" ref="AB8:AB47" si="4">D8/H8</f>
        <v>#DIV/0!</v>
      </c>
      <c r="AC8" s="2672"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5"/>
      <c r="M9" s="1136"/>
      <c r="N9" s="1136"/>
      <c r="O9" s="1136"/>
      <c r="P9" s="3199" t="s">
        <v>2558</v>
      </c>
      <c r="Q9" s="1798" t="str">
        <f t="shared" ref="Q9:Q15" si="6">B9</f>
        <v>用途</v>
      </c>
      <c r="R9" s="771" t="s">
        <v>17</v>
      </c>
      <c r="S9" s="772">
        <f t="shared" si="0"/>
        <v>100</v>
      </c>
      <c r="T9" s="771" t="s">
        <v>17</v>
      </c>
      <c r="U9" s="772">
        <f t="shared" si="1"/>
        <v>100</v>
      </c>
      <c r="V9" s="771" t="s">
        <v>17</v>
      </c>
      <c r="W9" s="772">
        <f t="shared" si="2"/>
        <v>100</v>
      </c>
      <c r="X9" s="773"/>
      <c r="Y9" s="3035" t="s">
        <v>2559</v>
      </c>
      <c r="Z9" s="55" t="str">
        <f t="shared" ref="Z9:Z15" si="7">Q9</f>
        <v>用途</v>
      </c>
      <c r="AA9" s="774">
        <f t="shared" si="3"/>
        <v>1</v>
      </c>
      <c r="AB9" s="774">
        <f t="shared" si="4"/>
        <v>1</v>
      </c>
      <c r="AC9" s="2672">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8"/>
      <c r="M10" s="1139"/>
      <c r="N10" s="1139"/>
      <c r="O10" s="1139"/>
      <c r="P10" s="3199"/>
      <c r="Q10" s="1798" t="str">
        <f t="shared" si="6"/>
        <v>土地使用年限（年）</v>
      </c>
      <c r="R10" s="771" t="s">
        <v>17</v>
      </c>
      <c r="S10" s="772">
        <f t="shared" si="0"/>
        <v>100</v>
      </c>
      <c r="T10" s="771" t="s">
        <v>17</v>
      </c>
      <c r="U10" s="772">
        <f t="shared" si="1"/>
        <v>100</v>
      </c>
      <c r="V10" s="771" t="s">
        <v>17</v>
      </c>
      <c r="W10" s="772">
        <f t="shared" si="2"/>
        <v>100</v>
      </c>
      <c r="X10" s="773"/>
      <c r="Y10" s="3035"/>
      <c r="Z10" s="55" t="str">
        <f t="shared" si="7"/>
        <v>土地使用年限（年）</v>
      </c>
      <c r="AA10" s="774">
        <f t="shared" si="3"/>
        <v>1</v>
      </c>
      <c r="AB10" s="774">
        <f t="shared" si="4"/>
        <v>1</v>
      </c>
      <c r="AC10" s="2672">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1"/>
      <c r="M11" s="1134"/>
      <c r="N11" s="1134"/>
      <c r="O11" s="1134"/>
      <c r="P11" s="3199"/>
      <c r="Q11" s="1798" t="str">
        <f t="shared" si="6"/>
        <v>容积率</v>
      </c>
      <c r="R11" s="771" t="s">
        <v>17</v>
      </c>
      <c r="S11" s="772" t="e">
        <f t="shared" si="0"/>
        <v>#N/A</v>
      </c>
      <c r="T11" s="771" t="s">
        <v>17</v>
      </c>
      <c r="U11" s="772" t="e">
        <f t="shared" si="1"/>
        <v>#N/A</v>
      </c>
      <c r="V11" s="771" t="s">
        <v>17</v>
      </c>
      <c r="W11" s="772" t="e">
        <f t="shared" si="2"/>
        <v>#N/A</v>
      </c>
      <c r="X11" s="773"/>
      <c r="Y11" s="3035"/>
      <c r="Z11" s="55" t="str">
        <f t="shared" si="7"/>
        <v>容积率</v>
      </c>
      <c r="AA11" s="774" t="e">
        <f t="shared" si="3"/>
        <v>#N/A</v>
      </c>
      <c r="AB11" s="774" t="e">
        <f t="shared" si="4"/>
        <v>#N/A</v>
      </c>
      <c r="AC11" s="2672" t="e">
        <f t="shared" si="5"/>
        <v>#N/A</v>
      </c>
    </row>
    <row r="12" spans="1:29" s="117" customFormat="1" ht="15">
      <c r="A12" s="432"/>
      <c r="B12" s="2602">
        <v>111</v>
      </c>
      <c r="C12" s="433"/>
      <c r="D12" s="434">
        <v>100</v>
      </c>
      <c r="E12" s="433"/>
      <c r="F12" s="136">
        <f>SUMIF(71:71,E12,72:72)-SUMIF(71:71,C12,72:72)+100</f>
        <v>100</v>
      </c>
      <c r="G12" s="2673"/>
      <c r="H12" s="136">
        <f>SUMIF(71:71,G12,72:72)-SUMIF(71:71,C12,72:72)+100</f>
        <v>100</v>
      </c>
      <c r="I12" s="433"/>
      <c r="J12" s="136">
        <f>SUMIF(71:71,I12,72:72)-SUMIF(71:71,C12,72:72)+100</f>
        <v>100</v>
      </c>
      <c r="K12" s="614"/>
      <c r="L12" s="1135"/>
      <c r="M12" s="1136"/>
      <c r="N12" s="1136"/>
      <c r="O12" s="1136"/>
      <c r="P12" s="3199"/>
      <c r="Q12" s="1798">
        <f t="shared" si="6"/>
        <v>111</v>
      </c>
      <c r="R12" s="771" t="s">
        <v>17</v>
      </c>
      <c r="S12" s="772">
        <f t="shared" si="0"/>
        <v>100</v>
      </c>
      <c r="T12" s="771" t="s">
        <v>17</v>
      </c>
      <c r="U12" s="772">
        <f t="shared" si="1"/>
        <v>100</v>
      </c>
      <c r="V12" s="771" t="s">
        <v>17</v>
      </c>
      <c r="W12" s="772">
        <f t="shared" si="2"/>
        <v>100</v>
      </c>
      <c r="X12" s="773"/>
      <c r="Y12" s="3035"/>
      <c r="Z12" s="55">
        <f t="shared" si="7"/>
        <v>111</v>
      </c>
      <c r="AA12" s="774">
        <f>D12/F12</f>
        <v>1</v>
      </c>
      <c r="AB12" s="774">
        <f>D12/H12</f>
        <v>1</v>
      </c>
      <c r="AC12" s="2672">
        <f>D12/J12</f>
        <v>1</v>
      </c>
    </row>
    <row r="13" spans="1:29" ht="15">
      <c r="A13" s="429"/>
      <c r="B13" s="2602">
        <v>111</v>
      </c>
      <c r="C13" s="435"/>
      <c r="D13" s="436">
        <v>100</v>
      </c>
      <c r="E13" s="433"/>
      <c r="F13" s="136">
        <f>SUMIF(73:73,E13,74:74)-SUMIF(73:73,C13,74:74)+100</f>
        <v>100</v>
      </c>
      <c r="G13" s="2673"/>
      <c r="H13" s="436">
        <f>SUMIF(73:73,G13,74:74)-SUMIF(73:73,C13,74:74)+100</f>
        <v>100</v>
      </c>
      <c r="I13" s="433"/>
      <c r="J13" s="436">
        <f>SUMIF(73:73,I13,74:74)-SUMIF(73:73,C13,74:74)+100</f>
        <v>100</v>
      </c>
      <c r="K13" s="614"/>
      <c r="L13" s="1143"/>
      <c r="M13" s="1134"/>
      <c r="N13" s="1134"/>
      <c r="O13" s="1134"/>
      <c r="P13" s="3199"/>
      <c r="Q13" s="1798">
        <f t="shared" si="6"/>
        <v>111</v>
      </c>
      <c r="R13" s="771" t="s">
        <v>17</v>
      </c>
      <c r="S13" s="772">
        <f t="shared" si="0"/>
        <v>100</v>
      </c>
      <c r="T13" s="771" t="s">
        <v>17</v>
      </c>
      <c r="U13" s="772">
        <f t="shared" si="1"/>
        <v>100</v>
      </c>
      <c r="V13" s="771" t="s">
        <v>17</v>
      </c>
      <c r="W13" s="772">
        <f t="shared" si="2"/>
        <v>100</v>
      </c>
      <c r="X13" s="773"/>
      <c r="Y13" s="3035"/>
      <c r="Z13" s="55">
        <f t="shared" si="7"/>
        <v>111</v>
      </c>
      <c r="AA13" s="774">
        <f t="shared" si="3"/>
        <v>1</v>
      </c>
      <c r="AB13" s="774">
        <f t="shared" si="4"/>
        <v>1</v>
      </c>
      <c r="AC13" s="2672">
        <f t="shared" si="5"/>
        <v>1</v>
      </c>
    </row>
    <row r="14" spans="1:29" ht="15.75" thickBot="1">
      <c r="A14" s="437"/>
      <c r="B14" s="2604">
        <v>111</v>
      </c>
      <c r="C14" s="438"/>
      <c r="D14" s="439">
        <v>100</v>
      </c>
      <c r="E14" s="629"/>
      <c r="F14" s="439">
        <f>SUMIF(75:75,E14,76:76)-SUMIF(75:75,C14,76:76)+100</f>
        <v>100</v>
      </c>
      <c r="G14" s="2673"/>
      <c r="H14" s="439">
        <f>SUMIF(75:75,G14,76:76)-SUMIF(75:75,C14,76:76)+100</f>
        <v>100</v>
      </c>
      <c r="I14" s="433"/>
      <c r="J14" s="439">
        <f>SUMIF(75:75,I14,76:76)-SUMIF(75:75,C14,76:76)+100</f>
        <v>100</v>
      </c>
      <c r="K14" s="614"/>
      <c r="L14" s="1143"/>
      <c r="M14" s="1134"/>
      <c r="N14" s="1134"/>
      <c r="O14" s="1134"/>
      <c r="P14" s="3199"/>
      <c r="Q14" s="1798">
        <f t="shared" si="6"/>
        <v>111</v>
      </c>
      <c r="R14" s="771" t="s">
        <v>17</v>
      </c>
      <c r="S14" s="772">
        <f t="shared" si="0"/>
        <v>100</v>
      </c>
      <c r="T14" s="771" t="s">
        <v>17</v>
      </c>
      <c r="U14" s="772">
        <f t="shared" si="1"/>
        <v>100</v>
      </c>
      <c r="V14" s="771" t="s">
        <v>17</v>
      </c>
      <c r="W14" s="772">
        <f t="shared" si="2"/>
        <v>100</v>
      </c>
      <c r="X14" s="773"/>
      <c r="Y14" s="3035"/>
      <c r="Z14" s="55">
        <f t="shared" si="7"/>
        <v>111</v>
      </c>
      <c r="AA14" s="774">
        <f t="shared" si="3"/>
        <v>1</v>
      </c>
      <c r="AB14" s="774">
        <f t="shared" si="4"/>
        <v>1</v>
      </c>
      <c r="AC14" s="2672">
        <f t="shared" si="5"/>
        <v>1</v>
      </c>
    </row>
    <row r="15" spans="1:29" ht="71.25">
      <c r="A15" s="441" t="s">
        <v>2562</v>
      </c>
      <c r="B15" s="630" t="s">
        <v>2690</v>
      </c>
      <c r="C15" s="267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190" t="s">
        <v>2563</v>
      </c>
      <c r="Q15" s="1813" t="str">
        <f t="shared" si="6"/>
        <v>办公集聚程度</v>
      </c>
      <c r="R15" s="775" t="s">
        <v>17</v>
      </c>
      <c r="S15" s="776">
        <f t="shared" si="0"/>
        <v>100</v>
      </c>
      <c r="T15" s="775" t="s">
        <v>17</v>
      </c>
      <c r="U15" s="776">
        <f t="shared" si="1"/>
        <v>100</v>
      </c>
      <c r="V15" s="775" t="s">
        <v>17</v>
      </c>
      <c r="W15" s="776">
        <f t="shared" si="2"/>
        <v>100</v>
      </c>
      <c r="X15" s="1816"/>
      <c r="Y15" s="3192" t="s">
        <v>2563</v>
      </c>
      <c r="Z15" s="1817" t="str">
        <f t="shared" si="7"/>
        <v>办公集聚程度</v>
      </c>
      <c r="AA15" s="1814">
        <f t="shared" si="3"/>
        <v>1</v>
      </c>
      <c r="AB15" s="1814">
        <f t="shared" si="4"/>
        <v>1</v>
      </c>
      <c r="AC15" s="2675">
        <f t="shared" si="5"/>
        <v>1</v>
      </c>
    </row>
    <row r="16" spans="1:29" ht="15">
      <c r="A16" s="429"/>
      <c r="B16" s="631"/>
      <c r="C16" s="2613"/>
      <c r="D16" s="449"/>
      <c r="E16" s="448"/>
      <c r="F16" s="449"/>
      <c r="G16" s="2613"/>
      <c r="H16" s="451"/>
      <c r="I16" s="448"/>
      <c r="J16" s="449"/>
      <c r="K16" s="616"/>
      <c r="L16" s="1143"/>
      <c r="M16" s="1134"/>
      <c r="N16" s="1134"/>
      <c r="O16" s="1134"/>
      <c r="P16" s="3191"/>
      <c r="Q16" s="1813"/>
      <c r="R16" s="775"/>
      <c r="S16" s="776"/>
      <c r="T16" s="775"/>
      <c r="U16" s="776"/>
      <c r="V16" s="775"/>
      <c r="W16" s="776"/>
      <c r="X16" s="1816"/>
      <c r="Y16" s="3193"/>
      <c r="Z16" s="1817"/>
      <c r="AA16" s="1814">
        <v>1</v>
      </c>
      <c r="AB16" s="1814">
        <v>1</v>
      </c>
      <c r="AC16" s="2675">
        <v>1</v>
      </c>
    </row>
    <row r="17" spans="1:29" ht="71.25">
      <c r="A17" s="429"/>
      <c r="B17" s="632" t="s">
        <v>2099</v>
      </c>
      <c r="C17" s="2676"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191"/>
      <c r="Q17" s="1813" t="str">
        <f>B17</f>
        <v>交通便捷度</v>
      </c>
      <c r="R17" s="775" t="s">
        <v>17</v>
      </c>
      <c r="S17" s="776">
        <f>F17</f>
        <v>100</v>
      </c>
      <c r="T17" s="775" t="s">
        <v>17</v>
      </c>
      <c r="U17" s="776">
        <f>H17</f>
        <v>100</v>
      </c>
      <c r="V17" s="775" t="s">
        <v>17</v>
      </c>
      <c r="W17" s="776">
        <f>J17</f>
        <v>100</v>
      </c>
      <c r="X17" s="1816"/>
      <c r="Y17" s="3193"/>
      <c r="Z17" s="1817" t="str">
        <f>Q17</f>
        <v>交通便捷度</v>
      </c>
      <c r="AA17" s="1814">
        <f t="shared" si="3"/>
        <v>1</v>
      </c>
      <c r="AB17" s="1814">
        <f t="shared" si="4"/>
        <v>1</v>
      </c>
      <c r="AC17" s="2675">
        <f t="shared" si="5"/>
        <v>1</v>
      </c>
    </row>
    <row r="18" spans="1:29" ht="15">
      <c r="A18" s="429"/>
      <c r="B18" s="633"/>
      <c r="C18" s="2677"/>
      <c r="D18" s="451"/>
      <c r="E18" s="2611"/>
      <c r="F18" s="451"/>
      <c r="G18" s="2612"/>
      <c r="H18" s="449"/>
      <c r="I18" s="2612"/>
      <c r="J18" s="449"/>
      <c r="K18" s="616"/>
      <c r="L18" s="1143"/>
      <c r="M18" s="1134"/>
      <c r="N18" s="1134"/>
      <c r="O18" s="1134"/>
      <c r="P18" s="3191"/>
      <c r="Q18" s="1813"/>
      <c r="R18" s="775"/>
      <c r="S18" s="776"/>
      <c r="T18" s="775"/>
      <c r="U18" s="776"/>
      <c r="V18" s="775"/>
      <c r="W18" s="776"/>
      <c r="X18" s="1816"/>
      <c r="Y18" s="3193"/>
      <c r="Z18" s="1817"/>
      <c r="AA18" s="1814">
        <v>1</v>
      </c>
      <c r="AB18" s="1814">
        <v>1</v>
      </c>
      <c r="AC18" s="2675">
        <v>1</v>
      </c>
    </row>
    <row r="19" spans="1:29" ht="42.75">
      <c r="A19" s="429"/>
      <c r="B19" s="632" t="s">
        <v>2691</v>
      </c>
      <c r="C19" s="2676"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191"/>
      <c r="Q19" s="1813" t="str">
        <f>B19</f>
        <v>公共配套设施</v>
      </c>
      <c r="R19" s="775" t="s">
        <v>17</v>
      </c>
      <c r="S19" s="776">
        <f>F19</f>
        <v>100</v>
      </c>
      <c r="T19" s="775" t="s">
        <v>17</v>
      </c>
      <c r="U19" s="776">
        <f>H19</f>
        <v>100</v>
      </c>
      <c r="V19" s="775" t="s">
        <v>17</v>
      </c>
      <c r="W19" s="776">
        <f>J19</f>
        <v>100</v>
      </c>
      <c r="X19" s="1816"/>
      <c r="Y19" s="3193"/>
      <c r="Z19" s="1817" t="str">
        <f>Q19</f>
        <v>公共配套设施</v>
      </c>
      <c r="AA19" s="1814">
        <f t="shared" si="3"/>
        <v>1</v>
      </c>
      <c r="AB19" s="1814">
        <f t="shared" si="4"/>
        <v>1</v>
      </c>
      <c r="AC19" s="2675">
        <f t="shared" si="5"/>
        <v>1</v>
      </c>
    </row>
    <row r="20" spans="1:29" ht="15">
      <c r="A20" s="429"/>
      <c r="B20" s="633"/>
      <c r="C20" s="2613"/>
      <c r="D20" s="449"/>
      <c r="E20" s="2606"/>
      <c r="F20" s="449"/>
      <c r="G20" s="2607"/>
      <c r="H20" s="449"/>
      <c r="I20" s="2607"/>
      <c r="J20" s="449"/>
      <c r="K20" s="616"/>
      <c r="L20" s="1143"/>
      <c r="M20" s="1134"/>
      <c r="N20" s="1134"/>
      <c r="O20" s="1134"/>
      <c r="P20" s="3191"/>
      <c r="Q20" s="1813"/>
      <c r="R20" s="775"/>
      <c r="S20" s="776"/>
      <c r="T20" s="775"/>
      <c r="U20" s="776"/>
      <c r="V20" s="775"/>
      <c r="W20" s="776"/>
      <c r="X20" s="1816"/>
      <c r="Y20" s="3193"/>
      <c r="Z20" s="1817"/>
      <c r="AA20" s="1814">
        <v>1</v>
      </c>
      <c r="AB20" s="1814">
        <v>1</v>
      </c>
      <c r="AC20" s="2675">
        <v>1</v>
      </c>
    </row>
    <row r="21" spans="1:29" ht="28.5">
      <c r="A21" s="429"/>
      <c r="B21" s="634" t="s">
        <v>2692</v>
      </c>
      <c r="C21" s="2676"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191"/>
      <c r="Q21" s="1813" t="str">
        <f>B21</f>
        <v>基础设施水平</v>
      </c>
      <c r="R21" s="775" t="s">
        <v>17</v>
      </c>
      <c r="S21" s="776">
        <f>F21</f>
        <v>100</v>
      </c>
      <c r="T21" s="775" t="s">
        <v>17</v>
      </c>
      <c r="U21" s="776">
        <f>H21</f>
        <v>100</v>
      </c>
      <c r="V21" s="775" t="s">
        <v>17</v>
      </c>
      <c r="W21" s="776">
        <f>J21</f>
        <v>100</v>
      </c>
      <c r="X21" s="1816"/>
      <c r="Y21" s="3193"/>
      <c r="Z21" s="1817" t="str">
        <f>Q21</f>
        <v>基础设施水平</v>
      </c>
      <c r="AA21" s="1814">
        <f t="shared" ref="AA21" si="8">D21/F21</f>
        <v>1</v>
      </c>
      <c r="AB21" s="1814">
        <f t="shared" ref="AB21" si="9">D21/H21</f>
        <v>1</v>
      </c>
      <c r="AC21" s="2675">
        <f t="shared" ref="AC21" si="10">D21/J21</f>
        <v>1</v>
      </c>
    </row>
    <row r="22" spans="1:29" ht="15">
      <c r="A22" s="429"/>
      <c r="B22" s="634"/>
      <c r="C22" s="2677"/>
      <c r="D22" s="449"/>
      <c r="E22" s="448"/>
      <c r="F22" s="449"/>
      <c r="G22" s="2613"/>
      <c r="H22" s="449"/>
      <c r="I22" s="2613"/>
      <c r="J22" s="449"/>
      <c r="K22" s="1386"/>
      <c r="L22" s="1143"/>
      <c r="M22" s="1134"/>
      <c r="N22" s="1134"/>
      <c r="O22" s="1134"/>
      <c r="P22" s="3191"/>
      <c r="Q22" s="1813"/>
      <c r="R22" s="775"/>
      <c r="S22" s="776"/>
      <c r="T22" s="775"/>
      <c r="U22" s="776"/>
      <c r="V22" s="775"/>
      <c r="W22" s="776"/>
      <c r="X22" s="1816"/>
      <c r="Y22" s="3193"/>
      <c r="Z22" s="1817"/>
      <c r="AA22" s="1814">
        <v>1</v>
      </c>
      <c r="AB22" s="1814">
        <v>1</v>
      </c>
      <c r="AC22" s="2675">
        <v>1</v>
      </c>
    </row>
    <row r="23" spans="1:29" ht="42.75">
      <c r="A23" s="429"/>
      <c r="B23" s="632" t="s">
        <v>2693</v>
      </c>
      <c r="C23" s="2676"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191"/>
      <c r="Q23" s="1813" t="str">
        <f>B23</f>
        <v>环境质量</v>
      </c>
      <c r="R23" s="775" t="s">
        <v>17</v>
      </c>
      <c r="S23" s="776">
        <f>F23</f>
        <v>100</v>
      </c>
      <c r="T23" s="775" t="s">
        <v>17</v>
      </c>
      <c r="U23" s="776">
        <f>H23</f>
        <v>100</v>
      </c>
      <c r="V23" s="775" t="s">
        <v>17</v>
      </c>
      <c r="W23" s="776">
        <f>J23</f>
        <v>100</v>
      </c>
      <c r="X23" s="1816"/>
      <c r="Y23" s="3193"/>
      <c r="Z23" s="1817" t="str">
        <f>Q23</f>
        <v>环境质量</v>
      </c>
      <c r="AA23" s="1814">
        <f t="shared" si="3"/>
        <v>1</v>
      </c>
      <c r="AB23" s="1814">
        <f t="shared" si="4"/>
        <v>1</v>
      </c>
      <c r="AC23" s="2675">
        <f t="shared" si="5"/>
        <v>1</v>
      </c>
    </row>
    <row r="24" spans="1:29" ht="15">
      <c r="A24" s="429"/>
      <c r="B24" s="634"/>
      <c r="C24" s="2613"/>
      <c r="D24" s="449"/>
      <c r="E24" s="2606"/>
      <c r="F24" s="449"/>
      <c r="G24" s="2607"/>
      <c r="H24" s="449"/>
      <c r="I24" s="2607"/>
      <c r="J24" s="449"/>
      <c r="K24" s="616"/>
      <c r="L24" s="1143"/>
      <c r="M24" s="1134"/>
      <c r="N24" s="1134"/>
      <c r="O24" s="1134"/>
      <c r="P24" s="3191"/>
      <c r="Q24" s="1813"/>
      <c r="R24" s="775"/>
      <c r="S24" s="776"/>
      <c r="T24" s="775"/>
      <c r="U24" s="776"/>
      <c r="V24" s="775"/>
      <c r="W24" s="776"/>
      <c r="X24" s="1816"/>
      <c r="Y24" s="3193"/>
      <c r="Z24" s="1817"/>
      <c r="AA24" s="1814">
        <v>1</v>
      </c>
      <c r="AB24" s="1814">
        <v>1</v>
      </c>
      <c r="AC24" s="2675">
        <v>1</v>
      </c>
    </row>
    <row r="25" spans="1:29" ht="27">
      <c r="A25" s="405"/>
      <c r="B25" s="632" t="s">
        <v>2694</v>
      </c>
      <c r="C25" s="2617"/>
      <c r="D25" s="436">
        <v>100</v>
      </c>
      <c r="E25" s="435"/>
      <c r="F25" s="436">
        <f>SUMIF(87:87,E26,88:88)-SUMIF(87:87,C26,88:88)+100</f>
        <v>100</v>
      </c>
      <c r="G25" s="2617"/>
      <c r="H25" s="436">
        <f>SUMIF(87:87,G26,88:88)-SUMIF(87:87,C26,88:88)+100</f>
        <v>100</v>
      </c>
      <c r="I25" s="435"/>
      <c r="J25" s="436">
        <f>SUMIF(87:87,I26,88:88)-SUMIF(87:87,C26,88:88)+100</f>
        <v>100</v>
      </c>
      <c r="K25" s="615"/>
      <c r="L25" s="1143"/>
      <c r="M25" s="1134"/>
      <c r="N25" s="1134"/>
      <c r="O25" s="1134"/>
      <c r="P25" s="3191"/>
      <c r="Q25" s="1813" t="str">
        <f>B25</f>
        <v>毗邻道路的类型与等级</v>
      </c>
      <c r="R25" s="775" t="s">
        <v>17</v>
      </c>
      <c r="S25" s="776">
        <f>F25</f>
        <v>100</v>
      </c>
      <c r="T25" s="775" t="s">
        <v>17</v>
      </c>
      <c r="U25" s="776">
        <f>H25</f>
        <v>100</v>
      </c>
      <c r="V25" s="775" t="s">
        <v>17</v>
      </c>
      <c r="W25" s="776">
        <f>J25</f>
        <v>100</v>
      </c>
      <c r="X25" s="1816"/>
      <c r="Y25" s="3193"/>
      <c r="Z25" s="1817" t="str">
        <f>Q25</f>
        <v>毗邻道路的类型与等级</v>
      </c>
      <c r="AA25" s="1814">
        <f t="shared" si="3"/>
        <v>1</v>
      </c>
      <c r="AB25" s="1814">
        <f t="shared" si="4"/>
        <v>1</v>
      </c>
      <c r="AC25" s="2675">
        <f t="shared" si="5"/>
        <v>1</v>
      </c>
    </row>
    <row r="26" spans="1:29" ht="15">
      <c r="A26" s="405"/>
      <c r="B26" s="633"/>
      <c r="C26" s="635"/>
      <c r="D26" s="436"/>
      <c r="E26" s="617"/>
      <c r="F26" s="436"/>
      <c r="G26" s="635"/>
      <c r="H26" s="436"/>
      <c r="I26" s="617"/>
      <c r="J26" s="436"/>
      <c r="K26" s="616"/>
      <c r="L26" s="1143"/>
      <c r="M26" s="1134"/>
      <c r="N26" s="1134"/>
      <c r="O26" s="1134"/>
      <c r="P26" s="3191"/>
      <c r="Q26" s="1813"/>
      <c r="R26" s="775"/>
      <c r="S26" s="776"/>
      <c r="T26" s="775"/>
      <c r="U26" s="776"/>
      <c r="V26" s="775"/>
      <c r="W26" s="776"/>
      <c r="X26" s="1816"/>
      <c r="Y26" s="3193"/>
      <c r="Z26" s="1817"/>
      <c r="AA26" s="1814">
        <v>1</v>
      </c>
      <c r="AB26" s="1814">
        <v>1</v>
      </c>
      <c r="AC26" s="2675">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3"/>
      <c r="M27" s="1134"/>
      <c r="N27" s="1134"/>
      <c r="O27" s="1134"/>
      <c r="P27" s="3191"/>
      <c r="Q27" s="1813" t="str">
        <f t="shared" ref="Q27:Q47" si="11">B27</f>
        <v>楼层</v>
      </c>
      <c r="R27" s="775" t="s">
        <v>17</v>
      </c>
      <c r="S27" s="776">
        <f>F27</f>
        <v>100</v>
      </c>
      <c r="T27" s="775" t="s">
        <v>17</v>
      </c>
      <c r="U27" s="776">
        <f>H27</f>
        <v>100</v>
      </c>
      <c r="V27" s="775" t="s">
        <v>17</v>
      </c>
      <c r="W27" s="776">
        <f>J27</f>
        <v>100</v>
      </c>
      <c r="X27" s="1816"/>
      <c r="Y27" s="3193"/>
      <c r="Z27" s="1817" t="str">
        <f>Q27</f>
        <v>楼层</v>
      </c>
      <c r="AA27" s="1814">
        <f t="shared" si="3"/>
        <v>1</v>
      </c>
      <c r="AB27" s="1814">
        <f t="shared" si="4"/>
        <v>1</v>
      </c>
      <c r="AC27" s="2675">
        <f t="shared" si="5"/>
        <v>1</v>
      </c>
    </row>
    <row r="28" spans="1:29" s="117" customFormat="1" ht="15">
      <c r="A28" s="432"/>
      <c r="B28" s="632" t="s">
        <v>2695</v>
      </c>
      <c r="C28" s="2678"/>
      <c r="D28" s="463">
        <v>100</v>
      </c>
      <c r="E28" s="2666"/>
      <c r="F28" s="463">
        <f>SUMIF(91:91,E28,92:92)-SUMIF(91:91,C28,92:92)+100</f>
        <v>100</v>
      </c>
      <c r="G28" s="2678"/>
      <c r="H28" s="463">
        <f>SUMIF(91:91,G28,92:92)-SUMIF(91:91,C28,92:92)+100</f>
        <v>100</v>
      </c>
      <c r="I28" s="2666"/>
      <c r="J28" s="463">
        <f>SUMIF(91:91,I28,92:92)-SUMIF(91:91,C28,92:92)+100</f>
        <v>100</v>
      </c>
      <c r="K28" s="613"/>
      <c r="L28" s="1135"/>
      <c r="M28" s="1136"/>
      <c r="N28" s="1136"/>
      <c r="O28" s="1136"/>
      <c r="P28" s="3191"/>
      <c r="Q28" s="1798" t="str">
        <f t="shared" si="11"/>
        <v>朝向</v>
      </c>
      <c r="R28" s="771" t="s">
        <v>17</v>
      </c>
      <c r="S28" s="772">
        <f>F28</f>
        <v>100</v>
      </c>
      <c r="T28" s="771" t="s">
        <v>17</v>
      </c>
      <c r="U28" s="772">
        <f>H28</f>
        <v>100</v>
      </c>
      <c r="V28" s="771" t="s">
        <v>17</v>
      </c>
      <c r="W28" s="772">
        <f>J28</f>
        <v>100</v>
      </c>
      <c r="X28" s="773"/>
      <c r="Y28" s="3193"/>
      <c r="Z28" s="55" t="str">
        <f>Q28</f>
        <v>朝向</v>
      </c>
      <c r="AA28" s="1814">
        <f>D28/F28</f>
        <v>1</v>
      </c>
      <c r="AB28" s="1814">
        <f>D28/H28</f>
        <v>1</v>
      </c>
      <c r="AC28" s="2675">
        <f>D28/J28</f>
        <v>1</v>
      </c>
    </row>
    <row r="29" spans="1:29" ht="15">
      <c r="A29" s="429"/>
      <c r="B29" s="2679">
        <v>111</v>
      </c>
      <c r="C29" s="2617"/>
      <c r="D29" s="436">
        <v>100</v>
      </c>
      <c r="E29" s="433"/>
      <c r="F29" s="436">
        <f>SUMIF(93:93,E29,94:94)-SUMIF(93:93,C29,94:94)+100</f>
        <v>100</v>
      </c>
      <c r="G29" s="2673"/>
      <c r="H29" s="436">
        <f>SUMIF(93:93,G29,94:94)-SUMIF(93:93,C29,94:94)+100</f>
        <v>100</v>
      </c>
      <c r="I29" s="433"/>
      <c r="J29" s="436">
        <f>SUMIF(93:93,I29,94:94)-SUMIF(93:93,C29,94:94)+100</f>
        <v>100</v>
      </c>
      <c r="K29" s="614"/>
      <c r="L29" s="1143"/>
      <c r="M29" s="1134"/>
      <c r="N29" s="1134"/>
      <c r="O29" s="1134"/>
      <c r="P29" s="3191"/>
      <c r="Q29" s="1813">
        <f t="shared" si="11"/>
        <v>111</v>
      </c>
      <c r="R29" s="775" t="s">
        <v>17</v>
      </c>
      <c r="S29" s="776">
        <f t="shared" ref="S29:S47" si="12">F29</f>
        <v>100</v>
      </c>
      <c r="T29" s="775" t="s">
        <v>17</v>
      </c>
      <c r="U29" s="776">
        <f t="shared" ref="U29:U47" si="13">H29</f>
        <v>100</v>
      </c>
      <c r="V29" s="775" t="s">
        <v>17</v>
      </c>
      <c r="W29" s="776">
        <f t="shared" ref="W29:W47" si="14">J29</f>
        <v>100</v>
      </c>
      <c r="X29" s="1816"/>
      <c r="Y29" s="3193"/>
      <c r="Z29" s="1817">
        <f t="shared" ref="Z29:Z47" si="15">Q29</f>
        <v>111</v>
      </c>
      <c r="AA29" s="1814">
        <f t="shared" si="3"/>
        <v>1</v>
      </c>
      <c r="AB29" s="1814">
        <f t="shared" si="4"/>
        <v>1</v>
      </c>
      <c r="AC29" s="2675">
        <f t="shared" si="5"/>
        <v>1</v>
      </c>
    </row>
    <row r="30" spans="1:29" ht="15">
      <c r="A30" s="429"/>
      <c r="B30" s="2679">
        <v>111</v>
      </c>
      <c r="C30" s="2617"/>
      <c r="D30" s="436">
        <v>100</v>
      </c>
      <c r="E30" s="433"/>
      <c r="F30" s="436">
        <f>SUMIF(95:95,E30,96:96)-SUMIF(95:95,C30,96:96)+100</f>
        <v>100</v>
      </c>
      <c r="G30" s="2673"/>
      <c r="H30" s="436">
        <f>SUMIF(95:95,G30,96:96)-SUMIF(95:95,C30,96:96)+100</f>
        <v>100</v>
      </c>
      <c r="I30" s="433"/>
      <c r="J30" s="436">
        <f>SUMIF(95:95,I30,96:96)-SUMIF(95:95,C30,96:96)+100</f>
        <v>100</v>
      </c>
      <c r="K30" s="614"/>
      <c r="L30" s="1143"/>
      <c r="M30" s="1134"/>
      <c r="N30" s="1134"/>
      <c r="O30" s="1134"/>
      <c r="P30" s="3191"/>
      <c r="Q30" s="1813">
        <f t="shared" si="11"/>
        <v>111</v>
      </c>
      <c r="R30" s="775" t="s">
        <v>17</v>
      </c>
      <c r="S30" s="776">
        <f t="shared" si="12"/>
        <v>100</v>
      </c>
      <c r="T30" s="775" t="s">
        <v>17</v>
      </c>
      <c r="U30" s="776">
        <f t="shared" si="13"/>
        <v>100</v>
      </c>
      <c r="V30" s="775" t="s">
        <v>17</v>
      </c>
      <c r="W30" s="776">
        <f t="shared" si="14"/>
        <v>100</v>
      </c>
      <c r="X30" s="1816"/>
      <c r="Y30" s="3193"/>
      <c r="Z30" s="1817">
        <f t="shared" si="15"/>
        <v>111</v>
      </c>
      <c r="AA30" s="1814">
        <f t="shared" si="3"/>
        <v>1</v>
      </c>
      <c r="AB30" s="1814">
        <f t="shared" si="4"/>
        <v>1</v>
      </c>
      <c r="AC30" s="2675">
        <f t="shared" si="5"/>
        <v>1</v>
      </c>
    </row>
    <row r="31" spans="1:29" ht="15">
      <c r="A31" s="429"/>
      <c r="B31" s="2679">
        <v>111</v>
      </c>
      <c r="C31" s="2617"/>
      <c r="D31" s="436">
        <v>100</v>
      </c>
      <c r="E31" s="433"/>
      <c r="F31" s="436">
        <f>SUMIF(97:97,E31,98:98)-SUMIF(97:97,C31,98:98)+100</f>
        <v>100</v>
      </c>
      <c r="G31" s="2673"/>
      <c r="H31" s="436">
        <f>SUMIF(97:97,G31,98:98)-SUMIF(97:97,C31,98:98)+100</f>
        <v>100</v>
      </c>
      <c r="I31" s="433"/>
      <c r="J31" s="436">
        <f>SUMIF(97:97,I31,98:98)-SUMIF(97:97,C31,98:98)+100</f>
        <v>100</v>
      </c>
      <c r="K31" s="614"/>
      <c r="L31" s="1143"/>
      <c r="M31" s="1134"/>
      <c r="N31" s="1134"/>
      <c r="O31" s="1134"/>
      <c r="P31" s="3191"/>
      <c r="Q31" s="1813">
        <f t="shared" si="11"/>
        <v>111</v>
      </c>
      <c r="R31" s="775" t="s">
        <v>17</v>
      </c>
      <c r="S31" s="776">
        <f t="shared" si="12"/>
        <v>100</v>
      </c>
      <c r="T31" s="775" t="s">
        <v>17</v>
      </c>
      <c r="U31" s="776">
        <f t="shared" si="13"/>
        <v>100</v>
      </c>
      <c r="V31" s="775" t="s">
        <v>17</v>
      </c>
      <c r="W31" s="776">
        <f t="shared" si="14"/>
        <v>100</v>
      </c>
      <c r="X31" s="1816"/>
      <c r="Y31" s="3193"/>
      <c r="Z31" s="1817">
        <f t="shared" si="15"/>
        <v>111</v>
      </c>
      <c r="AA31" s="1814">
        <f t="shared" si="3"/>
        <v>1</v>
      </c>
      <c r="AB31" s="1814">
        <f t="shared" si="4"/>
        <v>1</v>
      </c>
      <c r="AC31" s="2675">
        <f t="shared" si="5"/>
        <v>1</v>
      </c>
    </row>
    <row r="32" spans="1:29" ht="15.75" thickBot="1">
      <c r="A32" s="437"/>
      <c r="B32" s="636">
        <v>111</v>
      </c>
      <c r="C32" s="2618"/>
      <c r="D32" s="439">
        <v>100</v>
      </c>
      <c r="E32" s="629"/>
      <c r="F32" s="439">
        <f>SUMIF(99:99,E32,100:100)-SUMIF(99:99,C32,100:100)+100</f>
        <v>100</v>
      </c>
      <c r="G32" s="2673"/>
      <c r="H32" s="439">
        <f>SUMIF(99:99,G32,100:100)-SUMIF(99:99,C32,100:100)+100</f>
        <v>100</v>
      </c>
      <c r="I32" s="433"/>
      <c r="J32" s="439">
        <f>SUMIF(99:99,I32,100:100)-SUMIF(99:99,C32,100:100)+100</f>
        <v>100</v>
      </c>
      <c r="K32" s="614"/>
      <c r="L32" s="1143"/>
      <c r="M32" s="1134"/>
      <c r="N32" s="1134"/>
      <c r="O32" s="1134"/>
      <c r="P32" s="3191"/>
      <c r="Q32" s="1813">
        <f t="shared" si="11"/>
        <v>111</v>
      </c>
      <c r="R32" s="775" t="s">
        <v>17</v>
      </c>
      <c r="S32" s="776">
        <f t="shared" si="12"/>
        <v>100</v>
      </c>
      <c r="T32" s="775" t="s">
        <v>17</v>
      </c>
      <c r="U32" s="776">
        <f t="shared" si="13"/>
        <v>100</v>
      </c>
      <c r="V32" s="775" t="s">
        <v>17</v>
      </c>
      <c r="W32" s="776">
        <f t="shared" si="14"/>
        <v>100</v>
      </c>
      <c r="X32" s="1816"/>
      <c r="Y32" s="3193"/>
      <c r="Z32" s="1817">
        <f t="shared" si="15"/>
        <v>111</v>
      </c>
      <c r="AA32" s="1814">
        <f t="shared" si="3"/>
        <v>1</v>
      </c>
      <c r="AB32" s="1814">
        <f t="shared" si="4"/>
        <v>1</v>
      </c>
      <c r="AC32" s="2675">
        <f t="shared" si="5"/>
        <v>1</v>
      </c>
    </row>
    <row r="33" spans="1:29" ht="15">
      <c r="A33" s="441" t="s">
        <v>2566</v>
      </c>
      <c r="B33" s="71" t="s">
        <v>2696</v>
      </c>
      <c r="C33" s="2680"/>
      <c r="D33" s="468">
        <v>100</v>
      </c>
      <c r="E33" s="2680"/>
      <c r="F33" s="462">
        <f>SUMIF(101:101,E33,102:102)-SUMIF(101:101,C33,102:102)+100</f>
        <v>100</v>
      </c>
      <c r="G33" s="2680"/>
      <c r="H33" s="436">
        <f>SUMIF(101:101,G33,102:102)-SUMIF(101:101,C33,102:102)+100</f>
        <v>100</v>
      </c>
      <c r="I33" s="2680"/>
      <c r="J33" s="468">
        <f>SUMIF(101:101,I33,102:102)-SUMIF(101:101,C33,102:102)+100</f>
        <v>100</v>
      </c>
      <c r="K33" s="613"/>
      <c r="L33" s="1143"/>
      <c r="M33" s="1134"/>
      <c r="N33" s="1134"/>
      <c r="O33" s="1134"/>
      <c r="P33" s="3194" t="s">
        <v>2568</v>
      </c>
      <c r="Q33" s="1813" t="str">
        <f t="shared" si="11"/>
        <v>建筑类型</v>
      </c>
      <c r="R33" s="775" t="s">
        <v>17</v>
      </c>
      <c r="S33" s="776">
        <f t="shared" si="12"/>
        <v>100</v>
      </c>
      <c r="T33" s="775" t="s">
        <v>17</v>
      </c>
      <c r="U33" s="776">
        <f t="shared" si="13"/>
        <v>100</v>
      </c>
      <c r="V33" s="775" t="s">
        <v>17</v>
      </c>
      <c r="W33" s="776">
        <f t="shared" si="14"/>
        <v>100</v>
      </c>
      <c r="X33" s="1816"/>
      <c r="Y33" s="3197" t="s">
        <v>2568</v>
      </c>
      <c r="Z33" s="1817" t="str">
        <f t="shared" si="15"/>
        <v>建筑类型</v>
      </c>
      <c r="AA33" s="1814">
        <f t="shared" si="3"/>
        <v>1</v>
      </c>
      <c r="AB33" s="1814">
        <f t="shared" si="4"/>
        <v>1</v>
      </c>
      <c r="AC33" s="2675">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1"/>
      <c r="M34" s="1144"/>
      <c r="N34" s="1144"/>
      <c r="O34" s="1144"/>
      <c r="P34" s="3195"/>
      <c r="Q34" s="777" t="str">
        <f t="shared" si="11"/>
        <v>项目建筑规模</v>
      </c>
      <c r="R34" s="778" t="s">
        <v>17</v>
      </c>
      <c r="S34" s="779" t="e">
        <f t="shared" si="12"/>
        <v>#N/A</v>
      </c>
      <c r="T34" s="778" t="s">
        <v>17</v>
      </c>
      <c r="U34" s="779" t="e">
        <f t="shared" si="13"/>
        <v>#N/A</v>
      </c>
      <c r="V34" s="778" t="s">
        <v>17</v>
      </c>
      <c r="W34" s="779" t="e">
        <f t="shared" si="14"/>
        <v>#N/A</v>
      </c>
      <c r="X34" s="780"/>
      <c r="Y34" s="3197"/>
      <c r="Z34" s="781" t="str">
        <f t="shared" si="15"/>
        <v>项目建筑规模</v>
      </c>
      <c r="AA34" s="1814" t="e">
        <f t="shared" si="3"/>
        <v>#N/A</v>
      </c>
      <c r="AB34" s="1814" t="e">
        <f t="shared" si="4"/>
        <v>#N/A</v>
      </c>
      <c r="AC34" s="2675"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3"/>
      <c r="M35" s="1134"/>
      <c r="N35" s="1134"/>
      <c r="O35" s="1134"/>
      <c r="P35" s="3195"/>
      <c r="Q35" s="1813" t="str">
        <f t="shared" si="11"/>
        <v>建筑结构</v>
      </c>
      <c r="R35" s="775" t="s">
        <v>17</v>
      </c>
      <c r="S35" s="776">
        <f t="shared" si="12"/>
        <v>100</v>
      </c>
      <c r="T35" s="775" t="s">
        <v>17</v>
      </c>
      <c r="U35" s="776">
        <f t="shared" si="13"/>
        <v>100</v>
      </c>
      <c r="V35" s="775" t="s">
        <v>17</v>
      </c>
      <c r="W35" s="776">
        <f t="shared" si="14"/>
        <v>100</v>
      </c>
      <c r="X35" s="1816"/>
      <c r="Y35" s="3197"/>
      <c r="Z35" s="1817" t="str">
        <f t="shared" si="15"/>
        <v>建筑结构</v>
      </c>
      <c r="AA35" s="1814">
        <f t="shared" si="3"/>
        <v>1</v>
      </c>
      <c r="AB35" s="1814">
        <f t="shared" si="4"/>
        <v>1</v>
      </c>
      <c r="AC35" s="2675">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3"/>
      <c r="M36" s="1134"/>
      <c r="N36" s="1134"/>
      <c r="O36" s="1134"/>
      <c r="P36" s="3195"/>
      <c r="Q36" s="1813" t="str">
        <f t="shared" si="11"/>
        <v>公共部分装修</v>
      </c>
      <c r="R36" s="775" t="s">
        <v>17</v>
      </c>
      <c r="S36" s="776">
        <f t="shared" si="12"/>
        <v>100</v>
      </c>
      <c r="T36" s="775" t="s">
        <v>17</v>
      </c>
      <c r="U36" s="776">
        <f t="shared" si="13"/>
        <v>100</v>
      </c>
      <c r="V36" s="775" t="s">
        <v>17</v>
      </c>
      <c r="W36" s="776">
        <f t="shared" si="14"/>
        <v>100</v>
      </c>
      <c r="X36" s="1816"/>
      <c r="Y36" s="3197"/>
      <c r="Z36" s="1817" t="str">
        <f t="shared" si="15"/>
        <v>公共部分装修</v>
      </c>
      <c r="AA36" s="1814">
        <f t="shared" si="3"/>
        <v>1</v>
      </c>
      <c r="AB36" s="1814">
        <f t="shared" si="4"/>
        <v>1</v>
      </c>
      <c r="AC36" s="2675">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3"/>
      <c r="M37" s="1134"/>
      <c r="N37" s="1134"/>
      <c r="O37" s="1134"/>
      <c r="P37" s="3195"/>
      <c r="Q37" s="1813" t="str">
        <f t="shared" si="11"/>
        <v>成新度</v>
      </c>
      <c r="R37" s="775" t="s">
        <v>17</v>
      </c>
      <c r="S37" s="776" t="e">
        <f t="shared" si="12"/>
        <v>#N/A</v>
      </c>
      <c r="T37" s="775" t="s">
        <v>17</v>
      </c>
      <c r="U37" s="776" t="e">
        <f t="shared" si="13"/>
        <v>#N/A</v>
      </c>
      <c r="V37" s="775" t="s">
        <v>17</v>
      </c>
      <c r="W37" s="776" t="e">
        <f t="shared" si="14"/>
        <v>#N/A</v>
      </c>
      <c r="X37" s="1816"/>
      <c r="Y37" s="3197"/>
      <c r="Z37" s="1817" t="str">
        <f t="shared" si="15"/>
        <v>成新度</v>
      </c>
      <c r="AA37" s="1814" t="e">
        <f t="shared" si="3"/>
        <v>#N/A</v>
      </c>
      <c r="AB37" s="1814" t="e">
        <f t="shared" si="4"/>
        <v>#N/A</v>
      </c>
      <c r="AC37" s="2675"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195"/>
      <c r="Q38" s="1798" t="str">
        <f t="shared" si="11"/>
        <v>写字楼等级</v>
      </c>
      <c r="R38" s="771" t="s">
        <v>17</v>
      </c>
      <c r="S38" s="772">
        <f t="shared" si="12"/>
        <v>100</v>
      </c>
      <c r="T38" s="771" t="s">
        <v>17</v>
      </c>
      <c r="U38" s="772">
        <f t="shared" si="13"/>
        <v>100</v>
      </c>
      <c r="V38" s="771" t="s">
        <v>17</v>
      </c>
      <c r="W38" s="772">
        <f t="shared" si="14"/>
        <v>100</v>
      </c>
      <c r="X38" s="773"/>
      <c r="Y38" s="3197"/>
      <c r="Z38" s="55" t="str">
        <f t="shared" si="15"/>
        <v>写字楼等级</v>
      </c>
      <c r="AA38" s="774">
        <f t="shared" si="3"/>
        <v>1</v>
      </c>
      <c r="AB38" s="774">
        <f t="shared" si="4"/>
        <v>1</v>
      </c>
      <c r="AC38" s="2672">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3"/>
      <c r="M39" s="1134"/>
      <c r="N39" s="1134"/>
      <c r="O39" s="1134"/>
      <c r="P39" s="3195" t="s">
        <v>2568</v>
      </c>
      <c r="Q39" s="1813" t="str">
        <f t="shared" si="11"/>
        <v>物业管理</v>
      </c>
      <c r="R39" s="775" t="s">
        <v>17</v>
      </c>
      <c r="S39" s="776">
        <f t="shared" si="12"/>
        <v>100</v>
      </c>
      <c r="T39" s="775" t="s">
        <v>17</v>
      </c>
      <c r="U39" s="776">
        <f t="shared" si="13"/>
        <v>100</v>
      </c>
      <c r="V39" s="775" t="s">
        <v>17</v>
      </c>
      <c r="W39" s="776">
        <f t="shared" si="14"/>
        <v>100</v>
      </c>
      <c r="X39" s="1816"/>
      <c r="Y39" s="3197" t="s">
        <v>2568</v>
      </c>
      <c r="Z39" s="1817" t="str">
        <f t="shared" si="15"/>
        <v>物业管理</v>
      </c>
      <c r="AA39" s="1814">
        <f t="shared" si="3"/>
        <v>1</v>
      </c>
      <c r="AB39" s="1814">
        <f t="shared" si="4"/>
        <v>1</v>
      </c>
      <c r="AC39" s="2675">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3"/>
      <c r="M40" s="1134"/>
      <c r="N40" s="1134"/>
      <c r="O40" s="1134"/>
      <c r="P40" s="3195"/>
      <c r="Q40" s="1813" t="str">
        <f t="shared" si="11"/>
        <v>市政基础设施</v>
      </c>
      <c r="R40" s="775" t="s">
        <v>17</v>
      </c>
      <c r="S40" s="776">
        <f t="shared" si="12"/>
        <v>100</v>
      </c>
      <c r="T40" s="775" t="s">
        <v>17</v>
      </c>
      <c r="U40" s="776">
        <f t="shared" si="13"/>
        <v>100</v>
      </c>
      <c r="V40" s="775" t="s">
        <v>17</v>
      </c>
      <c r="W40" s="776">
        <f t="shared" si="14"/>
        <v>100</v>
      </c>
      <c r="X40" s="1816"/>
      <c r="Y40" s="3197"/>
      <c r="Z40" s="1817" t="str">
        <f t="shared" si="15"/>
        <v>市政基础设施</v>
      </c>
      <c r="AA40" s="1814">
        <f t="shared" si="3"/>
        <v>1</v>
      </c>
      <c r="AB40" s="1814">
        <f t="shared" si="4"/>
        <v>1</v>
      </c>
      <c r="AC40" s="2675">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3"/>
      <c r="M41" s="1134"/>
      <c r="N41" s="1134"/>
      <c r="O41" s="1134"/>
      <c r="P41" s="3195"/>
      <c r="Q41" s="1813" t="str">
        <f t="shared" si="11"/>
        <v>层高</v>
      </c>
      <c r="R41" s="775" t="s">
        <v>17</v>
      </c>
      <c r="S41" s="776">
        <f t="shared" si="12"/>
        <v>100</v>
      </c>
      <c r="T41" s="775" t="s">
        <v>17</v>
      </c>
      <c r="U41" s="776">
        <f t="shared" si="13"/>
        <v>100</v>
      </c>
      <c r="V41" s="775" t="s">
        <v>17</v>
      </c>
      <c r="W41" s="776">
        <f t="shared" si="14"/>
        <v>100</v>
      </c>
      <c r="X41" s="1816"/>
      <c r="Y41" s="3197"/>
      <c r="Z41" s="1817" t="str">
        <f t="shared" si="15"/>
        <v>层高</v>
      </c>
      <c r="AA41" s="1814">
        <f t="shared" si="3"/>
        <v>1</v>
      </c>
      <c r="AB41" s="1814">
        <f t="shared" si="4"/>
        <v>1</v>
      </c>
      <c r="AC41" s="2675">
        <f t="shared" si="5"/>
        <v>1</v>
      </c>
    </row>
    <row r="42" spans="1:29" s="472" customFormat="1" ht="15">
      <c r="A42" s="469"/>
      <c r="B42" s="1815"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195"/>
      <c r="Q42" s="777" t="str">
        <f t="shared" si="11"/>
        <v>单套建筑面积</v>
      </c>
      <c r="R42" s="778" t="s">
        <v>17</v>
      </c>
      <c r="S42" s="779">
        <f t="shared" si="12"/>
        <v>100</v>
      </c>
      <c r="T42" s="778" t="s">
        <v>17</v>
      </c>
      <c r="U42" s="779">
        <f t="shared" si="13"/>
        <v>100</v>
      </c>
      <c r="V42" s="778" t="s">
        <v>17</v>
      </c>
      <c r="W42" s="779">
        <f t="shared" si="14"/>
        <v>100</v>
      </c>
      <c r="X42" s="780"/>
      <c r="Y42" s="3197"/>
      <c r="Z42" s="781" t="str">
        <f t="shared" si="15"/>
        <v>单套建筑面积</v>
      </c>
      <c r="AA42" s="1814">
        <f t="shared" si="3"/>
        <v>1</v>
      </c>
      <c r="AB42" s="1814">
        <f t="shared" si="4"/>
        <v>1</v>
      </c>
      <c r="AC42" s="2675">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3"/>
      <c r="M43" s="1134"/>
      <c r="N43" s="1134"/>
      <c r="O43" s="1134"/>
      <c r="P43" s="3195"/>
      <c r="Q43" s="1813" t="str">
        <f t="shared" si="11"/>
        <v>内部装修</v>
      </c>
      <c r="R43" s="775" t="s">
        <v>17</v>
      </c>
      <c r="S43" s="776">
        <f t="shared" si="12"/>
        <v>100</v>
      </c>
      <c r="T43" s="775" t="s">
        <v>17</v>
      </c>
      <c r="U43" s="776">
        <f t="shared" si="13"/>
        <v>100</v>
      </c>
      <c r="V43" s="775" t="s">
        <v>17</v>
      </c>
      <c r="W43" s="776">
        <f t="shared" si="14"/>
        <v>100</v>
      </c>
      <c r="X43" s="1816"/>
      <c r="Y43" s="3197"/>
      <c r="Z43" s="1817" t="str">
        <f t="shared" si="15"/>
        <v>内部装修</v>
      </c>
      <c r="AA43" s="1814">
        <f t="shared" si="3"/>
        <v>1</v>
      </c>
      <c r="AB43" s="1814">
        <f t="shared" si="4"/>
        <v>1</v>
      </c>
      <c r="AC43" s="2675">
        <f t="shared" si="5"/>
        <v>1</v>
      </c>
    </row>
    <row r="44" spans="1:29" ht="15">
      <c r="A44" s="473"/>
      <c r="B44" s="423" t="s">
        <v>2579</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3"/>
      <c r="M44" s="1134"/>
      <c r="N44" s="1134"/>
      <c r="O44" s="1134"/>
      <c r="P44" s="3195"/>
      <c r="Q44" s="1813" t="str">
        <f t="shared" si="11"/>
        <v>内部装修维护情况</v>
      </c>
      <c r="R44" s="775" t="s">
        <v>17</v>
      </c>
      <c r="S44" s="776">
        <f t="shared" si="12"/>
        <v>100</v>
      </c>
      <c r="T44" s="775" t="s">
        <v>17</v>
      </c>
      <c r="U44" s="776">
        <f t="shared" si="13"/>
        <v>100</v>
      </c>
      <c r="V44" s="775" t="s">
        <v>17</v>
      </c>
      <c r="W44" s="776">
        <f t="shared" si="14"/>
        <v>100</v>
      </c>
      <c r="X44" s="1816"/>
      <c r="Y44" s="3197"/>
      <c r="Z44" s="1817" t="str">
        <f t="shared" si="15"/>
        <v>内部装修维护情况</v>
      </c>
      <c r="AA44" s="1814">
        <f t="shared" si="3"/>
        <v>1</v>
      </c>
      <c r="AB44" s="1814">
        <f t="shared" si="4"/>
        <v>1</v>
      </c>
      <c r="AC44" s="2675">
        <f t="shared" si="5"/>
        <v>1</v>
      </c>
    </row>
    <row r="45" spans="1:29" s="117" customFormat="1" ht="15">
      <c r="A45" s="474"/>
      <c r="B45" s="1389">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195"/>
      <c r="Q45" s="1798">
        <f t="shared" si="11"/>
        <v>111</v>
      </c>
      <c r="R45" s="771" t="s">
        <v>17</v>
      </c>
      <c r="S45" s="772">
        <f t="shared" si="12"/>
        <v>100</v>
      </c>
      <c r="T45" s="771" t="s">
        <v>17</v>
      </c>
      <c r="U45" s="772">
        <f t="shared" si="13"/>
        <v>100</v>
      </c>
      <c r="V45" s="771" t="s">
        <v>17</v>
      </c>
      <c r="W45" s="772">
        <f t="shared" si="14"/>
        <v>100</v>
      </c>
      <c r="X45" s="773"/>
      <c r="Y45" s="3197"/>
      <c r="Z45" s="55">
        <f t="shared" si="15"/>
        <v>111</v>
      </c>
      <c r="AA45" s="774">
        <f t="shared" si="3"/>
        <v>1</v>
      </c>
      <c r="AB45" s="774">
        <f t="shared" si="4"/>
        <v>1</v>
      </c>
      <c r="AC45" s="2672">
        <f t="shared" si="5"/>
        <v>1</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195"/>
      <c r="Q46" s="1813">
        <f t="shared" si="11"/>
        <v>111</v>
      </c>
      <c r="R46" s="775" t="s">
        <v>17</v>
      </c>
      <c r="S46" s="776">
        <f t="shared" si="12"/>
        <v>100</v>
      </c>
      <c r="T46" s="775" t="s">
        <v>17</v>
      </c>
      <c r="U46" s="776">
        <f t="shared" si="13"/>
        <v>100</v>
      </c>
      <c r="V46" s="775" t="s">
        <v>17</v>
      </c>
      <c r="W46" s="776">
        <f t="shared" si="14"/>
        <v>100</v>
      </c>
      <c r="X46" s="1816"/>
      <c r="Y46" s="3197"/>
      <c r="Z46" s="1817">
        <f t="shared" si="15"/>
        <v>111</v>
      </c>
      <c r="AA46" s="1814">
        <f t="shared" si="3"/>
        <v>1</v>
      </c>
      <c r="AB46" s="1814">
        <f t="shared" si="4"/>
        <v>1</v>
      </c>
      <c r="AC46" s="2675">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196"/>
      <c r="Q47" s="1813">
        <f t="shared" si="11"/>
        <v>111</v>
      </c>
      <c r="R47" s="775" t="s">
        <v>17</v>
      </c>
      <c r="S47" s="776">
        <f t="shared" si="12"/>
        <v>100</v>
      </c>
      <c r="T47" s="775" t="s">
        <v>17</v>
      </c>
      <c r="U47" s="776">
        <f t="shared" si="13"/>
        <v>100</v>
      </c>
      <c r="V47" s="775" t="s">
        <v>17</v>
      </c>
      <c r="W47" s="776">
        <f t="shared" si="14"/>
        <v>100</v>
      </c>
      <c r="X47" s="1816"/>
      <c r="Y47" s="3198"/>
      <c r="Z47" s="1817">
        <f t="shared" si="15"/>
        <v>111</v>
      </c>
      <c r="AA47" s="1814">
        <f t="shared" si="3"/>
        <v>1</v>
      </c>
      <c r="AB47" s="1814">
        <f t="shared" si="4"/>
        <v>1</v>
      </c>
      <c r="AC47" s="2675">
        <f t="shared" si="5"/>
        <v>1</v>
      </c>
    </row>
    <row r="48" spans="1:29" ht="15">
      <c r="A48" s="480" t="s">
        <v>2580</v>
      </c>
      <c r="B48" s="481"/>
      <c r="C48" s="1410" t="s">
        <v>1</v>
      </c>
      <c r="D48" s="1411"/>
      <c r="E48" s="1412"/>
      <c r="F48" s="1413"/>
      <c r="G48" s="1414"/>
      <c r="H48" s="1415"/>
      <c r="I48" s="1412"/>
      <c r="J48" s="486"/>
      <c r="K48" s="784"/>
      <c r="L48" s="1146"/>
      <c r="M48" s="1134"/>
      <c r="N48" s="1134"/>
      <c r="O48" s="1134"/>
      <c r="P48" s="3199" t="str">
        <f>A48</f>
        <v>成交单价（元/平方米）</v>
      </c>
      <c r="Q48" s="3185"/>
      <c r="R48" s="3186">
        <f>E48</f>
        <v>0</v>
      </c>
      <c r="S48" s="3186"/>
      <c r="T48" s="3186">
        <f>G48</f>
        <v>0</v>
      </c>
      <c r="U48" s="3186"/>
      <c r="V48" s="3186">
        <f>I48</f>
        <v>0</v>
      </c>
      <c r="W48" s="3186"/>
      <c r="X48" s="447"/>
      <c r="Y48" s="782"/>
      <c r="Z48" s="447"/>
      <c r="AA48" s="447"/>
      <c r="AB48" s="447"/>
      <c r="AC48" s="631"/>
    </row>
    <row r="49" spans="1:29" ht="15.75" thickBot="1">
      <c r="A49" s="487" t="s">
        <v>2672</v>
      </c>
      <c r="B49" s="488"/>
      <c r="C49" s="1416" t="e">
        <f>R50</f>
        <v>#DIV/0!</v>
      </c>
      <c r="D49" s="1417"/>
      <c r="E49" s="1418" t="e">
        <f>R49</f>
        <v>#DIV/0!</v>
      </c>
      <c r="F49" s="1418"/>
      <c r="G49" s="1416" t="e">
        <f>T49</f>
        <v>#DIV/0!</v>
      </c>
      <c r="H49" s="1417"/>
      <c r="I49" s="1418" t="e">
        <f>V49</f>
        <v>#DIV/0!</v>
      </c>
      <c r="J49" s="490"/>
      <c r="K49" s="785"/>
      <c r="L49" s="1146"/>
      <c r="M49" s="1134"/>
      <c r="N49" s="1134"/>
      <c r="O49" s="1134"/>
      <c r="P49" s="3199" t="str">
        <f>A49</f>
        <v>比较价值（元/平方米）</v>
      </c>
      <c r="Q49" s="3185"/>
      <c r="R49" s="3186" t="e">
        <f>IF(F1="售价",ROUND(PRODUCT(R48,AA7:AA47),0),ROUND(PRODUCT(R48,AA7:AA47),1))</f>
        <v>#DIV/0!</v>
      </c>
      <c r="S49" s="3186"/>
      <c r="T49" s="3186" t="e">
        <f>IF(F1="售价",ROUND(PRODUCT(T48,AB7:AB47),0),ROUND(PRODUCT(T48,AB7:AB47),1))</f>
        <v>#DIV/0!</v>
      </c>
      <c r="U49" s="3186"/>
      <c r="V49" s="3186" t="e">
        <f>IF(F1="售价",ROUND(PRODUCT(V48,AC7:AC47),0),ROUND(PRODUCT(V48,AC7:AC47),1))</f>
        <v>#DIV/0!</v>
      </c>
      <c r="W49" s="3186"/>
      <c r="X49" s="447"/>
      <c r="Y49" s="447"/>
      <c r="Z49" s="447"/>
      <c r="AA49" s="447"/>
      <c r="AB49" s="447"/>
      <c r="AC49" s="631"/>
    </row>
    <row r="50" spans="1:29" ht="15.75" thickBot="1">
      <c r="A50" s="493" t="s">
        <v>2673</v>
      </c>
      <c r="B50" s="494"/>
      <c r="C50" s="1420" t="e">
        <f>R50</f>
        <v>#DIV/0!</v>
      </c>
      <c r="D50" s="1420"/>
      <c r="E50" s="1420"/>
      <c r="F50" s="1420"/>
      <c r="G50" s="1420"/>
      <c r="H50" s="1420"/>
      <c r="I50" s="1420"/>
      <c r="J50" s="495"/>
      <c r="K50" s="786"/>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5"/>
      <c r="Y50" s="2655"/>
      <c r="Z50" s="2655"/>
      <c r="AA50" s="2655"/>
      <c r="AB50" s="2655"/>
      <c r="AC50" s="2656"/>
    </row>
    <row r="51" spans="1:29">
      <c r="A51" s="1147"/>
      <c r="B51" s="1147"/>
      <c r="C51" s="1147"/>
      <c r="D51" s="1147"/>
      <c r="E51" s="1147"/>
      <c r="F51" s="1147"/>
      <c r="G51" s="1150"/>
      <c r="H51" s="1147"/>
      <c r="I51" s="1147"/>
      <c r="J51" s="1147"/>
      <c r="K51" s="1109"/>
      <c r="L51" s="1110"/>
      <c r="M51" s="1147"/>
      <c r="N51" s="1147"/>
      <c r="O51" s="1147"/>
    </row>
    <row r="52" spans="1:29">
      <c r="A52" s="1147"/>
      <c r="B52" s="1147"/>
      <c r="C52" s="1147"/>
      <c r="D52" s="1147"/>
      <c r="E52" s="1147"/>
      <c r="F52" s="1147"/>
      <c r="G52" s="1147"/>
      <c r="H52" s="1147"/>
      <c r="I52" s="1147"/>
      <c r="J52" s="1147"/>
      <c r="K52" s="1109"/>
      <c r="L52" s="1110"/>
      <c r="M52" s="1147"/>
      <c r="N52" s="1147"/>
      <c r="O52" s="1147"/>
    </row>
    <row r="53" spans="1:29" ht="13.5" customHeight="1">
      <c r="A53" s="1147"/>
      <c r="B53" s="1147"/>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7"/>
      <c r="N53" s="1147"/>
      <c r="O53" s="1147"/>
    </row>
    <row r="54" spans="1:29" ht="13.5" customHeight="1">
      <c r="A54" s="1147"/>
      <c r="B54" s="1147"/>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7"/>
      <c r="N54" s="1147"/>
      <c r="O54" s="1147"/>
    </row>
    <row r="55" spans="1:29" s="503" customFormat="1" ht="13.5" customHeight="1">
      <c r="A55" s="1148"/>
      <c r="B55" s="1148"/>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1"/>
      <c r="L55" s="1152"/>
      <c r="M55" s="1148"/>
      <c r="N55" s="1148"/>
      <c r="O55" s="1148"/>
      <c r="P55" s="2681"/>
    </row>
    <row r="56" spans="1:29" s="503"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9"/>
      <c r="L57" s="1110"/>
      <c r="M57" s="1147"/>
      <c r="N57" s="1147"/>
      <c r="O57" s="1147"/>
    </row>
    <row r="58" spans="1:29" ht="21.75" thickBot="1">
      <c r="A58" s="764" t="s">
        <v>2677</v>
      </c>
      <c r="B58" s="760"/>
      <c r="C58" s="765"/>
      <c r="D58" s="765"/>
      <c r="E58" s="765"/>
      <c r="F58" s="766"/>
      <c r="G58" s="766"/>
      <c r="H58" s="765"/>
      <c r="I58" s="765"/>
      <c r="J58" s="765"/>
      <c r="K58" s="767"/>
      <c r="L58" s="1164"/>
      <c r="M58" s="1162"/>
      <c r="N58" s="1162"/>
      <c r="O58" s="1162"/>
      <c r="P58" s="2682"/>
      <c r="Q58" s="505"/>
    </row>
    <row r="59" spans="1:29" s="509" customFormat="1" ht="15">
      <c r="A59" s="506" t="s">
        <v>2551</v>
      </c>
      <c r="B59" s="507"/>
      <c r="C59" s="1578" t="str">
        <f>YEAR(C7)&amp;"-"&amp;MONTH(C7)</f>
        <v>2017-10</v>
      </c>
      <c r="D59" s="1579">
        <f>EDATE(C59,-1)</f>
        <v>42979</v>
      </c>
      <c r="E59" s="1579">
        <f>EDATE(D59,-1)</f>
        <v>42948</v>
      </c>
      <c r="F59" s="1579">
        <f t="shared" ref="F59:O59" si="16">EDATE(E59,-1)</f>
        <v>42917</v>
      </c>
      <c r="G59" s="1579">
        <f t="shared" si="16"/>
        <v>42887</v>
      </c>
      <c r="H59" s="1579">
        <f t="shared" si="16"/>
        <v>42856</v>
      </c>
      <c r="I59" s="1579">
        <f t="shared" si="16"/>
        <v>42826</v>
      </c>
      <c r="J59" s="1579">
        <f t="shared" si="16"/>
        <v>42795</v>
      </c>
      <c r="K59" s="1579">
        <f t="shared" si="16"/>
        <v>42767</v>
      </c>
      <c r="L59" s="1579">
        <f t="shared" si="16"/>
        <v>42736</v>
      </c>
      <c r="M59" s="1579">
        <f t="shared" si="16"/>
        <v>42705</v>
      </c>
      <c r="N59" s="1579">
        <f t="shared" si="16"/>
        <v>42675</v>
      </c>
      <c r="O59" s="1579">
        <f t="shared" si="16"/>
        <v>42644</v>
      </c>
      <c r="P59" s="1575"/>
    </row>
    <row r="60" spans="1:29" s="117" customFormat="1" ht="15">
      <c r="A60" s="510"/>
      <c r="B60" s="511"/>
      <c r="C60" s="1577">
        <v>100</v>
      </c>
      <c r="D60" s="513"/>
      <c r="E60" s="513"/>
      <c r="F60" s="513"/>
      <c r="G60" s="513"/>
      <c r="H60" s="513"/>
      <c r="I60" s="513"/>
      <c r="J60" s="513"/>
      <c r="K60" s="513"/>
      <c r="L60" s="513"/>
      <c r="M60" s="514"/>
      <c r="N60" s="513"/>
      <c r="O60" s="514"/>
      <c r="P60" s="2683"/>
    </row>
    <row r="61" spans="1:29" s="117" customFormat="1" ht="15.75" thickBot="1">
      <c r="A61" s="516" t="s">
        <v>2588</v>
      </c>
      <c r="B61" s="517"/>
      <c r="C61" s="518"/>
      <c r="D61" s="519"/>
      <c r="E61" s="519"/>
      <c r="F61" s="519"/>
      <c r="G61" s="519"/>
      <c r="H61" s="519"/>
      <c r="I61" s="519"/>
      <c r="J61" s="519"/>
      <c r="K61" s="519"/>
      <c r="L61" s="519"/>
      <c r="M61" s="520"/>
      <c r="N61" s="519"/>
      <c r="O61" s="520"/>
      <c r="P61" s="2683"/>
      <c r="Q61" s="505"/>
    </row>
    <row r="62" spans="1:29" s="117" customFormat="1" ht="15">
      <c r="A62" s="522" t="s">
        <v>2553</v>
      </c>
      <c r="B62" s="511"/>
      <c r="C62" s="523" t="s">
        <v>2655</v>
      </c>
      <c r="D62" s="524"/>
      <c r="E62" s="524"/>
      <c r="F62" s="524"/>
      <c r="G62" s="524"/>
      <c r="H62" s="524"/>
      <c r="I62" s="524"/>
      <c r="J62" s="524"/>
      <c r="K62" s="524"/>
      <c r="L62" s="525"/>
      <c r="M62" s="526"/>
      <c r="N62" s="1154"/>
      <c r="O62" s="1154"/>
      <c r="P62" s="2684"/>
      <c r="Q62" s="505"/>
    </row>
    <row r="63" spans="1:29" s="117" customFormat="1" ht="15.75" thickBot="1">
      <c r="A63" s="522"/>
      <c r="B63" s="511"/>
      <c r="C63" s="512">
        <v>100</v>
      </c>
      <c r="D63" s="513"/>
      <c r="E63" s="513"/>
      <c r="F63" s="513"/>
      <c r="G63" s="513"/>
      <c r="H63" s="513"/>
      <c r="I63" s="513"/>
      <c r="J63" s="513"/>
      <c r="K63" s="513"/>
      <c r="L63" s="513"/>
      <c r="M63" s="515"/>
      <c r="N63" s="1154"/>
      <c r="O63" s="1154"/>
      <c r="P63" s="2683"/>
      <c r="Q63" s="505"/>
    </row>
    <row r="64" spans="1:29">
      <c r="A64" s="528" t="s">
        <v>2591</v>
      </c>
      <c r="B64" s="529" t="s">
        <v>2557</v>
      </c>
      <c r="C64" s="530">
        <f>C9</f>
        <v>0</v>
      </c>
      <c r="D64" s="531"/>
      <c r="E64" s="531"/>
      <c r="F64" s="531"/>
      <c r="G64" s="531"/>
      <c r="H64" s="531"/>
      <c r="I64" s="531"/>
      <c r="J64" s="531"/>
      <c r="K64" s="532"/>
      <c r="L64" s="533"/>
      <c r="M64" s="534"/>
      <c r="N64" s="1155"/>
      <c r="O64" s="1155"/>
      <c r="P64" s="2685"/>
      <c r="Q64" s="505"/>
    </row>
    <row r="65" spans="1:17" ht="15.75" thickBot="1">
      <c r="A65" s="535"/>
      <c r="B65" s="536"/>
      <c r="C65" s="537">
        <v>100</v>
      </c>
      <c r="D65" s="537"/>
      <c r="E65" s="537"/>
      <c r="F65" s="537"/>
      <c r="G65" s="537"/>
      <c r="H65" s="537"/>
      <c r="I65" s="537"/>
      <c r="J65" s="537"/>
      <c r="K65" s="537"/>
      <c r="L65" s="537"/>
      <c r="M65" s="538"/>
      <c r="N65" s="1156"/>
      <c r="O65" s="1156"/>
      <c r="P65" s="2685"/>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5"/>
      <c r="O66" s="1155"/>
      <c r="P66" s="268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5"/>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5"/>
      <c r="Q68" s="505"/>
    </row>
    <row r="69" spans="1:17" ht="15">
      <c r="A69" s="535"/>
      <c r="B69" s="549"/>
      <c r="C69" s="550"/>
      <c r="D69" s="550"/>
      <c r="E69" s="550"/>
      <c r="F69" s="550"/>
      <c r="G69" s="550"/>
      <c r="H69" s="550"/>
      <c r="I69" s="550"/>
      <c r="J69" s="550"/>
      <c r="K69" s="551"/>
      <c r="L69" s="552"/>
      <c r="M69" s="553"/>
      <c r="N69" s="1155"/>
      <c r="O69" s="1155"/>
      <c r="P69" s="268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5"/>
      <c r="Q70" s="505"/>
    </row>
    <row r="71" spans="1:17" s="472" customFormat="1" ht="15.75" thickTop="1">
      <c r="A71" s="554"/>
      <c r="B71" s="539">
        <f>B12</f>
        <v>111</v>
      </c>
      <c r="C71" s="555"/>
      <c r="D71" s="555"/>
      <c r="E71" s="555"/>
      <c r="F71" s="555"/>
      <c r="G71" s="555"/>
      <c r="H71" s="556"/>
      <c r="I71" s="556"/>
      <c r="J71" s="556"/>
      <c r="K71" s="556"/>
      <c r="L71" s="557"/>
      <c r="M71" s="558"/>
      <c r="N71" s="1157"/>
      <c r="O71" s="1157"/>
      <c r="P71" s="2686"/>
      <c r="Q71" s="560"/>
    </row>
    <row r="72" spans="1:17" s="472" customFormat="1" ht="15.75" thickBot="1">
      <c r="A72" s="554"/>
      <c r="B72" s="544"/>
      <c r="C72" s="561"/>
      <c r="D72" s="537"/>
      <c r="E72" s="537"/>
      <c r="F72" s="537"/>
      <c r="G72" s="537"/>
      <c r="H72" s="537"/>
      <c r="I72" s="537"/>
      <c r="J72" s="537"/>
      <c r="K72" s="537"/>
      <c r="L72" s="537"/>
      <c r="M72" s="538"/>
      <c r="N72" s="1156"/>
      <c r="O72" s="1156"/>
      <c r="P72" s="2686"/>
      <c r="Q72" s="560"/>
    </row>
    <row r="73" spans="1:17" s="472" customFormat="1" ht="15.75" thickTop="1">
      <c r="A73" s="554"/>
      <c r="B73" s="539">
        <f>B13</f>
        <v>111</v>
      </c>
      <c r="C73" s="555"/>
      <c r="D73" s="555"/>
      <c r="E73" s="555"/>
      <c r="F73" s="555"/>
      <c r="G73" s="555"/>
      <c r="H73" s="556"/>
      <c r="I73" s="556"/>
      <c r="J73" s="556"/>
      <c r="K73" s="556"/>
      <c r="L73" s="557"/>
      <c r="M73" s="558"/>
      <c r="N73" s="1157"/>
      <c r="O73" s="1157"/>
      <c r="P73" s="2687"/>
      <c r="Q73" s="562"/>
    </row>
    <row r="74" spans="1:17" s="472" customFormat="1" ht="15.75" thickBot="1">
      <c r="A74" s="554"/>
      <c r="B74" s="544"/>
      <c r="C74" s="561"/>
      <c r="D74" s="561"/>
      <c r="E74" s="561"/>
      <c r="F74" s="561"/>
      <c r="G74" s="561"/>
      <c r="H74" s="563"/>
      <c r="I74" s="563"/>
      <c r="J74" s="563"/>
      <c r="K74" s="563"/>
      <c r="L74" s="563"/>
      <c r="M74" s="564"/>
      <c r="N74" s="1157"/>
      <c r="O74" s="1157"/>
      <c r="P74" s="2686"/>
      <c r="Q74" s="560"/>
    </row>
    <row r="75" spans="1:17" s="472" customFormat="1" ht="15.75" thickTop="1">
      <c r="A75" s="554"/>
      <c r="B75" s="547">
        <f>B14</f>
        <v>111</v>
      </c>
      <c r="C75" s="524"/>
      <c r="D75" s="524"/>
      <c r="E75" s="524"/>
      <c r="F75" s="524"/>
      <c r="G75" s="524"/>
      <c r="H75" s="565"/>
      <c r="I75" s="565"/>
      <c r="J75" s="565"/>
      <c r="K75" s="565"/>
      <c r="L75" s="566"/>
      <c r="M75" s="567"/>
      <c r="N75" s="1157"/>
      <c r="O75" s="1157"/>
      <c r="P75" s="2688"/>
      <c r="Q75" s="560"/>
    </row>
    <row r="76" spans="1:17" s="472" customFormat="1" ht="15.75" thickBot="1">
      <c r="A76" s="569"/>
      <c r="B76" s="570"/>
      <c r="C76" s="571"/>
      <c r="D76" s="571"/>
      <c r="E76" s="571"/>
      <c r="F76" s="571"/>
      <c r="G76" s="571"/>
      <c r="H76" s="572"/>
      <c r="I76" s="572"/>
      <c r="J76" s="572"/>
      <c r="K76" s="572"/>
      <c r="L76" s="572"/>
      <c r="M76" s="573"/>
      <c r="N76" s="1157"/>
      <c r="O76" s="1157"/>
      <c r="P76" s="2686"/>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5"/>
      <c r="O77" s="1155"/>
      <c r="P77" s="268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5"/>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5"/>
      <c r="O79" s="1155"/>
      <c r="P79" s="268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5"/>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5"/>
      <c r="O81" s="1155"/>
      <c r="P81" s="268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5"/>
      <c r="Q82" s="505"/>
    </row>
    <row r="83" spans="1:17" ht="15.75" thickTop="1">
      <c r="A83" s="535"/>
      <c r="B83" s="547" t="s">
        <v>2692</v>
      </c>
      <c r="C83" s="661" t="s">
        <v>2678</v>
      </c>
      <c r="D83" s="661" t="s">
        <v>2679</v>
      </c>
      <c r="E83" s="661" t="s">
        <v>2680</v>
      </c>
      <c r="F83" s="661" t="s">
        <v>2681</v>
      </c>
      <c r="G83" s="661" t="s">
        <v>2682</v>
      </c>
      <c r="H83" s="540"/>
      <c r="I83" s="540"/>
      <c r="J83" s="540"/>
      <c r="K83" s="540"/>
      <c r="L83" s="540"/>
      <c r="M83" s="1385"/>
      <c r="N83" s="1156"/>
      <c r="O83" s="1156"/>
      <c r="P83" s="268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5"/>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5"/>
      <c r="O85" s="1155"/>
      <c r="P85" s="268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5"/>
      <c r="Q86" s="505"/>
    </row>
    <row r="87" spans="1:17" s="117" customFormat="1" ht="27.75" thickTop="1">
      <c r="A87" s="580"/>
      <c r="B87" s="539" t="s">
        <v>2702</v>
      </c>
      <c r="C87" s="555"/>
      <c r="D87" s="555"/>
      <c r="E87" s="555"/>
      <c r="F87" s="555"/>
      <c r="G87" s="555"/>
      <c r="H87" s="555"/>
      <c r="I87" s="555"/>
      <c r="J87" s="555"/>
      <c r="K87" s="555"/>
      <c r="L87" s="581"/>
      <c r="M87" s="582"/>
      <c r="N87" s="1154"/>
      <c r="O87" s="1154"/>
      <c r="P87" s="268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5"/>
      <c r="Q88" s="505"/>
    </row>
    <row r="89" spans="1:17" s="117" customFormat="1" ht="15.75" thickTop="1">
      <c r="A89" s="580"/>
      <c r="B89" s="539" t="str">
        <f>B27</f>
        <v>楼层</v>
      </c>
      <c r="C89" s="555"/>
      <c r="D89" s="555"/>
      <c r="E89" s="555"/>
      <c r="F89" s="2636"/>
      <c r="G89" s="555"/>
      <c r="H89" s="555"/>
      <c r="I89" s="555"/>
      <c r="J89" s="555"/>
      <c r="K89" s="555"/>
      <c r="L89" s="555"/>
      <c r="M89" s="582"/>
      <c r="N89" s="1154"/>
      <c r="O89" s="1154"/>
      <c r="P89" s="268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6"/>
      <c r="O90" s="1156"/>
      <c r="P90" s="2685"/>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8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6"/>
      <c r="Q92" s="560"/>
    </row>
    <row r="93" spans="1:17" ht="15.75" thickTop="1">
      <c r="A93" s="535"/>
      <c r="B93" s="539">
        <f>B29</f>
        <v>111</v>
      </c>
      <c r="C93" s="555"/>
      <c r="D93" s="555"/>
      <c r="E93" s="555"/>
      <c r="F93" s="555"/>
      <c r="G93" s="555"/>
      <c r="H93" s="555"/>
      <c r="I93" s="555"/>
      <c r="J93" s="555"/>
      <c r="K93" s="555"/>
      <c r="L93" s="581"/>
      <c r="M93" s="582"/>
      <c r="N93" s="1155"/>
      <c r="O93" s="1155"/>
      <c r="P93" s="2685"/>
      <c r="Q93" s="505"/>
    </row>
    <row r="94" spans="1:17" ht="15.75" thickBot="1">
      <c r="A94" s="535"/>
      <c r="B94" s="544"/>
      <c r="C94" s="561"/>
      <c r="D94" s="537"/>
      <c r="E94" s="537"/>
      <c r="F94" s="537"/>
      <c r="G94" s="537"/>
      <c r="H94" s="537"/>
      <c r="I94" s="537"/>
      <c r="J94" s="537"/>
      <c r="K94" s="537"/>
      <c r="L94" s="537"/>
      <c r="M94" s="538"/>
      <c r="N94" s="1156"/>
      <c r="O94" s="1156"/>
      <c r="P94" s="2685"/>
      <c r="Q94" s="505"/>
    </row>
    <row r="95" spans="1:17" ht="15.75" thickTop="1">
      <c r="A95" s="535"/>
      <c r="B95" s="539">
        <f>B30</f>
        <v>111</v>
      </c>
      <c r="C95" s="555"/>
      <c r="D95" s="555"/>
      <c r="E95" s="555"/>
      <c r="F95" s="555"/>
      <c r="G95" s="584"/>
      <c r="H95" s="584"/>
      <c r="I95" s="584"/>
      <c r="J95" s="584"/>
      <c r="K95" s="585"/>
      <c r="L95" s="586"/>
      <c r="M95" s="587"/>
      <c r="N95" s="1155"/>
      <c r="O95" s="1155"/>
      <c r="P95" s="2685"/>
      <c r="Q95" s="505"/>
    </row>
    <row r="96" spans="1:17" ht="15.75" thickBot="1">
      <c r="A96" s="535"/>
      <c r="B96" s="544"/>
      <c r="C96" s="561"/>
      <c r="D96" s="561"/>
      <c r="E96" s="561"/>
      <c r="F96" s="561"/>
      <c r="G96" s="537"/>
      <c r="H96" s="537"/>
      <c r="I96" s="537"/>
      <c r="J96" s="537"/>
      <c r="K96" s="537"/>
      <c r="L96" s="537"/>
      <c r="M96" s="538"/>
      <c r="N96" s="1156"/>
      <c r="O96" s="1156"/>
      <c r="P96" s="2685"/>
      <c r="Q96" s="505"/>
    </row>
    <row r="97" spans="1:17" ht="15.75" thickTop="1">
      <c r="A97" s="535"/>
      <c r="B97" s="539">
        <f>B31</f>
        <v>111</v>
      </c>
      <c r="C97" s="555"/>
      <c r="D97" s="555"/>
      <c r="E97" s="555"/>
      <c r="F97" s="555"/>
      <c r="G97" s="584"/>
      <c r="H97" s="584"/>
      <c r="I97" s="584"/>
      <c r="J97" s="584"/>
      <c r="K97" s="585"/>
      <c r="L97" s="586"/>
      <c r="M97" s="587"/>
      <c r="N97" s="1155"/>
      <c r="O97" s="1155"/>
      <c r="P97" s="2685"/>
      <c r="Q97" s="505"/>
    </row>
    <row r="98" spans="1:17" ht="15.75" thickBot="1">
      <c r="A98" s="535"/>
      <c r="B98" s="544"/>
      <c r="C98" s="561"/>
      <c r="D98" s="537"/>
      <c r="E98" s="537"/>
      <c r="F98" s="537"/>
      <c r="G98" s="537"/>
      <c r="H98" s="537"/>
      <c r="I98" s="537"/>
      <c r="J98" s="537"/>
      <c r="K98" s="537"/>
      <c r="L98" s="537"/>
      <c r="M98" s="538"/>
      <c r="N98" s="1156"/>
      <c r="O98" s="1156"/>
      <c r="P98" s="2685"/>
      <c r="Q98" s="505"/>
    </row>
    <row r="99" spans="1:17" ht="15.75" thickTop="1">
      <c r="A99" s="535"/>
      <c r="B99" s="547">
        <f>B32</f>
        <v>111</v>
      </c>
      <c r="C99" s="524"/>
      <c r="D99" s="524"/>
      <c r="E99" s="524"/>
      <c r="F99" s="524"/>
      <c r="G99" s="588"/>
      <c r="H99" s="588"/>
      <c r="I99" s="588"/>
      <c r="J99" s="588"/>
      <c r="K99" s="589"/>
      <c r="L99" s="590"/>
      <c r="M99" s="591"/>
      <c r="N99" s="1155"/>
      <c r="O99" s="1155"/>
      <c r="P99" s="2685"/>
      <c r="Q99" s="505"/>
    </row>
    <row r="100" spans="1:17" ht="15.75" thickBot="1">
      <c r="A100" s="2637"/>
      <c r="B100" s="570"/>
      <c r="C100" s="571"/>
      <c r="D100" s="571"/>
      <c r="E100" s="571"/>
      <c r="F100" s="571"/>
      <c r="G100" s="592"/>
      <c r="H100" s="592"/>
      <c r="I100" s="592"/>
      <c r="J100" s="592"/>
      <c r="K100" s="592"/>
      <c r="L100" s="592"/>
      <c r="M100" s="593"/>
      <c r="N100" s="1156"/>
      <c r="O100" s="1156"/>
      <c r="P100" s="2685"/>
      <c r="Q100" s="505"/>
    </row>
    <row r="101" spans="1:17">
      <c r="A101" s="528" t="s">
        <v>2566</v>
      </c>
      <c r="B101" s="529" t="s">
        <v>2615</v>
      </c>
      <c r="C101" s="531"/>
      <c r="D101" s="531"/>
      <c r="E101" s="531"/>
      <c r="F101" s="531"/>
      <c r="G101" s="531"/>
      <c r="H101" s="531"/>
      <c r="I101" s="531"/>
      <c r="J101" s="531"/>
      <c r="K101" s="532"/>
      <c r="L101" s="533"/>
      <c r="M101" s="534"/>
      <c r="N101" s="1155"/>
      <c r="O101" s="1155"/>
      <c r="P101" s="268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5"/>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5"/>
      <c r="Q103" s="505"/>
    </row>
    <row r="104" spans="1:17" s="472" customFormat="1">
      <c r="A104" s="594"/>
      <c r="B104" s="595"/>
      <c r="C104" s="596"/>
      <c r="D104" s="596"/>
      <c r="E104" s="596"/>
      <c r="F104" s="596"/>
      <c r="G104" s="596"/>
      <c r="H104" s="596"/>
      <c r="I104" s="596"/>
      <c r="J104" s="597"/>
      <c r="K104" s="597"/>
      <c r="L104" s="598"/>
      <c r="M104" s="599"/>
      <c r="N104" s="1157"/>
      <c r="O104" s="1157"/>
      <c r="P104" s="2686"/>
      <c r="Q104" s="560"/>
    </row>
    <row r="105" spans="1:17" s="472" customFormat="1" ht="15.75" thickBot="1">
      <c r="A105" s="554"/>
      <c r="B105" s="544"/>
      <c r="C105" s="561"/>
      <c r="D105" s="537"/>
      <c r="E105" s="537"/>
      <c r="F105" s="537"/>
      <c r="G105" s="537"/>
      <c r="H105" s="537"/>
      <c r="I105" s="537"/>
      <c r="J105" s="537"/>
      <c r="K105" s="537"/>
      <c r="L105" s="537"/>
      <c r="M105" s="538"/>
      <c r="N105" s="1156"/>
      <c r="O105" s="1156"/>
      <c r="P105" s="2686"/>
      <c r="Q105" s="560"/>
    </row>
    <row r="106" spans="1:17" ht="15" thickTop="1">
      <c r="A106" s="600"/>
      <c r="B106" s="539" t="s">
        <v>2617</v>
      </c>
      <c r="C106" s="555"/>
      <c r="D106" s="555"/>
      <c r="E106" s="584"/>
      <c r="F106" s="584"/>
      <c r="G106" s="584"/>
      <c r="H106" s="584"/>
      <c r="I106" s="584"/>
      <c r="J106" s="584"/>
      <c r="K106" s="585"/>
      <c r="L106" s="586"/>
      <c r="M106" s="587"/>
      <c r="N106" s="1155"/>
      <c r="O106" s="1155"/>
      <c r="P106" s="268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5"/>
      <c r="Q107" s="505"/>
    </row>
    <row r="108" spans="1:17" ht="15" thickTop="1">
      <c r="A108" s="600"/>
      <c r="B108" s="539" t="s">
        <v>2619</v>
      </c>
      <c r="C108" s="555"/>
      <c r="D108" s="555"/>
      <c r="E108" s="555"/>
      <c r="F108" s="584"/>
      <c r="G108" s="584"/>
      <c r="H108" s="584"/>
      <c r="I108" s="584"/>
      <c r="J108" s="584"/>
      <c r="K108" s="585"/>
      <c r="L108" s="586"/>
      <c r="M108" s="587"/>
      <c r="N108" s="1155"/>
      <c r="O108" s="1155"/>
      <c r="P108" s="268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5"/>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5"/>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5"/>
      <c r="Q112" s="505"/>
    </row>
    <row r="113" spans="1:17" s="472" customFormat="1" ht="15" thickTop="1">
      <c r="A113" s="594"/>
      <c r="B113" s="539" t="s">
        <v>2703</v>
      </c>
      <c r="C113" s="555"/>
      <c r="D113" s="555"/>
      <c r="E113" s="555"/>
      <c r="F113" s="555"/>
      <c r="G113" s="555"/>
      <c r="H113" s="584"/>
      <c r="I113" s="584"/>
      <c r="J113" s="584"/>
      <c r="K113" s="585"/>
      <c r="L113" s="586"/>
      <c r="M113" s="587"/>
      <c r="N113" s="1157"/>
      <c r="O113" s="1157"/>
      <c r="P113" s="268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86"/>
      <c r="Q114" s="560"/>
    </row>
    <row r="115" spans="1:17" ht="15" thickTop="1">
      <c r="A115" s="600"/>
      <c r="B115" s="539" t="s">
        <v>2620</v>
      </c>
      <c r="C115" s="555"/>
      <c r="D115" s="555"/>
      <c r="E115" s="584"/>
      <c r="F115" s="584"/>
      <c r="G115" s="584"/>
      <c r="H115" s="584"/>
      <c r="I115" s="584"/>
      <c r="J115" s="584"/>
      <c r="K115" s="585"/>
      <c r="L115" s="586"/>
      <c r="M115" s="587"/>
      <c r="N115" s="1155"/>
      <c r="O115" s="1155"/>
      <c r="P115" s="268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5"/>
      <c r="Q116" s="505"/>
    </row>
    <row r="117" spans="1:17" ht="15" thickTop="1">
      <c r="A117" s="600"/>
      <c r="B117" s="539" t="s">
        <v>2621</v>
      </c>
      <c r="C117" s="555"/>
      <c r="D117" s="555"/>
      <c r="E117" s="555"/>
      <c r="F117" s="555"/>
      <c r="G117" s="555"/>
      <c r="H117" s="584"/>
      <c r="I117" s="584"/>
      <c r="J117" s="584"/>
      <c r="K117" s="585"/>
      <c r="L117" s="586"/>
      <c r="M117" s="587"/>
      <c r="N117" s="1155"/>
      <c r="O117" s="1155"/>
      <c r="P117" s="268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5"/>
      <c r="Q118" s="505"/>
    </row>
    <row r="119" spans="1:17" ht="15" thickTop="1">
      <c r="A119" s="600"/>
      <c r="B119" s="637" t="s">
        <v>2704</v>
      </c>
      <c r="C119" s="584"/>
      <c r="D119" s="584"/>
      <c r="E119" s="584"/>
      <c r="F119" s="584"/>
      <c r="G119" s="584"/>
      <c r="H119" s="584"/>
      <c r="I119" s="584"/>
      <c r="J119" s="584"/>
      <c r="K119" s="584"/>
      <c r="L119" s="2690"/>
      <c r="M119" s="2691"/>
      <c r="N119" s="1156"/>
      <c r="O119" s="1156"/>
      <c r="P119" s="269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5"/>
      <c r="Q120" s="505"/>
    </row>
    <row r="121" spans="1:17" s="472" customFormat="1" ht="15" thickTop="1">
      <c r="A121" s="594"/>
      <c r="B121" s="539" t="s">
        <v>2687</v>
      </c>
      <c r="C121" s="555"/>
      <c r="D121" s="555"/>
      <c r="E121" s="555"/>
      <c r="F121" s="584"/>
      <c r="G121" s="556"/>
      <c r="H121" s="556"/>
      <c r="I121" s="556"/>
      <c r="J121" s="556"/>
      <c r="K121" s="556"/>
      <c r="L121" s="557"/>
      <c r="M121" s="558"/>
      <c r="N121" s="1157"/>
      <c r="O121" s="1157"/>
      <c r="P121" s="2686"/>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86"/>
      <c r="Q122" s="560"/>
    </row>
    <row r="123" spans="1:17" ht="15" thickTop="1">
      <c r="A123" s="600"/>
      <c r="B123" s="539" t="s">
        <v>2623</v>
      </c>
      <c r="C123" s="555"/>
      <c r="D123" s="555"/>
      <c r="E123" s="555"/>
      <c r="F123" s="584"/>
      <c r="G123" s="584"/>
      <c r="H123" s="584"/>
      <c r="I123" s="584"/>
      <c r="J123" s="584"/>
      <c r="K123" s="585"/>
      <c r="L123" s="586"/>
      <c r="M123" s="587"/>
      <c r="N123" s="1155"/>
      <c r="O123" s="1155"/>
      <c r="P123" s="268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6"/>
      <c r="O124" s="1156"/>
      <c r="P124" s="2685"/>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5"/>
      <c r="O125" s="1155"/>
      <c r="P125" s="268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5"/>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86"/>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86"/>
      <c r="Q128" s="560"/>
    </row>
    <row r="129" spans="1:17" ht="15" thickTop="1">
      <c r="A129" s="600"/>
      <c r="B129" s="539">
        <f>B46</f>
        <v>111</v>
      </c>
      <c r="C129" s="555"/>
      <c r="D129" s="555"/>
      <c r="E129" s="555"/>
      <c r="F129" s="555"/>
      <c r="G129" s="584"/>
      <c r="H129" s="584"/>
      <c r="I129" s="584"/>
      <c r="J129" s="584"/>
      <c r="K129" s="585"/>
      <c r="L129" s="586"/>
      <c r="M129" s="587"/>
      <c r="N129" s="1155"/>
      <c r="O129" s="1155"/>
      <c r="P129" s="2685"/>
      <c r="Q129" s="505"/>
    </row>
    <row r="130" spans="1:17" ht="15.75" thickBot="1">
      <c r="A130" s="535"/>
      <c r="B130" s="544"/>
      <c r="C130" s="561"/>
      <c r="D130" s="561"/>
      <c r="E130" s="561"/>
      <c r="F130" s="561"/>
      <c r="G130" s="537"/>
      <c r="H130" s="537"/>
      <c r="I130" s="537"/>
      <c r="J130" s="537"/>
      <c r="K130" s="537"/>
      <c r="L130" s="537"/>
      <c r="M130" s="538"/>
      <c r="N130" s="1156"/>
      <c r="O130" s="1156"/>
      <c r="P130" s="2685"/>
      <c r="Q130" s="505"/>
    </row>
    <row r="131" spans="1:17" ht="15" thickTop="1">
      <c r="A131" s="600"/>
      <c r="B131" s="547">
        <f>B47</f>
        <v>111</v>
      </c>
      <c r="C131" s="524"/>
      <c r="D131" s="524"/>
      <c r="E131" s="524"/>
      <c r="F131" s="524"/>
      <c r="G131" s="588"/>
      <c r="H131" s="588"/>
      <c r="I131" s="588"/>
      <c r="J131" s="588"/>
      <c r="K131" s="524"/>
      <c r="L131" s="525"/>
      <c r="M131" s="591"/>
      <c r="N131" s="1155"/>
      <c r="O131" s="1155"/>
      <c r="P131" s="2685"/>
      <c r="Q131" s="505"/>
    </row>
    <row r="132" spans="1:17" ht="15.75" thickBot="1">
      <c r="A132" s="2637"/>
      <c r="B132" s="570"/>
      <c r="C132" s="571"/>
      <c r="D132" s="571"/>
      <c r="E132" s="571"/>
      <c r="F132" s="571"/>
      <c r="G132" s="592"/>
      <c r="H132" s="592"/>
      <c r="I132" s="592"/>
      <c r="J132" s="592"/>
      <c r="K132" s="592"/>
      <c r="L132" s="592"/>
      <c r="M132" s="593"/>
      <c r="N132" s="1156"/>
      <c r="O132" s="1156"/>
      <c r="P132" s="2685"/>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北京新京润房地产有限公司：</v>
      </c>
    </row>
    <row r="4" spans="1:1" ht="36">
      <c r="A4" s="1951" t="str">
        <f>"受贵公司委托，我公司对"&amp;项目基本情况!S1&amp;"进行了预评估。"</f>
        <v>受贵公司委托，我公司对北京市朝阳区霄云路8号院房地产抵押价值进行了预评估。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2017年10月9日（评估专业人员实地查勘之日）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2705</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IF(C2="——",ROUND(C43*D3/10000,0),ROUND(C43*D3/10000,0)-D2)</f>
        <v>#DIV/0!</v>
      </c>
      <c r="C2" s="2589"/>
      <c r="D2" s="1127"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445.61</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213" t="s">
        <v>2649</v>
      </c>
      <c r="D4" s="3214"/>
      <c r="E4" s="3215" t="s">
        <v>2650</v>
      </c>
      <c r="F4" s="3216"/>
      <c r="G4" s="3213" t="s">
        <v>2651</v>
      </c>
      <c r="H4" s="3214"/>
      <c r="I4" s="3213" t="s">
        <v>2652</v>
      </c>
      <c r="J4" s="3214"/>
      <c r="K4" s="611" t="s">
        <v>2653</v>
      </c>
      <c r="L4" s="1133"/>
      <c r="M4" s="1134"/>
      <c r="N4" s="1134"/>
      <c r="O4" s="1134"/>
      <c r="P4" s="3217" t="s">
        <v>2654</v>
      </c>
      <c r="Q4" s="3218"/>
      <c r="R4" s="3200" t="s">
        <v>2650</v>
      </c>
      <c r="S4" s="3201"/>
      <c r="T4" s="3200" t="s">
        <v>2651</v>
      </c>
      <c r="U4" s="3201"/>
      <c r="V4" s="3206" t="s">
        <v>2652</v>
      </c>
      <c r="W4" s="3206"/>
      <c r="X4" s="1816"/>
      <c r="Y4" s="3200" t="s">
        <v>2654</v>
      </c>
      <c r="Z4" s="3201"/>
      <c r="AA4" s="3210" t="s">
        <v>2650</v>
      </c>
      <c r="AB4" s="3211" t="s">
        <v>2651</v>
      </c>
      <c r="AC4" s="3210" t="s">
        <v>2652</v>
      </c>
    </row>
    <row r="5" spans="1:29" ht="15">
      <c r="A5" s="405"/>
      <c r="B5" s="406"/>
      <c r="C5" s="3223" t="s">
        <v>2545</v>
      </c>
      <c r="D5" s="3224"/>
      <c r="E5" s="3231" t="s">
        <v>2546</v>
      </c>
      <c r="F5" s="3232"/>
      <c r="G5" s="3223" t="s">
        <v>2547</v>
      </c>
      <c r="H5" s="3224"/>
      <c r="I5" s="3223" t="s">
        <v>2548</v>
      </c>
      <c r="J5" s="3224"/>
      <c r="K5" s="611"/>
      <c r="L5" s="1133"/>
      <c r="M5" s="1134"/>
      <c r="N5" s="1134"/>
      <c r="O5" s="1134"/>
      <c r="P5" s="3219"/>
      <c r="Q5" s="3220"/>
      <c r="R5" s="3202"/>
      <c r="S5" s="3203"/>
      <c r="T5" s="3202"/>
      <c r="U5" s="3203"/>
      <c r="V5" s="3206"/>
      <c r="W5" s="3206"/>
      <c r="X5" s="1816"/>
      <c r="Y5" s="3202"/>
      <c r="Z5" s="3203"/>
      <c r="AA5" s="3211"/>
      <c r="AB5" s="3211"/>
      <c r="AC5" s="3211"/>
    </row>
    <row r="6" spans="1:29" ht="15.75" thickBot="1">
      <c r="A6" s="407"/>
      <c r="B6" s="408"/>
      <c r="C6" s="3225" t="s">
        <v>2549</v>
      </c>
      <c r="D6" s="3226"/>
      <c r="E6" s="3227" t="s">
        <v>2549</v>
      </c>
      <c r="F6" s="3228"/>
      <c r="G6" s="3225" t="s">
        <v>2549</v>
      </c>
      <c r="H6" s="3226"/>
      <c r="I6" s="3225" t="s">
        <v>2549</v>
      </c>
      <c r="J6" s="3226"/>
      <c r="K6" s="611" t="s">
        <v>2550</v>
      </c>
      <c r="L6" s="1133"/>
      <c r="M6" s="1134"/>
      <c r="N6" s="1134"/>
      <c r="O6" s="1134"/>
      <c r="P6" s="3221"/>
      <c r="Q6" s="3222"/>
      <c r="R6" s="3202"/>
      <c r="S6" s="3203"/>
      <c r="T6" s="3204"/>
      <c r="U6" s="3205"/>
      <c r="V6" s="3206"/>
      <c r="W6" s="3206"/>
      <c r="X6" s="1816"/>
      <c r="Y6" s="3204"/>
      <c r="Z6" s="3205"/>
      <c r="AA6" s="3212"/>
      <c r="AB6" s="3212"/>
      <c r="AC6" s="3212"/>
    </row>
    <row r="7" spans="1:29" s="117" customFormat="1" ht="15.75" thickBot="1">
      <c r="A7" s="409" t="s">
        <v>2551</v>
      </c>
      <c r="B7" s="410"/>
      <c r="C7" s="411">
        <f>'数据-取费表'!B2</f>
        <v>43017</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07" t="s">
        <v>2552</v>
      </c>
      <c r="Q7" s="3208"/>
      <c r="R7" s="771" t="s">
        <v>17</v>
      </c>
      <c r="S7" s="772">
        <f t="shared" ref="S7:S15" si="0">F7</f>
        <v>0</v>
      </c>
      <c r="T7" s="771" t="s">
        <v>17</v>
      </c>
      <c r="U7" s="772">
        <f t="shared" ref="U7:U15" si="1">H7</f>
        <v>0</v>
      </c>
      <c r="V7" s="771" t="s">
        <v>17</v>
      </c>
      <c r="W7" s="772">
        <f t="shared" ref="W7:W15" si="2">J7</f>
        <v>0</v>
      </c>
      <c r="X7" s="773"/>
      <c r="Y7" s="3207" t="s">
        <v>2552</v>
      </c>
      <c r="Z7" s="3209"/>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07" t="s">
        <v>2555</v>
      </c>
      <c r="Q8" s="3209"/>
      <c r="R8" s="771" t="s">
        <v>17</v>
      </c>
      <c r="S8" s="772">
        <f t="shared" si="0"/>
        <v>0</v>
      </c>
      <c r="T8" s="771" t="s">
        <v>17</v>
      </c>
      <c r="U8" s="772">
        <f t="shared" si="1"/>
        <v>0</v>
      </c>
      <c r="V8" s="771" t="s">
        <v>17</v>
      </c>
      <c r="W8" s="772">
        <f t="shared" si="2"/>
        <v>0</v>
      </c>
      <c r="X8" s="773"/>
      <c r="Y8" s="3207" t="s">
        <v>2555</v>
      </c>
      <c r="Z8" s="3209"/>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85" t="s">
        <v>2558</v>
      </c>
      <c r="Q9" s="1798" t="str">
        <f t="shared" ref="Q9:Q15" si="6">B9</f>
        <v>用途</v>
      </c>
      <c r="R9" s="771" t="s">
        <v>17</v>
      </c>
      <c r="S9" s="772">
        <f t="shared" si="0"/>
        <v>100</v>
      </c>
      <c r="T9" s="771" t="s">
        <v>17</v>
      </c>
      <c r="U9" s="772">
        <f t="shared" si="1"/>
        <v>100</v>
      </c>
      <c r="V9" s="771" t="s">
        <v>17</v>
      </c>
      <c r="W9" s="772">
        <f t="shared" si="2"/>
        <v>100</v>
      </c>
      <c r="X9" s="773"/>
      <c r="Y9" s="3035"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85"/>
      <c r="Q10" s="1798" t="str">
        <f t="shared" si="6"/>
        <v>土地使用年限（年）</v>
      </c>
      <c r="R10" s="771" t="s">
        <v>17</v>
      </c>
      <c r="S10" s="772">
        <f t="shared" si="0"/>
        <v>100</v>
      </c>
      <c r="T10" s="771" t="s">
        <v>17</v>
      </c>
      <c r="U10" s="772">
        <f t="shared" si="1"/>
        <v>100</v>
      </c>
      <c r="V10" s="771" t="s">
        <v>17</v>
      </c>
      <c r="W10" s="772">
        <f t="shared" si="2"/>
        <v>100</v>
      </c>
      <c r="X10" s="773"/>
      <c r="Y10" s="3035"/>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85"/>
      <c r="Q11" s="1798" t="str">
        <f t="shared" si="6"/>
        <v>容积率</v>
      </c>
      <c r="R11" s="771" t="s">
        <v>17</v>
      </c>
      <c r="S11" s="772" t="e">
        <f t="shared" si="0"/>
        <v>#N/A</v>
      </c>
      <c r="T11" s="771" t="s">
        <v>17</v>
      </c>
      <c r="U11" s="772" t="e">
        <f t="shared" si="1"/>
        <v>#N/A</v>
      </c>
      <c r="V11" s="771" t="s">
        <v>17</v>
      </c>
      <c r="W11" s="772" t="e">
        <f t="shared" si="2"/>
        <v>#N/A</v>
      </c>
      <c r="X11" s="773"/>
      <c r="Y11" s="3035"/>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3"/>
      <c r="H12" s="136">
        <f>SUMIF(64:64,G12,65:65)-SUMIF(64:64,C12,65:65)+100</f>
        <v>100</v>
      </c>
      <c r="I12" s="470"/>
      <c r="J12" s="136">
        <f>SUMIF(64:64,I12,65:65)-SUMIF(64:64,C12,65:65)+100</f>
        <v>100</v>
      </c>
      <c r="K12" s="614"/>
      <c r="L12" s="1135"/>
      <c r="M12" s="1136"/>
      <c r="N12" s="1136"/>
      <c r="O12" s="1137"/>
      <c r="P12" s="3185"/>
      <c r="Q12" s="1798">
        <f t="shared" si="6"/>
        <v>111</v>
      </c>
      <c r="R12" s="771" t="s">
        <v>17</v>
      </c>
      <c r="S12" s="772">
        <f t="shared" si="0"/>
        <v>100</v>
      </c>
      <c r="T12" s="771" t="s">
        <v>17</v>
      </c>
      <c r="U12" s="772">
        <f t="shared" si="1"/>
        <v>100</v>
      </c>
      <c r="V12" s="771" t="s">
        <v>17</v>
      </c>
      <c r="W12" s="772">
        <f t="shared" si="2"/>
        <v>100</v>
      </c>
      <c r="X12" s="773"/>
      <c r="Y12" s="3035"/>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3"/>
      <c r="H13" s="436">
        <f>SUMIF(66:66,G13,67:67)-SUMIF(66:66,C13,67:67)+100</f>
        <v>100</v>
      </c>
      <c r="I13" s="470"/>
      <c r="J13" s="436">
        <f>SUMIF(66:66,I13,67:67)-SUMIF(66:66,C13,67:67)+100</f>
        <v>100</v>
      </c>
      <c r="K13" s="614"/>
      <c r="L13" s="1143"/>
      <c r="M13" s="1134"/>
      <c r="N13" s="1134"/>
      <c r="O13" s="1142"/>
      <c r="P13" s="3185"/>
      <c r="Q13" s="1798">
        <f t="shared" si="6"/>
        <v>111</v>
      </c>
      <c r="R13" s="771" t="s">
        <v>17</v>
      </c>
      <c r="S13" s="772">
        <f t="shared" si="0"/>
        <v>100</v>
      </c>
      <c r="T13" s="771" t="s">
        <v>17</v>
      </c>
      <c r="U13" s="772">
        <f t="shared" si="1"/>
        <v>100</v>
      </c>
      <c r="V13" s="771" t="s">
        <v>17</v>
      </c>
      <c r="W13" s="772">
        <f t="shared" si="2"/>
        <v>100</v>
      </c>
      <c r="X13" s="773"/>
      <c r="Y13" s="3035"/>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3"/>
      <c r="H14" s="439">
        <f>SUMIF(68:68,G14,69:69)-SUMIF(68:68,C14,69:69)+100</f>
        <v>100</v>
      </c>
      <c r="I14" s="470"/>
      <c r="J14" s="439">
        <f>SUMIF(68:68,I14,69:69)-SUMIF(68:68,C14,69:69)+100</f>
        <v>100</v>
      </c>
      <c r="K14" s="614"/>
      <c r="L14" s="1143"/>
      <c r="M14" s="1134"/>
      <c r="N14" s="1134"/>
      <c r="O14" s="1142"/>
      <c r="P14" s="3185"/>
      <c r="Q14" s="1798">
        <f t="shared" si="6"/>
        <v>111</v>
      </c>
      <c r="R14" s="771" t="s">
        <v>17</v>
      </c>
      <c r="S14" s="772">
        <f t="shared" si="0"/>
        <v>100</v>
      </c>
      <c r="T14" s="771" t="s">
        <v>17</v>
      </c>
      <c r="U14" s="772">
        <f t="shared" si="1"/>
        <v>100</v>
      </c>
      <c r="V14" s="771" t="s">
        <v>17</v>
      </c>
      <c r="W14" s="772">
        <f t="shared" si="2"/>
        <v>100</v>
      </c>
      <c r="X14" s="773"/>
      <c r="Y14" s="3035"/>
      <c r="Z14" s="55">
        <f t="shared" si="7"/>
        <v>111</v>
      </c>
      <c r="AA14" s="774">
        <f t="shared" si="3"/>
        <v>1</v>
      </c>
      <c r="AB14" s="774">
        <f t="shared" si="4"/>
        <v>1</v>
      </c>
      <c r="AC14" s="774">
        <f t="shared" si="5"/>
        <v>1</v>
      </c>
    </row>
    <row r="15" spans="1:29" ht="57">
      <c r="A15" s="441" t="s">
        <v>2562</v>
      </c>
      <c r="B15" s="69" t="s">
        <v>2706</v>
      </c>
      <c r="C15" s="269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92" t="s">
        <v>2563</v>
      </c>
      <c r="Q15" s="1813" t="str">
        <f t="shared" si="6"/>
        <v>产业集聚程度</v>
      </c>
      <c r="R15" s="775" t="s">
        <v>17</v>
      </c>
      <c r="S15" s="776">
        <f t="shared" si="0"/>
        <v>100</v>
      </c>
      <c r="T15" s="775" t="s">
        <v>17</v>
      </c>
      <c r="U15" s="776">
        <f t="shared" si="1"/>
        <v>100</v>
      </c>
      <c r="V15" s="775" t="s">
        <v>17</v>
      </c>
      <c r="W15" s="776">
        <f t="shared" si="2"/>
        <v>100</v>
      </c>
      <c r="X15" s="1816"/>
      <c r="Y15" s="3192" t="s">
        <v>2563</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42"/>
      <c r="P16" s="3193"/>
      <c r="Q16" s="1813"/>
      <c r="R16" s="775"/>
      <c r="S16" s="776"/>
      <c r="T16" s="775"/>
      <c r="U16" s="776"/>
      <c r="V16" s="775"/>
      <c r="W16" s="776"/>
      <c r="X16" s="1816"/>
      <c r="Y16" s="3193"/>
      <c r="Z16" s="1817"/>
      <c r="AA16" s="1814">
        <v>1</v>
      </c>
      <c r="AB16" s="1814">
        <v>1</v>
      </c>
      <c r="AC16" s="1814">
        <v>1</v>
      </c>
    </row>
    <row r="17" spans="1:29" ht="85.5">
      <c r="A17" s="429"/>
      <c r="B17" s="452" t="s">
        <v>2099</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193"/>
      <c r="Q17" s="1813" t="str">
        <f>B17</f>
        <v>交通便捷度</v>
      </c>
      <c r="R17" s="775" t="s">
        <v>17</v>
      </c>
      <c r="S17" s="776">
        <f>F17</f>
        <v>100</v>
      </c>
      <c r="T17" s="775" t="s">
        <v>17</v>
      </c>
      <c r="U17" s="776">
        <f>H17</f>
        <v>100</v>
      </c>
      <c r="V17" s="775" t="s">
        <v>17</v>
      </c>
      <c r="W17" s="776">
        <f>J17</f>
        <v>100</v>
      </c>
      <c r="X17" s="1816"/>
      <c r="Y17" s="3193"/>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42"/>
      <c r="P18" s="3193"/>
      <c r="Q18" s="1813"/>
      <c r="R18" s="775"/>
      <c r="S18" s="776"/>
      <c r="T18" s="775"/>
      <c r="U18" s="776"/>
      <c r="V18" s="775"/>
      <c r="W18" s="776"/>
      <c r="X18" s="1816"/>
      <c r="Y18" s="3193"/>
      <c r="Z18" s="1817"/>
      <c r="AA18" s="1814">
        <v>1</v>
      </c>
      <c r="AB18" s="1814">
        <v>1</v>
      </c>
      <c r="AC18" s="1814">
        <v>1</v>
      </c>
    </row>
    <row r="19" spans="1:29" ht="42.75">
      <c r="A19" s="429"/>
      <c r="B19" s="452" t="s">
        <v>2691</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193"/>
      <c r="Q19" s="1813" t="str">
        <f>B19</f>
        <v>公共配套设施</v>
      </c>
      <c r="R19" s="775" t="s">
        <v>17</v>
      </c>
      <c r="S19" s="776">
        <f>F19</f>
        <v>100</v>
      </c>
      <c r="T19" s="775" t="s">
        <v>17</v>
      </c>
      <c r="U19" s="776">
        <f>H19</f>
        <v>100</v>
      </c>
      <c r="V19" s="775" t="s">
        <v>17</v>
      </c>
      <c r="W19" s="776">
        <f>J19</f>
        <v>100</v>
      </c>
      <c r="X19" s="1816"/>
      <c r="Y19" s="3193"/>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42"/>
      <c r="P20" s="3193"/>
      <c r="Q20" s="1813"/>
      <c r="R20" s="775"/>
      <c r="S20" s="776"/>
      <c r="T20" s="775"/>
      <c r="U20" s="776"/>
      <c r="V20" s="775"/>
      <c r="W20" s="776"/>
      <c r="X20" s="1816"/>
      <c r="Y20" s="3193"/>
      <c r="Z20" s="1817"/>
      <c r="AA20" s="1814">
        <v>1</v>
      </c>
      <c r="AB20" s="1814">
        <v>1</v>
      </c>
      <c r="AC20" s="1814">
        <v>1</v>
      </c>
    </row>
    <row r="21" spans="1:29" ht="28.5">
      <c r="A21" s="429"/>
      <c r="B21" s="1387" t="s">
        <v>2692</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193"/>
      <c r="Q21" s="1813" t="str">
        <f>B21</f>
        <v>基础设施水平</v>
      </c>
      <c r="R21" s="775" t="s">
        <v>17</v>
      </c>
      <c r="S21" s="776">
        <f>F21</f>
        <v>100</v>
      </c>
      <c r="T21" s="775" t="s">
        <v>17</v>
      </c>
      <c r="U21" s="776">
        <f>H21</f>
        <v>100</v>
      </c>
      <c r="V21" s="775" t="s">
        <v>17</v>
      </c>
      <c r="W21" s="776">
        <f>J21</f>
        <v>100</v>
      </c>
      <c r="X21" s="1816"/>
      <c r="Y21" s="3193"/>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42"/>
      <c r="P22" s="3193"/>
      <c r="Q22" s="1813"/>
      <c r="R22" s="775"/>
      <c r="S22" s="776"/>
      <c r="T22" s="775"/>
      <c r="U22" s="776"/>
      <c r="V22" s="775"/>
      <c r="W22" s="776"/>
      <c r="X22" s="1816"/>
      <c r="Y22" s="3193"/>
      <c r="Z22" s="1817"/>
      <c r="AA22" s="1814">
        <v>1</v>
      </c>
      <c r="AB22" s="1814">
        <v>1</v>
      </c>
      <c r="AC22" s="1814">
        <v>1</v>
      </c>
    </row>
    <row r="23" spans="1:29" ht="71.25">
      <c r="A23" s="429"/>
      <c r="B23" s="452" t="s">
        <v>2693</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193"/>
      <c r="Q23" s="1813" t="str">
        <f>B23</f>
        <v>环境质量</v>
      </c>
      <c r="R23" s="775" t="s">
        <v>17</v>
      </c>
      <c r="S23" s="776">
        <f>F23</f>
        <v>100</v>
      </c>
      <c r="T23" s="775" t="s">
        <v>17</v>
      </c>
      <c r="U23" s="776">
        <f>H23</f>
        <v>100</v>
      </c>
      <c r="V23" s="775" t="s">
        <v>17</v>
      </c>
      <c r="W23" s="776">
        <f>J23</f>
        <v>100</v>
      </c>
      <c r="X23" s="1816"/>
      <c r="Y23" s="3193"/>
      <c r="Z23" s="1817" t="str">
        <f>Q23</f>
        <v>环境质量</v>
      </c>
      <c r="AA23" s="1814">
        <f t="shared" si="3"/>
        <v>1</v>
      </c>
      <c r="AB23" s="1814">
        <f t="shared" si="4"/>
        <v>1</v>
      </c>
      <c r="AC23" s="1814">
        <f t="shared" si="5"/>
        <v>1</v>
      </c>
    </row>
    <row r="24" spans="1:29" ht="15">
      <c r="A24" s="429"/>
      <c r="B24" s="1387"/>
      <c r="C24" s="448"/>
      <c r="D24" s="449"/>
      <c r="E24" s="2607"/>
      <c r="F24" s="450"/>
      <c r="G24" s="2606"/>
      <c r="H24" s="449"/>
      <c r="I24" s="2607"/>
      <c r="J24" s="449"/>
      <c r="K24" s="616"/>
      <c r="L24" s="1143"/>
      <c r="M24" s="1134"/>
      <c r="N24" s="1134"/>
      <c r="O24" s="1142"/>
      <c r="P24" s="3193"/>
      <c r="Q24" s="1813"/>
      <c r="R24" s="775"/>
      <c r="S24" s="776"/>
      <c r="T24" s="775"/>
      <c r="U24" s="776"/>
      <c r="V24" s="775"/>
      <c r="W24" s="776"/>
      <c r="X24" s="1816"/>
      <c r="Y24" s="3193"/>
      <c r="Z24" s="1817"/>
      <c r="AA24" s="1814">
        <v>1</v>
      </c>
      <c r="AB24" s="1814">
        <v>1</v>
      </c>
      <c r="AC24" s="1814">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193"/>
      <c r="Q25" s="1813">
        <f>B25</f>
        <v>111</v>
      </c>
      <c r="R25" s="775" t="s">
        <v>17</v>
      </c>
      <c r="S25" s="776">
        <f>F25</f>
        <v>100</v>
      </c>
      <c r="T25" s="775" t="s">
        <v>17</v>
      </c>
      <c r="U25" s="776">
        <f>H25</f>
        <v>100</v>
      </c>
      <c r="V25" s="775" t="s">
        <v>17</v>
      </c>
      <c r="W25" s="776">
        <f>J25</f>
        <v>100</v>
      </c>
      <c r="X25" s="1816"/>
      <c r="Y25" s="3193"/>
      <c r="Z25" s="1817">
        <f>Q25</f>
        <v>111</v>
      </c>
      <c r="AA25" s="1814">
        <f t="shared" si="3"/>
        <v>1</v>
      </c>
      <c r="AB25" s="1814">
        <f t="shared" si="4"/>
        <v>1</v>
      </c>
      <c r="AC25" s="1814">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193"/>
      <c r="Q26" s="1813">
        <f t="shared" ref="Q26:Q40" si="11">B26</f>
        <v>111</v>
      </c>
      <c r="R26" s="775" t="s">
        <v>17</v>
      </c>
      <c r="S26" s="776">
        <f>F26</f>
        <v>100</v>
      </c>
      <c r="T26" s="775" t="s">
        <v>17</v>
      </c>
      <c r="U26" s="776">
        <f>H26</f>
        <v>100</v>
      </c>
      <c r="V26" s="775" t="s">
        <v>17</v>
      </c>
      <c r="W26" s="776">
        <f>J26</f>
        <v>100</v>
      </c>
      <c r="X26" s="1816"/>
      <c r="Y26" s="3193"/>
      <c r="Z26" s="1817">
        <f>Q26</f>
        <v>111</v>
      </c>
      <c r="AA26" s="1814">
        <f t="shared" si="3"/>
        <v>1</v>
      </c>
      <c r="AB26" s="1814">
        <f t="shared" si="4"/>
        <v>1</v>
      </c>
      <c r="AC26" s="1814">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193"/>
      <c r="Q27" s="1798">
        <f t="shared" si="11"/>
        <v>111</v>
      </c>
      <c r="R27" s="771" t="s">
        <v>17</v>
      </c>
      <c r="S27" s="772">
        <f>F27</f>
        <v>100</v>
      </c>
      <c r="T27" s="771" t="s">
        <v>17</v>
      </c>
      <c r="U27" s="772">
        <f>H27</f>
        <v>100</v>
      </c>
      <c r="V27" s="771" t="s">
        <v>17</v>
      </c>
      <c r="W27" s="772">
        <f>J27</f>
        <v>100</v>
      </c>
      <c r="X27" s="773"/>
      <c r="Y27" s="3193"/>
      <c r="Z27" s="55">
        <f>Q27</f>
        <v>111</v>
      </c>
      <c r="AA27" s="1814">
        <f>D27/F27</f>
        <v>1</v>
      </c>
      <c r="AB27" s="1814">
        <f>D27/H27</f>
        <v>1</v>
      </c>
      <c r="AC27" s="1814">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193"/>
      <c r="Q28" s="1813">
        <f t="shared" si="11"/>
        <v>111</v>
      </c>
      <c r="R28" s="775" t="s">
        <v>17</v>
      </c>
      <c r="S28" s="776">
        <f t="shared" ref="S28:S40" si="12">F28</f>
        <v>100</v>
      </c>
      <c r="T28" s="775" t="s">
        <v>17</v>
      </c>
      <c r="U28" s="776">
        <f t="shared" ref="U28:U40" si="13">H28</f>
        <v>100</v>
      </c>
      <c r="V28" s="775" t="s">
        <v>17</v>
      </c>
      <c r="W28" s="776">
        <f t="shared" ref="W28:W40" si="14">J28</f>
        <v>100</v>
      </c>
      <c r="X28" s="1816"/>
      <c r="Y28" s="3193"/>
      <c r="Z28" s="1817">
        <f t="shared" ref="Z28:Z40" si="15">Q28</f>
        <v>111</v>
      </c>
      <c r="AA28" s="1814">
        <f t="shared" si="3"/>
        <v>1</v>
      </c>
      <c r="AB28" s="1814">
        <f t="shared" si="4"/>
        <v>1</v>
      </c>
      <c r="AC28" s="1814">
        <f t="shared" si="5"/>
        <v>1</v>
      </c>
    </row>
    <row r="29" spans="1:29" ht="15">
      <c r="A29" s="467" t="s">
        <v>2566</v>
      </c>
      <c r="B29" s="71" t="s">
        <v>2696</v>
      </c>
      <c r="C29" s="2680"/>
      <c r="D29" s="468">
        <v>100</v>
      </c>
      <c r="E29" s="2680"/>
      <c r="F29" s="462">
        <f>SUMIF(88:88,E29,89:89)-SUMIF(88:88,C29,89:89)+100</f>
        <v>100</v>
      </c>
      <c r="G29" s="2680"/>
      <c r="H29" s="436">
        <f>SUMIF(88:88,G29,89:89)-SUMIF(88:88,C29,89:89)+100</f>
        <v>100</v>
      </c>
      <c r="I29" s="2680"/>
      <c r="J29" s="468">
        <f>SUMIF(88:88,I29,89:89)-SUMIF(88:88,C29,89:89)+100</f>
        <v>100</v>
      </c>
      <c r="K29" s="613"/>
      <c r="L29" s="1143"/>
      <c r="M29" s="1134"/>
      <c r="N29" s="1134"/>
      <c r="O29" s="1142"/>
      <c r="P29" s="3248" t="s">
        <v>2568</v>
      </c>
      <c r="Q29" s="1813" t="str">
        <f t="shared" si="11"/>
        <v>建筑类型</v>
      </c>
      <c r="R29" s="775" t="s">
        <v>17</v>
      </c>
      <c r="S29" s="776">
        <f t="shared" si="12"/>
        <v>100</v>
      </c>
      <c r="T29" s="775" t="s">
        <v>17</v>
      </c>
      <c r="U29" s="776">
        <f t="shared" si="13"/>
        <v>100</v>
      </c>
      <c r="V29" s="775" t="s">
        <v>17</v>
      </c>
      <c r="W29" s="776">
        <f t="shared" si="14"/>
        <v>100</v>
      </c>
      <c r="X29" s="1816"/>
      <c r="Y29" s="3197" t="s">
        <v>2568</v>
      </c>
      <c r="Z29" s="1817" t="str">
        <f t="shared" si="15"/>
        <v>建筑类型</v>
      </c>
      <c r="AA29" s="1814">
        <f t="shared" si="3"/>
        <v>1</v>
      </c>
      <c r="AB29" s="1814">
        <f t="shared" si="4"/>
        <v>1</v>
      </c>
      <c r="AC29" s="1814">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197"/>
      <c r="Q30" s="777" t="str">
        <f t="shared" si="11"/>
        <v>项目建筑规模</v>
      </c>
      <c r="R30" s="778" t="s">
        <v>17</v>
      </c>
      <c r="S30" s="779" t="e">
        <f t="shared" si="12"/>
        <v>#N/A</v>
      </c>
      <c r="T30" s="778" t="s">
        <v>17</v>
      </c>
      <c r="U30" s="779" t="e">
        <f t="shared" si="13"/>
        <v>#N/A</v>
      </c>
      <c r="V30" s="778" t="s">
        <v>17</v>
      </c>
      <c r="W30" s="779" t="e">
        <f t="shared" si="14"/>
        <v>#N/A</v>
      </c>
      <c r="X30" s="780"/>
      <c r="Y30" s="3197"/>
      <c r="Z30" s="781" t="str">
        <f t="shared" si="15"/>
        <v>项目建筑规模</v>
      </c>
      <c r="AA30" s="1814" t="e">
        <f t="shared" si="3"/>
        <v>#N/A</v>
      </c>
      <c r="AB30" s="1814" t="e">
        <f t="shared" si="4"/>
        <v>#N/A</v>
      </c>
      <c r="AC30" s="1814"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197"/>
      <c r="Q31" s="1813" t="str">
        <f t="shared" si="11"/>
        <v>建筑结构</v>
      </c>
      <c r="R31" s="775" t="s">
        <v>17</v>
      </c>
      <c r="S31" s="776">
        <f t="shared" si="12"/>
        <v>100</v>
      </c>
      <c r="T31" s="775" t="s">
        <v>17</v>
      </c>
      <c r="U31" s="776">
        <f t="shared" si="13"/>
        <v>100</v>
      </c>
      <c r="V31" s="775" t="s">
        <v>17</v>
      </c>
      <c r="W31" s="776">
        <f t="shared" si="14"/>
        <v>100</v>
      </c>
      <c r="X31" s="1816"/>
      <c r="Y31" s="3197"/>
      <c r="Z31" s="1817" t="str">
        <f t="shared" si="15"/>
        <v>建筑结构</v>
      </c>
      <c r="AA31" s="1814">
        <f t="shared" si="3"/>
        <v>1</v>
      </c>
      <c r="AB31" s="1814">
        <f t="shared" si="4"/>
        <v>1</v>
      </c>
      <c r="AC31" s="1814">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197"/>
      <c r="Q32" s="1813" t="str">
        <f t="shared" si="11"/>
        <v>公共部分装修</v>
      </c>
      <c r="R32" s="775" t="s">
        <v>17</v>
      </c>
      <c r="S32" s="776">
        <f t="shared" si="12"/>
        <v>100</v>
      </c>
      <c r="T32" s="775" t="s">
        <v>17</v>
      </c>
      <c r="U32" s="776">
        <f t="shared" si="13"/>
        <v>100</v>
      </c>
      <c r="V32" s="775" t="s">
        <v>17</v>
      </c>
      <c r="W32" s="776">
        <f t="shared" si="14"/>
        <v>100</v>
      </c>
      <c r="X32" s="1816"/>
      <c r="Y32" s="3197"/>
      <c r="Z32" s="1817" t="str">
        <f t="shared" si="15"/>
        <v>公共部分装修</v>
      </c>
      <c r="AA32" s="1814">
        <f t="shared" si="3"/>
        <v>1</v>
      </c>
      <c r="AB32" s="1814">
        <f t="shared" si="4"/>
        <v>1</v>
      </c>
      <c r="AC32" s="1814">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197"/>
      <c r="Q33" s="1813" t="str">
        <f t="shared" si="11"/>
        <v>成新度</v>
      </c>
      <c r="R33" s="775" t="s">
        <v>17</v>
      </c>
      <c r="S33" s="776" t="e">
        <f t="shared" si="12"/>
        <v>#N/A</v>
      </c>
      <c r="T33" s="775" t="s">
        <v>17</v>
      </c>
      <c r="U33" s="776" t="e">
        <f t="shared" si="13"/>
        <v>#N/A</v>
      </c>
      <c r="V33" s="775" t="s">
        <v>17</v>
      </c>
      <c r="W33" s="776" t="e">
        <f t="shared" si="14"/>
        <v>#N/A</v>
      </c>
      <c r="X33" s="1816"/>
      <c r="Y33" s="3197"/>
      <c r="Z33" s="1817" t="str">
        <f t="shared" si="15"/>
        <v>成新度</v>
      </c>
      <c r="AA33" s="1814" t="e">
        <f t="shared" si="3"/>
        <v>#N/A</v>
      </c>
      <c r="AB33" s="1814" t="e">
        <f t="shared" si="4"/>
        <v>#N/A</v>
      </c>
      <c r="AC33" s="1814"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197"/>
      <c r="Q34" s="1798" t="str">
        <f t="shared" si="11"/>
        <v>物业管理</v>
      </c>
      <c r="R34" s="771" t="s">
        <v>17</v>
      </c>
      <c r="S34" s="772">
        <f t="shared" si="12"/>
        <v>100</v>
      </c>
      <c r="T34" s="771" t="s">
        <v>17</v>
      </c>
      <c r="U34" s="772">
        <f t="shared" si="13"/>
        <v>100</v>
      </c>
      <c r="V34" s="771" t="s">
        <v>17</v>
      </c>
      <c r="W34" s="772">
        <f t="shared" si="14"/>
        <v>100</v>
      </c>
      <c r="X34" s="773"/>
      <c r="Y34" s="3197"/>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197" t="s">
        <v>2568</v>
      </c>
      <c r="Q35" s="1813" t="str">
        <f t="shared" si="11"/>
        <v>市政基础设施</v>
      </c>
      <c r="R35" s="775" t="s">
        <v>17</v>
      </c>
      <c r="S35" s="776">
        <f t="shared" si="12"/>
        <v>100</v>
      </c>
      <c r="T35" s="775" t="s">
        <v>17</v>
      </c>
      <c r="U35" s="776">
        <f t="shared" si="13"/>
        <v>100</v>
      </c>
      <c r="V35" s="775" t="s">
        <v>17</v>
      </c>
      <c r="W35" s="776">
        <f t="shared" si="14"/>
        <v>100</v>
      </c>
      <c r="X35" s="1816"/>
      <c r="Y35" s="3197" t="s">
        <v>2568</v>
      </c>
      <c r="Z35" s="1817" t="str">
        <f t="shared" si="15"/>
        <v>市政基础设施</v>
      </c>
      <c r="AA35" s="1814">
        <f t="shared" si="3"/>
        <v>1</v>
      </c>
      <c r="AB35" s="1814">
        <f t="shared" si="4"/>
        <v>1</v>
      </c>
      <c r="AC35" s="1814">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197"/>
      <c r="Q36" s="1813" t="str">
        <f t="shared" si="11"/>
        <v>内部装修</v>
      </c>
      <c r="R36" s="775" t="s">
        <v>17</v>
      </c>
      <c r="S36" s="776">
        <f t="shared" si="12"/>
        <v>100</v>
      </c>
      <c r="T36" s="775" t="s">
        <v>17</v>
      </c>
      <c r="U36" s="776">
        <f t="shared" si="13"/>
        <v>100</v>
      </c>
      <c r="V36" s="775" t="s">
        <v>17</v>
      </c>
      <c r="W36" s="776">
        <f t="shared" si="14"/>
        <v>100</v>
      </c>
      <c r="X36" s="1816"/>
      <c r="Y36" s="3197"/>
      <c r="Z36" s="1817" t="str">
        <f t="shared" si="15"/>
        <v>内部装修</v>
      </c>
      <c r="AA36" s="1814">
        <f t="shared" si="3"/>
        <v>1</v>
      </c>
      <c r="AB36" s="1814">
        <f t="shared" si="4"/>
        <v>1</v>
      </c>
      <c r="AC36" s="1814">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197"/>
      <c r="Q37" s="1813" t="str">
        <f t="shared" si="11"/>
        <v>内部装修状况</v>
      </c>
      <c r="R37" s="775" t="s">
        <v>17</v>
      </c>
      <c r="S37" s="776">
        <f t="shared" si="12"/>
        <v>100</v>
      </c>
      <c r="T37" s="775" t="s">
        <v>17</v>
      </c>
      <c r="U37" s="776">
        <f t="shared" si="13"/>
        <v>100</v>
      </c>
      <c r="V37" s="775" t="s">
        <v>17</v>
      </c>
      <c r="W37" s="776">
        <f t="shared" si="14"/>
        <v>100</v>
      </c>
      <c r="X37" s="1816"/>
      <c r="Y37" s="3197"/>
      <c r="Z37" s="1817" t="str">
        <f t="shared" si="15"/>
        <v>内部装修状况</v>
      </c>
      <c r="AA37" s="1814">
        <f t="shared" si="3"/>
        <v>1</v>
      </c>
      <c r="AB37" s="1814">
        <f t="shared" si="4"/>
        <v>1</v>
      </c>
      <c r="AC37" s="1814">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197"/>
      <c r="Q38" s="777">
        <f t="shared" si="11"/>
        <v>111</v>
      </c>
      <c r="R38" s="778" t="s">
        <v>17</v>
      </c>
      <c r="S38" s="779">
        <f t="shared" si="12"/>
        <v>100</v>
      </c>
      <c r="T38" s="778" t="s">
        <v>17</v>
      </c>
      <c r="U38" s="779">
        <f t="shared" si="13"/>
        <v>100</v>
      </c>
      <c r="V38" s="778" t="s">
        <v>17</v>
      </c>
      <c r="W38" s="779">
        <f t="shared" si="14"/>
        <v>100</v>
      </c>
      <c r="X38" s="780"/>
      <c r="Y38" s="3197"/>
      <c r="Z38" s="781">
        <f t="shared" si="15"/>
        <v>111</v>
      </c>
      <c r="AA38" s="1814">
        <f t="shared" si="3"/>
        <v>1</v>
      </c>
      <c r="AB38" s="1814">
        <f t="shared" si="4"/>
        <v>1</v>
      </c>
      <c r="AC38" s="1814">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197"/>
      <c r="Q39" s="1813">
        <f t="shared" si="11"/>
        <v>111</v>
      </c>
      <c r="R39" s="775" t="s">
        <v>17</v>
      </c>
      <c r="S39" s="776">
        <f t="shared" si="12"/>
        <v>100</v>
      </c>
      <c r="T39" s="775" t="s">
        <v>17</v>
      </c>
      <c r="U39" s="776">
        <f t="shared" si="13"/>
        <v>100</v>
      </c>
      <c r="V39" s="775" t="s">
        <v>17</v>
      </c>
      <c r="W39" s="776">
        <f t="shared" si="14"/>
        <v>100</v>
      </c>
      <c r="X39" s="1816"/>
      <c r="Y39" s="3197"/>
      <c r="Z39" s="1817">
        <f t="shared" si="15"/>
        <v>111</v>
      </c>
      <c r="AA39" s="1814">
        <f t="shared" si="3"/>
        <v>1</v>
      </c>
      <c r="AB39" s="1814">
        <f t="shared" si="4"/>
        <v>1</v>
      </c>
      <c r="AC39" s="1814">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198"/>
      <c r="Q40" s="1813">
        <f t="shared" si="11"/>
        <v>111</v>
      </c>
      <c r="R40" s="775" t="s">
        <v>17</v>
      </c>
      <c r="S40" s="776">
        <f t="shared" si="12"/>
        <v>100</v>
      </c>
      <c r="T40" s="775" t="s">
        <v>17</v>
      </c>
      <c r="U40" s="776">
        <f t="shared" si="13"/>
        <v>100</v>
      </c>
      <c r="V40" s="775" t="s">
        <v>17</v>
      </c>
      <c r="W40" s="776">
        <f t="shared" si="14"/>
        <v>100</v>
      </c>
      <c r="X40" s="1816"/>
      <c r="Y40" s="3198"/>
      <c r="Z40" s="1817">
        <f t="shared" si="15"/>
        <v>111</v>
      </c>
      <c r="AA40" s="1814">
        <f t="shared" si="3"/>
        <v>1</v>
      </c>
      <c r="AB40" s="1814">
        <f t="shared" si="4"/>
        <v>1</v>
      </c>
      <c r="AC40" s="1814">
        <f t="shared" si="5"/>
        <v>1</v>
      </c>
    </row>
    <row r="41" spans="1:29" ht="15">
      <c r="A41" s="480" t="s">
        <v>2580</v>
      </c>
      <c r="B41" s="481"/>
      <c r="C41" s="1410" t="s">
        <v>1</v>
      </c>
      <c r="D41" s="1411"/>
      <c r="E41" s="1412"/>
      <c r="F41" s="1413"/>
      <c r="G41" s="1414"/>
      <c r="H41" s="1415"/>
      <c r="I41" s="1412"/>
      <c r="J41" s="1415"/>
      <c r="K41" s="784"/>
      <c r="L41" s="1146"/>
      <c r="M41" s="1147"/>
      <c r="N41" s="1134"/>
      <c r="O41" s="1147"/>
      <c r="P41" s="3185" t="str">
        <f>A41</f>
        <v>成交单价（元/平方米）</v>
      </c>
      <c r="Q41" s="3185"/>
      <c r="R41" s="3186">
        <f>E41</f>
        <v>0</v>
      </c>
      <c r="S41" s="3186"/>
      <c r="T41" s="3186">
        <f>G41</f>
        <v>0</v>
      </c>
      <c r="U41" s="3186"/>
      <c r="V41" s="3186">
        <f>I41</f>
        <v>0</v>
      </c>
      <c r="W41" s="3186"/>
      <c r="X41" s="760"/>
      <c r="Y41" s="782"/>
      <c r="Z41" s="760"/>
      <c r="AA41" s="760"/>
      <c r="AB41" s="760"/>
      <c r="AC41" s="760"/>
    </row>
    <row r="42" spans="1:29" ht="15.75" thickBot="1">
      <c r="A42" s="487" t="s">
        <v>2672</v>
      </c>
      <c r="B42" s="488"/>
      <c r="C42" s="1416" t="e">
        <f>R43</f>
        <v>#DIV/0!</v>
      </c>
      <c r="D42" s="1417"/>
      <c r="E42" s="1418" t="e">
        <f>R42</f>
        <v>#DIV/0!</v>
      </c>
      <c r="F42" s="1418"/>
      <c r="G42" s="1416" t="e">
        <f>T42</f>
        <v>#DIV/0!</v>
      </c>
      <c r="H42" s="1417"/>
      <c r="I42" s="1418" t="e">
        <f>V42</f>
        <v>#DIV/0!</v>
      </c>
      <c r="J42" s="1417"/>
      <c r="K42" s="785"/>
      <c r="L42" s="1146"/>
      <c r="M42" s="1147"/>
      <c r="N42" s="1134"/>
      <c r="O42" s="1147"/>
      <c r="P42" s="3185" t="str">
        <f>A42</f>
        <v>比较价值（元/平方米）</v>
      </c>
      <c r="Q42" s="3185"/>
      <c r="R42" s="3186" t="e">
        <f>IF(F1="售价",ROUND(PRODUCT(R41,AA7:AA40),0),ROUND(PRODUCT(R41,AA7:AA40),1))</f>
        <v>#DIV/0!</v>
      </c>
      <c r="S42" s="3186"/>
      <c r="T42" s="3186" t="e">
        <f>IF(F1="售价",ROUND(PRODUCT(T41,AB7:AB40),0),ROUND(PRODUCT(T41,AB7:AB40),1))</f>
        <v>#DIV/0!</v>
      </c>
      <c r="U42" s="3186"/>
      <c r="V42" s="3186" t="e">
        <f>IF(F1="售价",ROUND(PRODUCT(V41,AC7:AC40),0),ROUND(PRODUCT(V41,AC7:AC40),1))</f>
        <v>#DIV/0!</v>
      </c>
      <c r="W42" s="3186"/>
      <c r="X42" s="760"/>
      <c r="Y42" s="760"/>
      <c r="Z42" s="760"/>
      <c r="AA42" s="760"/>
      <c r="AB42" s="760"/>
      <c r="AC42" s="760"/>
    </row>
    <row r="43" spans="1:29" ht="15.75" thickBot="1">
      <c r="A43" s="493" t="s">
        <v>2673</v>
      </c>
      <c r="B43" s="494"/>
      <c r="C43" s="1420" t="e">
        <f>R43</f>
        <v>#DIV/0!</v>
      </c>
      <c r="D43" s="1420"/>
      <c r="E43" s="1420"/>
      <c r="F43" s="1420"/>
      <c r="G43" s="1420"/>
      <c r="H43" s="1420"/>
      <c r="I43" s="1420"/>
      <c r="J43" s="1420"/>
      <c r="K43" s="786"/>
      <c r="L43" s="1146"/>
      <c r="M43" s="1147"/>
      <c r="N43" s="1147"/>
      <c r="O43" s="1147"/>
      <c r="P43" s="3187" t="str">
        <f>A43</f>
        <v>估价对象XX用房的比较价值（楼面单价，元/平方米）</v>
      </c>
      <c r="Q43" s="3188"/>
      <c r="R43" s="3189" t="e">
        <f>IF(F1="售价",ROUND(AVERAGE(R42:V42),0),ROUND(AVERAGE(R42:V42),1))</f>
        <v>#DIV/0!</v>
      </c>
      <c r="S43" s="3189"/>
      <c r="T43" s="3189"/>
      <c r="U43" s="3189"/>
      <c r="V43" s="3189"/>
      <c r="W43" s="3189"/>
      <c r="X43" s="760"/>
      <c r="Y43" s="760"/>
      <c r="Z43" s="760"/>
      <c r="AA43" s="760"/>
      <c r="AB43" s="760"/>
      <c r="AC43" s="760"/>
    </row>
    <row r="44" spans="1:29">
      <c r="A44" s="1147"/>
      <c r="B44" s="1147"/>
      <c r="C44" s="1147"/>
      <c r="D44" s="1147"/>
      <c r="E44" s="1147"/>
      <c r="F44" s="1147"/>
      <c r="G44" s="1150"/>
      <c r="H44" s="1147"/>
      <c r="I44" s="1147"/>
      <c r="J44" s="1147"/>
      <c r="K44" s="1109"/>
      <c r="L44" s="1110"/>
      <c r="M44" s="1147"/>
      <c r="N44" s="1147"/>
      <c r="O44" s="1147"/>
    </row>
    <row r="45" spans="1:29">
      <c r="A45" s="1147"/>
      <c r="B45" s="1147"/>
      <c r="C45" s="1147"/>
      <c r="D45" s="1147"/>
      <c r="E45" s="1147"/>
      <c r="F45" s="1147"/>
      <c r="G45" s="1147"/>
      <c r="H45" s="1147"/>
      <c r="I45" s="1147"/>
      <c r="J45" s="1147"/>
      <c r="K45" s="1109"/>
      <c r="L45" s="1110"/>
      <c r="M45" s="1147"/>
      <c r="N45" s="1147"/>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7"/>
      <c r="N46" s="1147"/>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9"/>
      <c r="L50" s="1110"/>
      <c r="M50" s="1147"/>
      <c r="N50" s="1147"/>
      <c r="O50" s="1147"/>
    </row>
    <row r="51" spans="1:17" ht="21.75" thickBot="1">
      <c r="A51" s="764" t="s">
        <v>2677</v>
      </c>
      <c r="B51" s="760"/>
      <c r="C51" s="765"/>
      <c r="D51" s="765"/>
      <c r="E51" s="765"/>
      <c r="F51" s="766"/>
      <c r="G51" s="766"/>
      <c r="H51" s="765"/>
      <c r="I51" s="765"/>
      <c r="J51" s="765"/>
      <c r="K51" s="1163"/>
      <c r="L51" s="1164"/>
      <c r="M51" s="1162"/>
      <c r="N51" s="1162"/>
      <c r="O51" s="1162"/>
      <c r="P51" s="504"/>
      <c r="Q51" s="505"/>
    </row>
    <row r="52" spans="1:17" s="509" customFormat="1" ht="15">
      <c r="A52" s="506" t="s">
        <v>2551</v>
      </c>
      <c r="B52" s="507"/>
      <c r="C52" s="1578" t="str">
        <f>YEAR(C7)&amp;"-"&amp;MONTH(C7)</f>
        <v>2017-10</v>
      </c>
      <c r="D52" s="1579">
        <f>EDATE(C52,-1)</f>
        <v>42979</v>
      </c>
      <c r="E52" s="1579">
        <f t="shared" ref="E52:O52" si="16">EDATE(D52,-1)</f>
        <v>42948</v>
      </c>
      <c r="F52" s="1579">
        <f t="shared" si="16"/>
        <v>42917</v>
      </c>
      <c r="G52" s="1579">
        <f t="shared" si="16"/>
        <v>42887</v>
      </c>
      <c r="H52" s="1579">
        <f t="shared" si="16"/>
        <v>42856</v>
      </c>
      <c r="I52" s="1579">
        <f t="shared" si="16"/>
        <v>42826</v>
      </c>
      <c r="J52" s="1579">
        <f t="shared" si="16"/>
        <v>42795</v>
      </c>
      <c r="K52" s="1579">
        <f t="shared" si="16"/>
        <v>42767</v>
      </c>
      <c r="L52" s="1579">
        <f t="shared" si="16"/>
        <v>42736</v>
      </c>
      <c r="M52" s="1579">
        <f t="shared" si="16"/>
        <v>42705</v>
      </c>
      <c r="N52" s="1579">
        <f t="shared" si="16"/>
        <v>42675</v>
      </c>
      <c r="O52" s="1579">
        <f t="shared" si="16"/>
        <v>42644</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2591</v>
      </c>
      <c r="B57" s="529" t="s">
        <v>2557</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37"/>
      <c r="B87" s="570"/>
      <c r="C87" s="571"/>
      <c r="D87" s="571"/>
      <c r="E87" s="571"/>
      <c r="F87" s="571"/>
      <c r="G87" s="592"/>
      <c r="H87" s="592"/>
      <c r="I87" s="592"/>
      <c r="J87" s="592"/>
      <c r="K87" s="592"/>
      <c r="L87" s="592"/>
      <c r="M87" s="593"/>
      <c r="N87" s="1156"/>
      <c r="O87" s="1156"/>
      <c r="P87" s="45"/>
      <c r="Q87" s="505"/>
    </row>
    <row r="88" spans="1:17">
      <c r="A88" s="528" t="s">
        <v>2566</v>
      </c>
      <c r="B88" s="529" t="s">
        <v>2615</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2617</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2619</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2620</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2621</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2623</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37"/>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26"/>
      <c r="F1" s="2587"/>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2330</v>
      </c>
      <c r="B2" s="1421" t="e">
        <f ca="1">IF(C2="——",IF(B37="元/平方米",ROUND(C39*D3/10000,0),ROUND(F3*C39/10000,0)),IF(B37="元/平方米",ROUND(C39*D3/10000,0),ROUND(F3*C39/10000,0))-D2)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1422"/>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8"/>
      <c r="H3" s="1128"/>
      <c r="I3" s="1128"/>
      <c r="J3" s="1128"/>
      <c r="K3" s="1130"/>
      <c r="L3" s="1131"/>
      <c r="M3" s="1132"/>
      <c r="N3" s="1132"/>
      <c r="O3" s="1132"/>
      <c r="P3" s="1422"/>
      <c r="Q3" s="769"/>
      <c r="R3" s="769"/>
      <c r="S3" s="769"/>
      <c r="T3" s="769"/>
      <c r="U3" s="769"/>
      <c r="V3" s="769"/>
      <c r="W3" s="769"/>
      <c r="X3" s="769"/>
      <c r="Y3" s="769"/>
      <c r="Z3" s="769"/>
      <c r="AA3" s="769"/>
      <c r="AB3" s="787"/>
      <c r="AC3" s="783"/>
    </row>
    <row r="4" spans="1:29" ht="15">
      <c r="A4" s="402" t="s">
        <v>2648</v>
      </c>
      <c r="B4" s="403"/>
      <c r="C4" s="3213" t="s">
        <v>2649</v>
      </c>
      <c r="D4" s="3214"/>
      <c r="E4" s="3215" t="s">
        <v>2650</v>
      </c>
      <c r="F4" s="3216"/>
      <c r="G4" s="3213" t="s">
        <v>2651</v>
      </c>
      <c r="H4" s="3214"/>
      <c r="I4" s="3213" t="s">
        <v>2652</v>
      </c>
      <c r="J4" s="3214"/>
      <c r="K4" s="611" t="s">
        <v>2653</v>
      </c>
      <c r="L4" s="1133"/>
      <c r="M4" s="1134"/>
      <c r="N4" s="1134"/>
      <c r="O4" s="1134"/>
      <c r="P4" s="3217" t="s">
        <v>2654</v>
      </c>
      <c r="Q4" s="3218"/>
      <c r="R4" s="3200" t="s">
        <v>2650</v>
      </c>
      <c r="S4" s="3201"/>
      <c r="T4" s="3200" t="s">
        <v>2651</v>
      </c>
      <c r="U4" s="3201"/>
      <c r="V4" s="3206" t="s">
        <v>2652</v>
      </c>
      <c r="W4" s="3206"/>
      <c r="X4" s="1816"/>
      <c r="Y4" s="3200" t="s">
        <v>2654</v>
      </c>
      <c r="Z4" s="3201"/>
      <c r="AA4" s="3210" t="s">
        <v>2650</v>
      </c>
      <c r="AB4" s="3211" t="s">
        <v>2651</v>
      </c>
      <c r="AC4" s="3210" t="s">
        <v>2652</v>
      </c>
    </row>
    <row r="5" spans="1:29" ht="15">
      <c r="A5" s="405"/>
      <c r="B5" s="406"/>
      <c r="C5" s="3223" t="s">
        <v>2545</v>
      </c>
      <c r="D5" s="3224"/>
      <c r="E5" s="3231" t="s">
        <v>2546</v>
      </c>
      <c r="F5" s="3232"/>
      <c r="G5" s="3223" t="s">
        <v>2547</v>
      </c>
      <c r="H5" s="3224"/>
      <c r="I5" s="3223" t="s">
        <v>2548</v>
      </c>
      <c r="J5" s="3224"/>
      <c r="K5" s="611"/>
      <c r="L5" s="1133"/>
      <c r="M5" s="1134"/>
      <c r="N5" s="1134"/>
      <c r="O5" s="1134"/>
      <c r="P5" s="3219"/>
      <c r="Q5" s="3220"/>
      <c r="R5" s="3202"/>
      <c r="S5" s="3203"/>
      <c r="T5" s="3202"/>
      <c r="U5" s="3203"/>
      <c r="V5" s="3206"/>
      <c r="W5" s="3206"/>
      <c r="X5" s="1816"/>
      <c r="Y5" s="3202"/>
      <c r="Z5" s="3203"/>
      <c r="AA5" s="3211"/>
      <c r="AB5" s="3211"/>
      <c r="AC5" s="3211"/>
    </row>
    <row r="6" spans="1:29" ht="15.75" thickBot="1">
      <c r="A6" s="407"/>
      <c r="B6" s="408"/>
      <c r="C6" s="3225" t="s">
        <v>2549</v>
      </c>
      <c r="D6" s="3226"/>
      <c r="E6" s="3227" t="s">
        <v>2549</v>
      </c>
      <c r="F6" s="3228"/>
      <c r="G6" s="3225" t="s">
        <v>2549</v>
      </c>
      <c r="H6" s="3226"/>
      <c r="I6" s="3225" t="s">
        <v>2549</v>
      </c>
      <c r="J6" s="3226"/>
      <c r="K6" s="611" t="s">
        <v>2550</v>
      </c>
      <c r="L6" s="1133"/>
      <c r="M6" s="1134"/>
      <c r="N6" s="1134"/>
      <c r="O6" s="1134"/>
      <c r="P6" s="3221"/>
      <c r="Q6" s="3222"/>
      <c r="R6" s="3202"/>
      <c r="S6" s="3203"/>
      <c r="T6" s="3204"/>
      <c r="U6" s="3205"/>
      <c r="V6" s="3206"/>
      <c r="W6" s="3206"/>
      <c r="X6" s="1816"/>
      <c r="Y6" s="3204"/>
      <c r="Z6" s="3205"/>
      <c r="AA6" s="3212"/>
      <c r="AB6" s="3212"/>
      <c r="AC6" s="3212"/>
    </row>
    <row r="7" spans="1:29" s="117" customFormat="1" ht="15.75" thickBot="1">
      <c r="A7" s="409" t="s">
        <v>2551</v>
      </c>
      <c r="B7" s="410"/>
      <c r="C7" s="411">
        <f>'数据-取费表'!B2</f>
        <v>43017</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07" t="s">
        <v>2552</v>
      </c>
      <c r="Q7" s="3208"/>
      <c r="R7" s="771" t="s">
        <v>17</v>
      </c>
      <c r="S7" s="772">
        <f t="shared" ref="S7:S14" si="0">F7</f>
        <v>0</v>
      </c>
      <c r="T7" s="771" t="s">
        <v>17</v>
      </c>
      <c r="U7" s="772">
        <f t="shared" ref="U7:U14" si="1">H7</f>
        <v>0</v>
      </c>
      <c r="V7" s="771" t="s">
        <v>17</v>
      </c>
      <c r="W7" s="772">
        <f t="shared" ref="W7:W14" si="2">J7</f>
        <v>0</v>
      </c>
      <c r="X7" s="773"/>
      <c r="Y7" s="3207" t="s">
        <v>2552</v>
      </c>
      <c r="Z7" s="3209"/>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07" t="s">
        <v>2555</v>
      </c>
      <c r="Q8" s="3209"/>
      <c r="R8" s="771" t="s">
        <v>17</v>
      </c>
      <c r="S8" s="772">
        <f t="shared" si="0"/>
        <v>0</v>
      </c>
      <c r="T8" s="771" t="s">
        <v>17</v>
      </c>
      <c r="U8" s="772">
        <f t="shared" si="1"/>
        <v>0</v>
      </c>
      <c r="V8" s="771" t="s">
        <v>17</v>
      </c>
      <c r="W8" s="772">
        <f t="shared" si="2"/>
        <v>0</v>
      </c>
      <c r="X8" s="773"/>
      <c r="Y8" s="3207" t="s">
        <v>2555</v>
      </c>
      <c r="Z8" s="3209"/>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85" t="s">
        <v>2558</v>
      </c>
      <c r="Q9" s="1798" t="str">
        <f t="shared" ref="Q9:Q14" si="6">B9</f>
        <v>用途</v>
      </c>
      <c r="R9" s="771" t="s">
        <v>17</v>
      </c>
      <c r="S9" s="772">
        <f t="shared" si="0"/>
        <v>100</v>
      </c>
      <c r="T9" s="771" t="s">
        <v>17</v>
      </c>
      <c r="U9" s="772">
        <f t="shared" si="1"/>
        <v>100</v>
      </c>
      <c r="V9" s="771" t="s">
        <v>17</v>
      </c>
      <c r="W9" s="772">
        <f t="shared" si="2"/>
        <v>100</v>
      </c>
      <c r="X9" s="773"/>
      <c r="Y9" s="3035"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85"/>
      <c r="Q10" s="1798" t="str">
        <f t="shared" si="6"/>
        <v>土地使用年限（年）</v>
      </c>
      <c r="R10" s="771" t="s">
        <v>17</v>
      </c>
      <c r="S10" s="772">
        <f t="shared" si="0"/>
        <v>100</v>
      </c>
      <c r="T10" s="771" t="s">
        <v>17</v>
      </c>
      <c r="U10" s="772">
        <f t="shared" si="1"/>
        <v>100</v>
      </c>
      <c r="V10" s="771" t="s">
        <v>17</v>
      </c>
      <c r="W10" s="772">
        <f t="shared" si="2"/>
        <v>100</v>
      </c>
      <c r="X10" s="773"/>
      <c r="Y10" s="3035"/>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85"/>
      <c r="Q11" s="1798">
        <f t="shared" si="6"/>
        <v>111</v>
      </c>
      <c r="R11" s="771" t="s">
        <v>17</v>
      </c>
      <c r="S11" s="772">
        <f t="shared" si="0"/>
        <v>100</v>
      </c>
      <c r="T11" s="771" t="s">
        <v>17</v>
      </c>
      <c r="U11" s="772">
        <f t="shared" si="1"/>
        <v>100</v>
      </c>
      <c r="V11" s="771" t="s">
        <v>17</v>
      </c>
      <c r="W11" s="772">
        <f t="shared" si="2"/>
        <v>100</v>
      </c>
      <c r="X11" s="773"/>
      <c r="Y11" s="3035"/>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85"/>
      <c r="Q12" s="1798">
        <f t="shared" si="6"/>
        <v>111</v>
      </c>
      <c r="R12" s="771" t="s">
        <v>17</v>
      </c>
      <c r="S12" s="772">
        <f t="shared" si="0"/>
        <v>100</v>
      </c>
      <c r="T12" s="771" t="s">
        <v>17</v>
      </c>
      <c r="U12" s="772">
        <f t="shared" si="1"/>
        <v>100</v>
      </c>
      <c r="V12" s="771" t="s">
        <v>17</v>
      </c>
      <c r="W12" s="772">
        <f t="shared" si="2"/>
        <v>100</v>
      </c>
      <c r="X12" s="773"/>
      <c r="Y12" s="3035"/>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85"/>
      <c r="Q13" s="1798">
        <f t="shared" si="6"/>
        <v>111</v>
      </c>
      <c r="R13" s="771" t="s">
        <v>17</v>
      </c>
      <c r="S13" s="772">
        <f t="shared" si="0"/>
        <v>100</v>
      </c>
      <c r="T13" s="771" t="s">
        <v>17</v>
      </c>
      <c r="U13" s="772">
        <f t="shared" si="1"/>
        <v>100</v>
      </c>
      <c r="V13" s="771" t="s">
        <v>17</v>
      </c>
      <c r="W13" s="772">
        <f t="shared" si="2"/>
        <v>100</v>
      </c>
      <c r="X13" s="773"/>
      <c r="Y13" s="3035"/>
      <c r="Z13" s="55">
        <f t="shared" si="7"/>
        <v>111</v>
      </c>
      <c r="AA13" s="774">
        <f t="shared" si="3"/>
        <v>1</v>
      </c>
      <c r="AB13" s="774">
        <f t="shared" si="4"/>
        <v>1</v>
      </c>
      <c r="AC13" s="774">
        <f t="shared" si="5"/>
        <v>1</v>
      </c>
    </row>
    <row r="14" spans="1:29" ht="85.5">
      <c r="A14" s="402" t="s">
        <v>2562</v>
      </c>
      <c r="B14" s="630" t="s">
        <v>2712</v>
      </c>
      <c r="C14" s="2694"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92" t="s">
        <v>2563</v>
      </c>
      <c r="Q14" s="1813" t="str">
        <f t="shared" si="6"/>
        <v>交通便捷度</v>
      </c>
      <c r="R14" s="775" t="s">
        <v>17</v>
      </c>
      <c r="S14" s="776">
        <f t="shared" si="0"/>
        <v>100</v>
      </c>
      <c r="T14" s="775" t="s">
        <v>17</v>
      </c>
      <c r="U14" s="776">
        <f t="shared" si="1"/>
        <v>100</v>
      </c>
      <c r="V14" s="775" t="s">
        <v>17</v>
      </c>
      <c r="W14" s="776">
        <f t="shared" si="2"/>
        <v>100</v>
      </c>
      <c r="X14" s="1816"/>
      <c r="Y14" s="3192" t="s">
        <v>2563</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3"/>
      <c r="M15" s="1134"/>
      <c r="N15" s="1134"/>
      <c r="O15" s="1134"/>
      <c r="P15" s="3193"/>
      <c r="Q15" s="1813"/>
      <c r="R15" s="775"/>
      <c r="S15" s="776"/>
      <c r="T15" s="775"/>
      <c r="U15" s="776"/>
      <c r="V15" s="775"/>
      <c r="W15" s="776"/>
      <c r="X15" s="1816"/>
      <c r="Y15" s="3193"/>
      <c r="Z15" s="1817"/>
      <c r="AA15" s="1814">
        <v>1</v>
      </c>
      <c r="AB15" s="1814">
        <v>1</v>
      </c>
      <c r="AC15" s="1814">
        <v>1</v>
      </c>
    </row>
    <row r="16" spans="1:29" ht="42.75">
      <c r="A16" s="405"/>
      <c r="B16" s="632" t="s">
        <v>2691</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193"/>
      <c r="Q16" s="1813" t="str">
        <f>B16</f>
        <v>公共配套设施</v>
      </c>
      <c r="R16" s="775" t="s">
        <v>17</v>
      </c>
      <c r="S16" s="776">
        <f>F16</f>
        <v>100</v>
      </c>
      <c r="T16" s="775" t="s">
        <v>17</v>
      </c>
      <c r="U16" s="776">
        <f>H16</f>
        <v>100</v>
      </c>
      <c r="V16" s="775" t="s">
        <v>17</v>
      </c>
      <c r="W16" s="776">
        <f>J16</f>
        <v>100</v>
      </c>
      <c r="X16" s="1816"/>
      <c r="Y16" s="3193"/>
      <c r="Z16" s="1817" t="str">
        <f>Q16</f>
        <v>公共配套设施</v>
      </c>
      <c r="AA16" s="1814">
        <f t="shared" si="3"/>
        <v>1</v>
      </c>
      <c r="AB16" s="1814">
        <f t="shared" si="4"/>
        <v>1</v>
      </c>
      <c r="AC16" s="1814">
        <f t="shared" si="5"/>
        <v>1</v>
      </c>
    </row>
    <row r="17" spans="1:29" ht="15">
      <c r="A17" s="405"/>
      <c r="B17" s="633"/>
      <c r="C17" s="2610"/>
      <c r="D17" s="449"/>
      <c r="E17" s="448"/>
      <c r="F17" s="450"/>
      <c r="G17" s="448"/>
      <c r="H17" s="449"/>
      <c r="I17" s="448"/>
      <c r="J17" s="449"/>
      <c r="K17" s="616"/>
      <c r="L17" s="1143"/>
      <c r="M17" s="1134"/>
      <c r="N17" s="1134"/>
      <c r="O17" s="1134"/>
      <c r="P17" s="3193"/>
      <c r="Q17" s="1813"/>
      <c r="R17" s="775"/>
      <c r="S17" s="776"/>
      <c r="T17" s="775"/>
      <c r="U17" s="776"/>
      <c r="V17" s="775"/>
      <c r="W17" s="776"/>
      <c r="X17" s="1816"/>
      <c r="Y17" s="3193"/>
      <c r="Z17" s="1817"/>
      <c r="AA17" s="1814">
        <v>1</v>
      </c>
      <c r="AB17" s="1814">
        <v>1</v>
      </c>
      <c r="AC17" s="1814">
        <v>1</v>
      </c>
    </row>
    <row r="18" spans="1:29" ht="28.5">
      <c r="A18" s="405"/>
      <c r="B18" s="634" t="s">
        <v>2692</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193"/>
      <c r="Q18" s="1813" t="str">
        <f>B18</f>
        <v>基础设施水平</v>
      </c>
      <c r="R18" s="775" t="s">
        <v>17</v>
      </c>
      <c r="S18" s="776">
        <f>F18</f>
        <v>100</v>
      </c>
      <c r="T18" s="775" t="s">
        <v>17</v>
      </c>
      <c r="U18" s="776">
        <f>H18</f>
        <v>100</v>
      </c>
      <c r="V18" s="775" t="s">
        <v>17</v>
      </c>
      <c r="W18" s="776">
        <f>J18</f>
        <v>100</v>
      </c>
      <c r="X18" s="1816"/>
      <c r="Y18" s="3193"/>
      <c r="Z18" s="1817" t="str">
        <f>Q18</f>
        <v>基础设施水平</v>
      </c>
      <c r="AA18" s="1814">
        <f t="shared" ref="AA18" si="8">D18/F18</f>
        <v>1</v>
      </c>
      <c r="AB18" s="1814">
        <f t="shared" ref="AB18" si="9">D18/H18</f>
        <v>1</v>
      </c>
      <c r="AC18" s="1814">
        <f t="shared" ref="AC18" si="10">D18/J18</f>
        <v>1</v>
      </c>
    </row>
    <row r="19" spans="1:29" ht="15">
      <c r="A19" s="405"/>
      <c r="B19" s="634"/>
      <c r="C19" s="2610"/>
      <c r="D19" s="451"/>
      <c r="E19" s="2610"/>
      <c r="F19" s="454"/>
      <c r="G19" s="2610"/>
      <c r="H19" s="449"/>
      <c r="I19" s="448"/>
      <c r="J19" s="449"/>
      <c r="K19" s="1386"/>
      <c r="L19" s="1143"/>
      <c r="M19" s="1134"/>
      <c r="N19" s="1134"/>
      <c r="O19" s="1134"/>
      <c r="P19" s="3193"/>
      <c r="Q19" s="1813"/>
      <c r="R19" s="775"/>
      <c r="S19" s="776"/>
      <c r="T19" s="775"/>
      <c r="U19" s="776"/>
      <c r="V19" s="775"/>
      <c r="W19" s="776"/>
      <c r="X19" s="1816"/>
      <c r="Y19" s="3193"/>
      <c r="Z19" s="1817"/>
      <c r="AA19" s="1814">
        <v>1</v>
      </c>
      <c r="AB19" s="1814">
        <v>1</v>
      </c>
      <c r="AC19" s="1814">
        <v>1</v>
      </c>
    </row>
    <row r="20" spans="1:29" ht="57">
      <c r="A20" s="405"/>
      <c r="B20" s="632" t="s">
        <v>2713</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193"/>
      <c r="Q20" s="1813" t="str">
        <f>B20</f>
        <v>自然及人文环境</v>
      </c>
      <c r="R20" s="775" t="s">
        <v>17</v>
      </c>
      <c r="S20" s="776">
        <f>F20</f>
        <v>100</v>
      </c>
      <c r="T20" s="775" t="s">
        <v>17</v>
      </c>
      <c r="U20" s="776">
        <f>H20</f>
        <v>100</v>
      </c>
      <c r="V20" s="775" t="s">
        <v>17</v>
      </c>
      <c r="W20" s="776">
        <f>J20</f>
        <v>100</v>
      </c>
      <c r="X20" s="1816"/>
      <c r="Y20" s="3193"/>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3"/>
      <c r="M21" s="1134"/>
      <c r="N21" s="1134"/>
      <c r="O21" s="1134"/>
      <c r="P21" s="3193"/>
      <c r="Q21" s="1813"/>
      <c r="R21" s="775"/>
      <c r="S21" s="776"/>
      <c r="T21" s="775"/>
      <c r="U21" s="776"/>
      <c r="V21" s="775"/>
      <c r="W21" s="776"/>
      <c r="X21" s="1816"/>
      <c r="Y21" s="3193"/>
      <c r="Z21" s="1817"/>
      <c r="AA21" s="1814">
        <v>1</v>
      </c>
      <c r="AB21" s="1814">
        <v>1</v>
      </c>
      <c r="AC21" s="1814">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193"/>
      <c r="Q22" s="1813" t="str">
        <f>B22</f>
        <v>楼层</v>
      </c>
      <c r="R22" s="775" t="s">
        <v>17</v>
      </c>
      <c r="S22" s="776">
        <f>F22</f>
        <v>100</v>
      </c>
      <c r="T22" s="775" t="s">
        <v>17</v>
      </c>
      <c r="U22" s="776">
        <f>H22</f>
        <v>100</v>
      </c>
      <c r="V22" s="775" t="s">
        <v>17</v>
      </c>
      <c r="W22" s="776">
        <f>J22</f>
        <v>100</v>
      </c>
      <c r="X22" s="1816"/>
      <c r="Y22" s="3193"/>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193"/>
      <c r="Q23" s="1813">
        <f>B23</f>
        <v>111</v>
      </c>
      <c r="R23" s="775" t="s">
        <v>17</v>
      </c>
      <c r="S23" s="776">
        <f>F23</f>
        <v>100</v>
      </c>
      <c r="T23" s="775" t="s">
        <v>17</v>
      </c>
      <c r="U23" s="776">
        <f>H23</f>
        <v>100</v>
      </c>
      <c r="V23" s="775" t="s">
        <v>17</v>
      </c>
      <c r="W23" s="776">
        <f>J23</f>
        <v>100</v>
      </c>
      <c r="X23" s="1816"/>
      <c r="Y23" s="3193"/>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193"/>
      <c r="Q24" s="1813">
        <f t="shared" ref="Q24:Q36" si="11">B24</f>
        <v>111</v>
      </c>
      <c r="R24" s="775" t="s">
        <v>17</v>
      </c>
      <c r="S24" s="776">
        <f>F24</f>
        <v>100</v>
      </c>
      <c r="T24" s="775" t="s">
        <v>17</v>
      </c>
      <c r="U24" s="776">
        <f>H24</f>
        <v>100</v>
      </c>
      <c r="V24" s="775" t="s">
        <v>17</v>
      </c>
      <c r="W24" s="776">
        <f>J24</f>
        <v>100</v>
      </c>
      <c r="X24" s="1816"/>
      <c r="Y24" s="3193"/>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193"/>
      <c r="Q25" s="1798">
        <f t="shared" si="11"/>
        <v>111</v>
      </c>
      <c r="R25" s="771" t="s">
        <v>17</v>
      </c>
      <c r="S25" s="772">
        <f>F25</f>
        <v>100</v>
      </c>
      <c r="T25" s="771" t="s">
        <v>17</v>
      </c>
      <c r="U25" s="772">
        <f>H25</f>
        <v>100</v>
      </c>
      <c r="V25" s="771" t="s">
        <v>17</v>
      </c>
      <c r="W25" s="772">
        <f>J25</f>
        <v>100</v>
      </c>
      <c r="X25" s="773"/>
      <c r="Y25" s="3193"/>
      <c r="Z25" s="55">
        <f>Q25</f>
        <v>111</v>
      </c>
      <c r="AA25" s="1814">
        <f>D25/F25</f>
        <v>1</v>
      </c>
      <c r="AB25" s="1814">
        <f>D25/H25</f>
        <v>1</v>
      </c>
      <c r="AC25" s="1814">
        <f>D25/J25</f>
        <v>1</v>
      </c>
    </row>
    <row r="26" spans="1:29" ht="15">
      <c r="A26" s="653" t="s">
        <v>2566</v>
      </c>
      <c r="B26" s="70" t="s">
        <v>2715</v>
      </c>
      <c r="C26" s="2695">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48" t="s">
        <v>2568</v>
      </c>
      <c r="Q26" s="1813" t="str">
        <f t="shared" si="11"/>
        <v>配套类型</v>
      </c>
      <c r="R26" s="775" t="s">
        <v>17</v>
      </c>
      <c r="S26" s="776">
        <f t="shared" ref="S26:S36" si="12">F26</f>
        <v>100</v>
      </c>
      <c r="T26" s="775" t="s">
        <v>17</v>
      </c>
      <c r="U26" s="776">
        <f t="shared" ref="U26:U36" si="13">H26</f>
        <v>100</v>
      </c>
      <c r="V26" s="775" t="s">
        <v>17</v>
      </c>
      <c r="W26" s="776">
        <f t="shared" ref="W26:W36" si="14">J26</f>
        <v>100</v>
      </c>
      <c r="X26" s="1816"/>
      <c r="Y26" s="3197" t="s">
        <v>2568</v>
      </c>
      <c r="Z26" s="1817" t="str">
        <f t="shared" ref="Z26:Z36" si="15">Q26</f>
        <v>配套类型</v>
      </c>
      <c r="AA26" s="1814">
        <f t="shared" si="3"/>
        <v>1</v>
      </c>
      <c r="AB26" s="1814">
        <f t="shared" si="4"/>
        <v>1</v>
      </c>
      <c r="AC26" s="1814">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197"/>
      <c r="Q27" s="777" t="str">
        <f t="shared" si="11"/>
        <v>项目停车位配比</v>
      </c>
      <c r="R27" s="778" t="s">
        <v>17</v>
      </c>
      <c r="S27" s="779">
        <f t="shared" si="12"/>
        <v>100</v>
      </c>
      <c r="T27" s="778" t="s">
        <v>17</v>
      </c>
      <c r="U27" s="779">
        <f t="shared" si="13"/>
        <v>100</v>
      </c>
      <c r="V27" s="778" t="s">
        <v>17</v>
      </c>
      <c r="W27" s="779">
        <f t="shared" si="14"/>
        <v>100</v>
      </c>
      <c r="X27" s="780"/>
      <c r="Y27" s="3197"/>
      <c r="Z27" s="781" t="str">
        <f t="shared" si="15"/>
        <v>项目停车位配比</v>
      </c>
      <c r="AA27" s="1814">
        <f t="shared" si="3"/>
        <v>1</v>
      </c>
      <c r="AB27" s="1814">
        <f t="shared" si="4"/>
        <v>1</v>
      </c>
      <c r="AC27" s="1814">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197"/>
      <c r="Q28" s="1813" t="str">
        <f t="shared" si="11"/>
        <v>公共部分装修</v>
      </c>
      <c r="R28" s="775" t="s">
        <v>17</v>
      </c>
      <c r="S28" s="776">
        <f t="shared" si="12"/>
        <v>100</v>
      </c>
      <c r="T28" s="775" t="s">
        <v>17</v>
      </c>
      <c r="U28" s="776">
        <f t="shared" si="13"/>
        <v>100</v>
      </c>
      <c r="V28" s="775" t="s">
        <v>17</v>
      </c>
      <c r="W28" s="776">
        <f t="shared" si="14"/>
        <v>100</v>
      </c>
      <c r="X28" s="1816"/>
      <c r="Y28" s="3197"/>
      <c r="Z28" s="1817" t="str">
        <f t="shared" si="15"/>
        <v>公共部分装修</v>
      </c>
      <c r="AA28" s="1814">
        <f t="shared" si="3"/>
        <v>1</v>
      </c>
      <c r="AB28" s="1814">
        <f t="shared" si="4"/>
        <v>1</v>
      </c>
      <c r="AC28" s="1814">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197"/>
      <c r="Q29" s="1813" t="str">
        <f t="shared" si="11"/>
        <v>成新率</v>
      </c>
      <c r="R29" s="775" t="s">
        <v>17</v>
      </c>
      <c r="S29" s="776" t="e">
        <f t="shared" si="12"/>
        <v>#N/A</v>
      </c>
      <c r="T29" s="775" t="s">
        <v>17</v>
      </c>
      <c r="U29" s="776" t="e">
        <f t="shared" si="13"/>
        <v>#N/A</v>
      </c>
      <c r="V29" s="775" t="s">
        <v>17</v>
      </c>
      <c r="W29" s="776" t="e">
        <f t="shared" si="14"/>
        <v>#N/A</v>
      </c>
      <c r="X29" s="1816"/>
      <c r="Y29" s="3197"/>
      <c r="Z29" s="1817" t="str">
        <f t="shared" si="15"/>
        <v>成新率</v>
      </c>
      <c r="AA29" s="1814" t="e">
        <f t="shared" si="3"/>
        <v>#N/A</v>
      </c>
      <c r="AB29" s="1814" t="e">
        <f t="shared" si="4"/>
        <v>#N/A</v>
      </c>
      <c r="AC29" s="1814"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197"/>
      <c r="Q30" s="1813" t="str">
        <f t="shared" si="11"/>
        <v>物业等级</v>
      </c>
      <c r="R30" s="775" t="s">
        <v>17</v>
      </c>
      <c r="S30" s="776">
        <f t="shared" si="12"/>
        <v>100</v>
      </c>
      <c r="T30" s="775" t="s">
        <v>17</v>
      </c>
      <c r="U30" s="776">
        <f t="shared" si="13"/>
        <v>100</v>
      </c>
      <c r="V30" s="775" t="s">
        <v>17</v>
      </c>
      <c r="W30" s="776">
        <f t="shared" si="14"/>
        <v>100</v>
      </c>
      <c r="X30" s="1816"/>
      <c r="Y30" s="3197"/>
      <c r="Z30" s="1817" t="str">
        <f t="shared" si="15"/>
        <v>物业等级</v>
      </c>
      <c r="AA30" s="1814">
        <f t="shared" si="3"/>
        <v>1</v>
      </c>
      <c r="AB30" s="1814">
        <f t="shared" si="4"/>
        <v>1</v>
      </c>
      <c r="AC30" s="1814">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197"/>
      <c r="Q31" s="1798" t="str">
        <f t="shared" si="11"/>
        <v>停车位面积</v>
      </c>
      <c r="R31" s="771" t="s">
        <v>17</v>
      </c>
      <c r="S31" s="772" t="e">
        <f t="shared" si="12"/>
        <v>#N/A</v>
      </c>
      <c r="T31" s="771" t="s">
        <v>17</v>
      </c>
      <c r="U31" s="772" t="e">
        <f t="shared" si="13"/>
        <v>#N/A</v>
      </c>
      <c r="V31" s="771" t="s">
        <v>17</v>
      </c>
      <c r="W31" s="772" t="e">
        <f t="shared" si="14"/>
        <v>#N/A</v>
      </c>
      <c r="X31" s="773"/>
      <c r="Y31" s="3197"/>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197" t="s">
        <v>2568</v>
      </c>
      <c r="Q32" s="1813" t="str">
        <f t="shared" si="11"/>
        <v>车位类型</v>
      </c>
      <c r="R32" s="775" t="s">
        <v>17</v>
      </c>
      <c r="S32" s="776">
        <f t="shared" si="12"/>
        <v>100</v>
      </c>
      <c r="T32" s="775" t="s">
        <v>17</v>
      </c>
      <c r="U32" s="776">
        <f t="shared" si="13"/>
        <v>100</v>
      </c>
      <c r="V32" s="775" t="s">
        <v>17</v>
      </c>
      <c r="W32" s="776">
        <f t="shared" si="14"/>
        <v>100</v>
      </c>
      <c r="X32" s="1816"/>
      <c r="Y32" s="3197" t="s">
        <v>2568</v>
      </c>
      <c r="Z32" s="1817" t="str">
        <f t="shared" si="15"/>
        <v>车位类型</v>
      </c>
      <c r="AA32" s="1814">
        <f t="shared" si="3"/>
        <v>1</v>
      </c>
      <c r="AB32" s="1814">
        <f t="shared" si="4"/>
        <v>1</v>
      </c>
      <c r="AC32" s="1814">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197"/>
      <c r="Q33" s="1813" t="str">
        <f t="shared" si="11"/>
        <v>是否直接入户</v>
      </c>
      <c r="R33" s="775" t="s">
        <v>17</v>
      </c>
      <c r="S33" s="776">
        <f t="shared" si="12"/>
        <v>100</v>
      </c>
      <c r="T33" s="775" t="s">
        <v>17</v>
      </c>
      <c r="U33" s="776">
        <f t="shared" si="13"/>
        <v>100</v>
      </c>
      <c r="V33" s="775" t="s">
        <v>17</v>
      </c>
      <c r="W33" s="776">
        <f t="shared" si="14"/>
        <v>100</v>
      </c>
      <c r="X33" s="1816"/>
      <c r="Y33" s="3197"/>
      <c r="Z33" s="1817" t="str">
        <f t="shared" si="15"/>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197"/>
      <c r="Q34" s="1813">
        <f t="shared" si="11"/>
        <v>111</v>
      </c>
      <c r="R34" s="775" t="s">
        <v>17</v>
      </c>
      <c r="S34" s="776">
        <f t="shared" si="12"/>
        <v>100</v>
      </c>
      <c r="T34" s="775" t="s">
        <v>17</v>
      </c>
      <c r="U34" s="776">
        <f t="shared" si="13"/>
        <v>100</v>
      </c>
      <c r="V34" s="775" t="s">
        <v>17</v>
      </c>
      <c r="W34" s="776">
        <f t="shared" si="14"/>
        <v>100</v>
      </c>
      <c r="X34" s="1816"/>
      <c r="Y34" s="3197"/>
      <c r="Z34" s="1817">
        <f t="shared" si="15"/>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197"/>
      <c r="Q35" s="777">
        <f t="shared" si="11"/>
        <v>111</v>
      </c>
      <c r="R35" s="778" t="s">
        <v>17</v>
      </c>
      <c r="S35" s="779">
        <f t="shared" si="12"/>
        <v>100</v>
      </c>
      <c r="T35" s="778" t="s">
        <v>17</v>
      </c>
      <c r="U35" s="779">
        <f t="shared" si="13"/>
        <v>100</v>
      </c>
      <c r="V35" s="778" t="s">
        <v>17</v>
      </c>
      <c r="W35" s="779">
        <f t="shared" si="14"/>
        <v>100</v>
      </c>
      <c r="X35" s="780"/>
      <c r="Y35" s="3197"/>
      <c r="Z35" s="781">
        <f t="shared" si="15"/>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197"/>
      <c r="Q36" s="1813">
        <f t="shared" si="11"/>
        <v>111</v>
      </c>
      <c r="R36" s="775" t="s">
        <v>17</v>
      </c>
      <c r="S36" s="776">
        <f t="shared" si="12"/>
        <v>100</v>
      </c>
      <c r="T36" s="775" t="s">
        <v>17</v>
      </c>
      <c r="U36" s="776">
        <f t="shared" si="13"/>
        <v>100</v>
      </c>
      <c r="V36" s="775" t="s">
        <v>17</v>
      </c>
      <c r="W36" s="776">
        <f t="shared" si="14"/>
        <v>100</v>
      </c>
      <c r="X36" s="1816"/>
      <c r="Y36" s="3197"/>
      <c r="Z36" s="1817">
        <f t="shared" si="15"/>
        <v>111</v>
      </c>
      <c r="AA36" s="1814">
        <f t="shared" si="3"/>
        <v>1</v>
      </c>
      <c r="AB36" s="1814">
        <f t="shared" si="4"/>
        <v>1</v>
      </c>
      <c r="AC36" s="1814">
        <f t="shared" si="5"/>
        <v>1</v>
      </c>
    </row>
    <row r="37" spans="1:29" ht="15">
      <c r="A37" s="480" t="s">
        <v>2723</v>
      </c>
      <c r="B37" s="2696" t="s">
        <v>2724</v>
      </c>
      <c r="C37" s="1410" t="s">
        <v>1</v>
      </c>
      <c r="D37" s="1411"/>
      <c r="E37" s="1412"/>
      <c r="F37" s="1413"/>
      <c r="G37" s="1414"/>
      <c r="H37" s="1415"/>
      <c r="I37" s="1412"/>
      <c r="J37" s="1415"/>
      <c r="K37" s="620"/>
      <c r="L37" s="1146"/>
      <c r="M37" s="1147"/>
      <c r="N37" s="1134"/>
      <c r="O37" s="1147"/>
      <c r="P37" s="3185" t="str">
        <f>A37</f>
        <v>成交单价</v>
      </c>
      <c r="Q37" s="3185"/>
      <c r="R37" s="3186">
        <f>E37</f>
        <v>0</v>
      </c>
      <c r="S37" s="3186"/>
      <c r="T37" s="3186">
        <f>G37</f>
        <v>0</v>
      </c>
      <c r="U37" s="3186"/>
      <c r="V37" s="3186">
        <f>I37</f>
        <v>0</v>
      </c>
      <c r="W37" s="3186"/>
      <c r="X37" s="760"/>
      <c r="Y37" s="782"/>
      <c r="Z37" s="760"/>
      <c r="AA37" s="760"/>
      <c r="AB37" s="760"/>
      <c r="AC37" s="760"/>
    </row>
    <row r="38" spans="1:29" ht="15.75" thickBot="1">
      <c r="A38" s="487" t="s">
        <v>2725</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185" t="str">
        <f>A38</f>
        <v>比较价值（元/平方米）</v>
      </c>
      <c r="Q38" s="3185"/>
      <c r="R38" s="3186" t="e">
        <f>IF(F1="售价",ROUND(PRODUCT(R37,AA7:AA36),0),ROUND(PRODUCT(R37,AA7:AA36),1))</f>
        <v>#DIV/0!</v>
      </c>
      <c r="S38" s="3186"/>
      <c r="T38" s="3186" t="e">
        <f>IF(F1="售价",ROUND(PRODUCT(T37,AB7:AB36),0),ROUND(PRODUCT(T37,AB7:AB36),1))</f>
        <v>#DIV/0!</v>
      </c>
      <c r="U38" s="3186"/>
      <c r="V38" s="3186" t="e">
        <f>IF(F1="售价",ROUND(PRODUCT(V37,AC7:AC36),0),ROUND(PRODUCT(V37,AC7:AC36),1))</f>
        <v>#DIV/0!</v>
      </c>
      <c r="W38" s="3186"/>
      <c r="X38" s="760"/>
      <c r="Y38" s="760"/>
      <c r="Z38" s="760"/>
      <c r="AA38" s="760"/>
      <c r="AB38" s="760"/>
      <c r="AC38" s="760"/>
    </row>
    <row r="39" spans="1:29" ht="15.75" thickBot="1">
      <c r="A39" s="493" t="s">
        <v>2726</v>
      </c>
      <c r="B39" s="494"/>
      <c r="C39" s="1420" t="e">
        <f>R39</f>
        <v>#DIV/0!</v>
      </c>
      <c r="D39" s="1420"/>
      <c r="E39" s="1420"/>
      <c r="F39" s="1420"/>
      <c r="G39" s="1420"/>
      <c r="H39" s="1420"/>
      <c r="I39" s="1420"/>
      <c r="J39" s="1420"/>
      <c r="K39" s="622"/>
      <c r="L39" s="1146"/>
      <c r="M39" s="1147"/>
      <c r="N39" s="1147"/>
      <c r="O39" s="1147"/>
      <c r="P39" s="3187" t="str">
        <f>A39</f>
        <v>估价对象XX用房的比较价值（楼面单价，元/平方米）</v>
      </c>
      <c r="Q39" s="3188"/>
      <c r="R39" s="3189" t="e">
        <f>IF(F1="售价",ROUND(AVERAGE(R38:V38),0),ROUND(AVERAGE(R38:V38),1))</f>
        <v>#DIV/0!</v>
      </c>
      <c r="S39" s="3189"/>
      <c r="T39" s="3189"/>
      <c r="U39" s="3189"/>
      <c r="V39" s="3189"/>
      <c r="W39" s="3189"/>
      <c r="X39" s="760"/>
      <c r="Y39" s="760"/>
      <c r="Z39" s="760"/>
      <c r="AA39" s="760"/>
      <c r="AB39" s="760"/>
      <c r="AC39" s="760"/>
    </row>
    <row r="40" spans="1:29">
      <c r="A40" s="1147"/>
      <c r="B40" s="1147"/>
      <c r="C40" s="1147"/>
      <c r="D40" s="1147"/>
      <c r="E40" s="1147"/>
      <c r="F40" s="1147"/>
      <c r="G40" s="1150"/>
      <c r="H40" s="1147"/>
      <c r="I40" s="1147"/>
      <c r="J40" s="1147"/>
      <c r="K40" s="1109"/>
      <c r="L40" s="1110"/>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9"/>
      <c r="L41" s="1110"/>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9"/>
      <c r="L46" s="1110"/>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2731</v>
      </c>
      <c r="B48" s="507"/>
      <c r="C48" s="1578" t="str">
        <f>YEAR(C7)&amp;"-"&amp;MONTH(C7)</f>
        <v>2017-10</v>
      </c>
      <c r="D48" s="1579">
        <f>EDATE(C48,-1)</f>
        <v>42979</v>
      </c>
      <c r="E48" s="1579">
        <f t="shared" ref="E48:O48" si="16">EDATE(D48,-1)</f>
        <v>42948</v>
      </c>
      <c r="F48" s="1579">
        <f t="shared" si="16"/>
        <v>42917</v>
      </c>
      <c r="G48" s="1579">
        <f t="shared" si="16"/>
        <v>42887</v>
      </c>
      <c r="H48" s="1579">
        <f t="shared" si="16"/>
        <v>42856</v>
      </c>
      <c r="I48" s="1579">
        <f t="shared" si="16"/>
        <v>42826</v>
      </c>
      <c r="J48" s="1579">
        <f t="shared" si="16"/>
        <v>42795</v>
      </c>
      <c r="K48" s="1579">
        <f t="shared" si="16"/>
        <v>42767</v>
      </c>
      <c r="L48" s="1579">
        <f t="shared" si="16"/>
        <v>42736</v>
      </c>
      <c r="M48" s="1579">
        <f t="shared" si="16"/>
        <v>42705</v>
      </c>
      <c r="N48" s="1579">
        <f t="shared" si="16"/>
        <v>42675</v>
      </c>
      <c r="O48" s="1579">
        <f t="shared" si="16"/>
        <v>42644</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2588</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2553</v>
      </c>
      <c r="B51" s="511"/>
      <c r="C51" s="523" t="s">
        <v>2655</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2591</v>
      </c>
      <c r="B53" s="529" t="s">
        <v>2557</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2606</v>
      </c>
      <c r="C65" s="579" t="s">
        <v>2600</v>
      </c>
      <c r="D65" s="579" t="s">
        <v>2601</v>
      </c>
      <c r="E65" s="579" t="s">
        <v>2602</v>
      </c>
      <c r="F65" s="579" t="s">
        <v>2603</v>
      </c>
      <c r="G65" s="579" t="s">
        <v>2604</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2692</v>
      </c>
      <c r="C67" s="661" t="s">
        <v>2678</v>
      </c>
      <c r="D67" s="661" t="s">
        <v>2679</v>
      </c>
      <c r="E67" s="661" t="s">
        <v>2680</v>
      </c>
      <c r="F67" s="661" t="s">
        <v>2681</v>
      </c>
      <c r="G67" s="661" t="s">
        <v>2682</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2612</v>
      </c>
      <c r="C69" s="579" t="s">
        <v>2600</v>
      </c>
      <c r="D69" s="579" t="s">
        <v>2601</v>
      </c>
      <c r="E69" s="579" t="s">
        <v>2602</v>
      </c>
      <c r="F69" s="579" t="s">
        <v>2603</v>
      </c>
      <c r="G69" s="579" t="s">
        <v>2604</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2732</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2566</v>
      </c>
      <c r="B79" s="529" t="s">
        <v>2733</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2734</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2619</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2736</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2738</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2739</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IF(C2="——",ROUND(C37*D3/10000,0),ROUND(C37*D3/10000,0)-D2)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213" t="s">
        <v>2649</v>
      </c>
      <c r="D4" s="3214"/>
      <c r="E4" s="3215" t="s">
        <v>2650</v>
      </c>
      <c r="F4" s="3216"/>
      <c r="G4" s="3213" t="s">
        <v>2651</v>
      </c>
      <c r="H4" s="3214"/>
      <c r="I4" s="3213" t="s">
        <v>2652</v>
      </c>
      <c r="J4" s="3214"/>
      <c r="K4" s="611" t="s">
        <v>2653</v>
      </c>
      <c r="L4" s="1133"/>
      <c r="M4" s="1134"/>
      <c r="N4" s="1134"/>
      <c r="O4" s="1134"/>
      <c r="P4" s="3217" t="s">
        <v>2654</v>
      </c>
      <c r="Q4" s="3218"/>
      <c r="R4" s="3200" t="s">
        <v>2650</v>
      </c>
      <c r="S4" s="3201"/>
      <c r="T4" s="3200" t="s">
        <v>2651</v>
      </c>
      <c r="U4" s="3201"/>
      <c r="V4" s="3206" t="s">
        <v>2652</v>
      </c>
      <c r="W4" s="3206"/>
      <c r="X4" s="1816"/>
      <c r="Y4" s="3200" t="s">
        <v>2654</v>
      </c>
      <c r="Z4" s="3201"/>
      <c r="AA4" s="3210" t="s">
        <v>2650</v>
      </c>
      <c r="AB4" s="3211" t="s">
        <v>2651</v>
      </c>
      <c r="AC4" s="3210" t="s">
        <v>2652</v>
      </c>
    </row>
    <row r="5" spans="1:29" ht="15">
      <c r="A5" s="405"/>
      <c r="B5" s="406"/>
      <c r="C5" s="3223" t="s">
        <v>2545</v>
      </c>
      <c r="D5" s="3224"/>
      <c r="E5" s="3231" t="s">
        <v>2546</v>
      </c>
      <c r="F5" s="3232"/>
      <c r="G5" s="3223" t="s">
        <v>2547</v>
      </c>
      <c r="H5" s="3224"/>
      <c r="I5" s="3223" t="s">
        <v>2548</v>
      </c>
      <c r="J5" s="3224"/>
      <c r="K5" s="611"/>
      <c r="L5" s="1133"/>
      <c r="M5" s="1134"/>
      <c r="N5" s="1134"/>
      <c r="O5" s="1134"/>
      <c r="P5" s="3219"/>
      <c r="Q5" s="3220"/>
      <c r="R5" s="3202"/>
      <c r="S5" s="3203"/>
      <c r="T5" s="3202"/>
      <c r="U5" s="3203"/>
      <c r="V5" s="3206"/>
      <c r="W5" s="3206"/>
      <c r="X5" s="1816"/>
      <c r="Y5" s="3202"/>
      <c r="Z5" s="3203"/>
      <c r="AA5" s="3211"/>
      <c r="AB5" s="3211"/>
      <c r="AC5" s="3211"/>
    </row>
    <row r="6" spans="1:29" ht="15.75" thickBot="1">
      <c r="A6" s="407"/>
      <c r="B6" s="408"/>
      <c r="C6" s="3225" t="s">
        <v>2549</v>
      </c>
      <c r="D6" s="3226"/>
      <c r="E6" s="3227" t="s">
        <v>2549</v>
      </c>
      <c r="F6" s="3228"/>
      <c r="G6" s="3225" t="s">
        <v>2549</v>
      </c>
      <c r="H6" s="3226"/>
      <c r="I6" s="3225" t="s">
        <v>2549</v>
      </c>
      <c r="J6" s="3226"/>
      <c r="K6" s="611" t="s">
        <v>2550</v>
      </c>
      <c r="L6" s="1133"/>
      <c r="M6" s="1134"/>
      <c r="N6" s="1134"/>
      <c r="O6" s="1134"/>
      <c r="P6" s="3221"/>
      <c r="Q6" s="3222"/>
      <c r="R6" s="3202"/>
      <c r="S6" s="3203"/>
      <c r="T6" s="3204"/>
      <c r="U6" s="3205"/>
      <c r="V6" s="3206"/>
      <c r="W6" s="3206"/>
      <c r="X6" s="1816"/>
      <c r="Y6" s="3204"/>
      <c r="Z6" s="3205"/>
      <c r="AA6" s="3212"/>
      <c r="AB6" s="3212"/>
      <c r="AC6" s="3212"/>
    </row>
    <row r="7" spans="1:29" s="117" customFormat="1" ht="15.75" thickBot="1">
      <c r="A7" s="409" t="s">
        <v>2551</v>
      </c>
      <c r="B7" s="410"/>
      <c r="C7" s="411">
        <f>'数据-取费表'!B2</f>
        <v>43017</v>
      </c>
      <c r="D7" s="412">
        <v>100</v>
      </c>
      <c r="E7" s="413"/>
      <c r="F7" s="414">
        <f>SUMIF(46:46,YEAR(E7)&amp;"-"&amp;MONTH(E7),47:47)</f>
        <v>0</v>
      </c>
      <c r="G7" s="2697"/>
      <c r="H7" s="412">
        <f>SUMIF(46:46,YEAR(G7)&amp;"-"&amp;MONTH(G7),47:47)</f>
        <v>0</v>
      </c>
      <c r="I7" s="413"/>
      <c r="J7" s="412">
        <f>SUMIF(46:46,YEAR(I7)&amp;"-"&amp;MONTH(I7),47:47)</f>
        <v>0</v>
      </c>
      <c r="K7" s="612"/>
      <c r="L7" s="1135"/>
      <c r="M7" s="1136"/>
      <c r="N7" s="1136"/>
      <c r="O7" s="1136"/>
      <c r="P7" s="3207" t="s">
        <v>2552</v>
      </c>
      <c r="Q7" s="3208"/>
      <c r="R7" s="771" t="s">
        <v>17</v>
      </c>
      <c r="S7" s="772">
        <f t="shared" ref="S7:S14" si="0">F7</f>
        <v>0</v>
      </c>
      <c r="T7" s="771" t="s">
        <v>17</v>
      </c>
      <c r="U7" s="772">
        <f t="shared" ref="U7:U14" si="1">H7</f>
        <v>0</v>
      </c>
      <c r="V7" s="771" t="s">
        <v>17</v>
      </c>
      <c r="W7" s="772">
        <f t="shared" ref="W7:W14" si="2">J7</f>
        <v>0</v>
      </c>
      <c r="X7" s="773"/>
      <c r="Y7" s="3207" t="s">
        <v>2552</v>
      </c>
      <c r="Z7" s="3209"/>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07" t="s">
        <v>2555</v>
      </c>
      <c r="Q8" s="3209"/>
      <c r="R8" s="771" t="s">
        <v>17</v>
      </c>
      <c r="S8" s="772">
        <f t="shared" si="0"/>
        <v>0</v>
      </c>
      <c r="T8" s="771" t="s">
        <v>17</v>
      </c>
      <c r="U8" s="772">
        <f t="shared" si="1"/>
        <v>0</v>
      </c>
      <c r="V8" s="771" t="s">
        <v>17</v>
      </c>
      <c r="W8" s="772">
        <f t="shared" si="2"/>
        <v>0</v>
      </c>
      <c r="X8" s="773"/>
      <c r="Y8" s="3207" t="s">
        <v>2555</v>
      </c>
      <c r="Z8" s="3209"/>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85" t="s">
        <v>2558</v>
      </c>
      <c r="Q9" s="1798" t="str">
        <f t="shared" ref="Q9:Q14" si="6">B9</f>
        <v>用途</v>
      </c>
      <c r="R9" s="771" t="s">
        <v>17</v>
      </c>
      <c r="S9" s="772">
        <f t="shared" si="0"/>
        <v>100</v>
      </c>
      <c r="T9" s="771" t="s">
        <v>17</v>
      </c>
      <c r="U9" s="772">
        <f t="shared" si="1"/>
        <v>100</v>
      </c>
      <c r="V9" s="771" t="s">
        <v>17</v>
      </c>
      <c r="W9" s="772">
        <f t="shared" si="2"/>
        <v>100</v>
      </c>
      <c r="X9" s="773"/>
      <c r="Y9" s="3035"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85"/>
      <c r="Q10" s="1798" t="str">
        <f t="shared" si="6"/>
        <v>土地使用年限（年）</v>
      </c>
      <c r="R10" s="771" t="s">
        <v>17</v>
      </c>
      <c r="S10" s="772">
        <f t="shared" si="0"/>
        <v>100</v>
      </c>
      <c r="T10" s="771" t="s">
        <v>17</v>
      </c>
      <c r="U10" s="772">
        <f t="shared" si="1"/>
        <v>100</v>
      </c>
      <c r="V10" s="771" t="s">
        <v>17</v>
      </c>
      <c r="W10" s="772">
        <f t="shared" si="2"/>
        <v>100</v>
      </c>
      <c r="X10" s="773"/>
      <c r="Y10" s="3035"/>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85"/>
      <c r="Q11" s="1798">
        <f t="shared" si="6"/>
        <v>111</v>
      </c>
      <c r="R11" s="771" t="s">
        <v>17</v>
      </c>
      <c r="S11" s="772">
        <f t="shared" si="0"/>
        <v>100</v>
      </c>
      <c r="T11" s="771" t="s">
        <v>17</v>
      </c>
      <c r="U11" s="772">
        <f t="shared" si="1"/>
        <v>100</v>
      </c>
      <c r="V11" s="771" t="s">
        <v>17</v>
      </c>
      <c r="W11" s="772">
        <f t="shared" si="2"/>
        <v>100</v>
      </c>
      <c r="X11" s="773"/>
      <c r="Y11" s="3035"/>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85"/>
      <c r="Q12" s="1798">
        <f t="shared" si="6"/>
        <v>111</v>
      </c>
      <c r="R12" s="771" t="s">
        <v>17</v>
      </c>
      <c r="S12" s="772">
        <f t="shared" si="0"/>
        <v>100</v>
      </c>
      <c r="T12" s="771" t="s">
        <v>17</v>
      </c>
      <c r="U12" s="772">
        <f t="shared" si="1"/>
        <v>100</v>
      </c>
      <c r="V12" s="771" t="s">
        <v>17</v>
      </c>
      <c r="W12" s="772">
        <f t="shared" si="2"/>
        <v>100</v>
      </c>
      <c r="X12" s="773"/>
      <c r="Y12" s="3035"/>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8"/>
      <c r="H13" s="439">
        <f>SUMIF(59:59,G13,60:60)-SUMIF(59:59,C13,60:60)+100</f>
        <v>100</v>
      </c>
      <c r="I13" s="470"/>
      <c r="J13" s="436">
        <f>SUMIF(59:59,I13,60:60)-SUMIF(59:59,C13,60:60)+100</f>
        <v>100</v>
      </c>
      <c r="K13" s="614"/>
      <c r="L13" s="1143"/>
      <c r="M13" s="1134"/>
      <c r="N13" s="1134"/>
      <c r="O13" s="1142"/>
      <c r="P13" s="3185"/>
      <c r="Q13" s="1798">
        <f t="shared" si="6"/>
        <v>111</v>
      </c>
      <c r="R13" s="771" t="s">
        <v>17</v>
      </c>
      <c r="S13" s="772">
        <f t="shared" si="0"/>
        <v>100</v>
      </c>
      <c r="T13" s="771" t="s">
        <v>17</v>
      </c>
      <c r="U13" s="772">
        <f t="shared" si="1"/>
        <v>100</v>
      </c>
      <c r="V13" s="771" t="s">
        <v>17</v>
      </c>
      <c r="W13" s="772">
        <f t="shared" si="2"/>
        <v>100</v>
      </c>
      <c r="X13" s="773"/>
      <c r="Y13" s="3035"/>
      <c r="Z13" s="55">
        <f t="shared" si="7"/>
        <v>111</v>
      </c>
      <c r="AA13" s="774">
        <f t="shared" si="3"/>
        <v>1</v>
      </c>
      <c r="AB13" s="774">
        <f t="shared" si="4"/>
        <v>1</v>
      </c>
      <c r="AC13" s="774">
        <f t="shared" si="5"/>
        <v>1</v>
      </c>
    </row>
    <row r="14" spans="1:29" ht="85.5">
      <c r="A14" s="441" t="s">
        <v>2562</v>
      </c>
      <c r="B14" s="69" t="s">
        <v>2712</v>
      </c>
      <c r="C14" s="2694"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92" t="s">
        <v>2563</v>
      </c>
      <c r="Q14" s="1813" t="str">
        <f t="shared" si="6"/>
        <v>交通便捷度</v>
      </c>
      <c r="R14" s="775" t="s">
        <v>17</v>
      </c>
      <c r="S14" s="776">
        <f t="shared" si="0"/>
        <v>100</v>
      </c>
      <c r="T14" s="775" t="s">
        <v>17</v>
      </c>
      <c r="U14" s="776">
        <f t="shared" si="1"/>
        <v>100</v>
      </c>
      <c r="V14" s="775" t="s">
        <v>17</v>
      </c>
      <c r="W14" s="776">
        <f t="shared" si="2"/>
        <v>100</v>
      </c>
      <c r="X14" s="1816"/>
      <c r="Y14" s="3192" t="s">
        <v>2563</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3"/>
      <c r="M15" s="1134"/>
      <c r="N15" s="1134"/>
      <c r="O15" s="1142"/>
      <c r="P15" s="3193"/>
      <c r="Q15" s="1813"/>
      <c r="R15" s="775"/>
      <c r="S15" s="776"/>
      <c r="T15" s="775"/>
      <c r="U15" s="776"/>
      <c r="V15" s="775"/>
      <c r="W15" s="776"/>
      <c r="X15" s="1816"/>
      <c r="Y15" s="3193"/>
      <c r="Z15" s="1817"/>
      <c r="AA15" s="1814">
        <v>1</v>
      </c>
      <c r="AB15" s="1814">
        <v>1</v>
      </c>
      <c r="AC15" s="1814">
        <v>1</v>
      </c>
    </row>
    <row r="16" spans="1:29" ht="42.75">
      <c r="A16" s="429"/>
      <c r="B16" s="452" t="s">
        <v>2691</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193"/>
      <c r="Q16" s="1813" t="str">
        <f>B16</f>
        <v>公共配套设施</v>
      </c>
      <c r="R16" s="775" t="s">
        <v>17</v>
      </c>
      <c r="S16" s="776">
        <f>F16</f>
        <v>100</v>
      </c>
      <c r="T16" s="775" t="s">
        <v>17</v>
      </c>
      <c r="U16" s="776">
        <f>H16</f>
        <v>100</v>
      </c>
      <c r="V16" s="775" t="s">
        <v>17</v>
      </c>
      <c r="W16" s="776">
        <f>J16</f>
        <v>100</v>
      </c>
      <c r="X16" s="1816"/>
      <c r="Y16" s="3193"/>
      <c r="Z16" s="1817" t="str">
        <f>Q16</f>
        <v>公共配套设施</v>
      </c>
      <c r="AA16" s="1814">
        <f t="shared" si="3"/>
        <v>1</v>
      </c>
      <c r="AB16" s="1814">
        <f t="shared" si="4"/>
        <v>1</v>
      </c>
      <c r="AC16" s="1814">
        <f t="shared" si="5"/>
        <v>1</v>
      </c>
    </row>
    <row r="17" spans="1:29" ht="15">
      <c r="A17" s="429"/>
      <c r="B17" s="457"/>
      <c r="C17" s="2610"/>
      <c r="D17" s="449"/>
      <c r="E17" s="448"/>
      <c r="F17" s="450"/>
      <c r="G17" s="448"/>
      <c r="H17" s="449"/>
      <c r="I17" s="448"/>
      <c r="J17" s="449"/>
      <c r="K17" s="616"/>
      <c r="L17" s="1143"/>
      <c r="M17" s="1134"/>
      <c r="N17" s="1134"/>
      <c r="O17" s="1142"/>
      <c r="P17" s="3193"/>
      <c r="Q17" s="1813"/>
      <c r="R17" s="775"/>
      <c r="S17" s="776"/>
      <c r="T17" s="775"/>
      <c r="U17" s="776"/>
      <c r="V17" s="775"/>
      <c r="W17" s="776"/>
      <c r="X17" s="1816"/>
      <c r="Y17" s="3193"/>
      <c r="Z17" s="1817"/>
      <c r="AA17" s="1814">
        <v>1</v>
      </c>
      <c r="AB17" s="1814">
        <v>1</v>
      </c>
      <c r="AC17" s="1814">
        <v>1</v>
      </c>
    </row>
    <row r="18" spans="1:29" ht="28.5">
      <c r="A18" s="429"/>
      <c r="B18" s="1387" t="s">
        <v>2692</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193"/>
      <c r="Q18" s="1813" t="str">
        <f>B18</f>
        <v>基础设施水平</v>
      </c>
      <c r="R18" s="775" t="s">
        <v>17</v>
      </c>
      <c r="S18" s="776">
        <f>F18</f>
        <v>100</v>
      </c>
      <c r="T18" s="775" t="s">
        <v>17</v>
      </c>
      <c r="U18" s="776">
        <f>H18</f>
        <v>100</v>
      </c>
      <c r="V18" s="775" t="s">
        <v>17</v>
      </c>
      <c r="W18" s="776">
        <f>J18</f>
        <v>100</v>
      </c>
      <c r="X18" s="1816"/>
      <c r="Y18" s="3193"/>
      <c r="Z18" s="1817" t="str">
        <f>Q18</f>
        <v>基础设施水平</v>
      </c>
      <c r="AA18" s="1814">
        <f t="shared" ref="AA18" si="8">D18/F18</f>
        <v>1</v>
      </c>
      <c r="AB18" s="1814">
        <f t="shared" ref="AB18" si="9">D18/H18</f>
        <v>1</v>
      </c>
      <c r="AC18" s="1814">
        <f t="shared" ref="AC18" si="10">D18/J18</f>
        <v>1</v>
      </c>
    </row>
    <row r="19" spans="1:29" ht="15">
      <c r="A19" s="429"/>
      <c r="B19" s="1387"/>
      <c r="C19" s="2610"/>
      <c r="D19" s="451"/>
      <c r="E19" s="2610"/>
      <c r="F19" s="454"/>
      <c r="G19" s="2610"/>
      <c r="H19" s="449"/>
      <c r="I19" s="448"/>
      <c r="J19" s="449"/>
      <c r="K19" s="1386"/>
      <c r="L19" s="1143"/>
      <c r="M19" s="1134"/>
      <c r="N19" s="1134"/>
      <c r="O19" s="1142"/>
      <c r="P19" s="3193"/>
      <c r="Q19" s="1813"/>
      <c r="R19" s="775"/>
      <c r="S19" s="776"/>
      <c r="T19" s="775"/>
      <c r="U19" s="776"/>
      <c r="V19" s="775"/>
      <c r="W19" s="776"/>
      <c r="X19" s="1816"/>
      <c r="Y19" s="3193"/>
      <c r="Z19" s="1817"/>
      <c r="AA19" s="1814">
        <v>1</v>
      </c>
      <c r="AB19" s="1814">
        <v>1</v>
      </c>
      <c r="AC19" s="1814">
        <v>1</v>
      </c>
    </row>
    <row r="20" spans="1:29" ht="57">
      <c r="A20" s="429"/>
      <c r="B20" s="452" t="s">
        <v>2713</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193"/>
      <c r="Q20" s="1813" t="str">
        <f>B20</f>
        <v>自然及人文环境</v>
      </c>
      <c r="R20" s="775" t="s">
        <v>17</v>
      </c>
      <c r="S20" s="776">
        <f>F20</f>
        <v>100</v>
      </c>
      <c r="T20" s="775" t="s">
        <v>17</v>
      </c>
      <c r="U20" s="776">
        <f>H20</f>
        <v>100</v>
      </c>
      <c r="V20" s="775" t="s">
        <v>17</v>
      </c>
      <c r="W20" s="776">
        <f>J20</f>
        <v>100</v>
      </c>
      <c r="X20" s="1816"/>
      <c r="Y20" s="3193"/>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3"/>
      <c r="M21" s="1134"/>
      <c r="N21" s="1134"/>
      <c r="O21" s="1142"/>
      <c r="P21" s="3193"/>
      <c r="Q21" s="1813"/>
      <c r="R21" s="775"/>
      <c r="S21" s="776"/>
      <c r="T21" s="775"/>
      <c r="U21" s="776"/>
      <c r="V21" s="775"/>
      <c r="W21" s="776"/>
      <c r="X21" s="1816"/>
      <c r="Y21" s="3193"/>
      <c r="Z21" s="1817"/>
      <c r="AA21" s="1814">
        <v>1</v>
      </c>
      <c r="AB21" s="1814">
        <v>1</v>
      </c>
      <c r="AC21" s="1814">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193"/>
      <c r="Q22" s="1813" t="str">
        <f>B22</f>
        <v>楼层</v>
      </c>
      <c r="R22" s="775" t="s">
        <v>17</v>
      </c>
      <c r="S22" s="776">
        <f>F22</f>
        <v>100</v>
      </c>
      <c r="T22" s="775" t="s">
        <v>17</v>
      </c>
      <c r="U22" s="776">
        <f>H22</f>
        <v>100</v>
      </c>
      <c r="V22" s="775" t="s">
        <v>17</v>
      </c>
      <c r="W22" s="776">
        <f>J22</f>
        <v>100</v>
      </c>
      <c r="X22" s="1816"/>
      <c r="Y22" s="3193"/>
      <c r="Z22" s="1817" t="str">
        <f>Q22</f>
        <v>楼层</v>
      </c>
      <c r="AA22" s="1814">
        <f t="shared" si="3"/>
        <v>1</v>
      </c>
      <c r="AB22" s="1814">
        <f t="shared" si="4"/>
        <v>1</v>
      </c>
      <c r="AC22" s="1814">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193"/>
      <c r="Q23" s="1813">
        <f>B23</f>
        <v>111</v>
      </c>
      <c r="R23" s="775" t="s">
        <v>17</v>
      </c>
      <c r="S23" s="776">
        <f>F23</f>
        <v>100</v>
      </c>
      <c r="T23" s="775" t="s">
        <v>17</v>
      </c>
      <c r="U23" s="776">
        <f>H23</f>
        <v>100</v>
      </c>
      <c r="V23" s="775" t="s">
        <v>17</v>
      </c>
      <c r="W23" s="776">
        <f>J23</f>
        <v>100</v>
      </c>
      <c r="X23" s="1816"/>
      <c r="Y23" s="3193"/>
      <c r="Z23" s="1817">
        <f>Q23</f>
        <v>111</v>
      </c>
      <c r="AA23" s="1814">
        <f t="shared" si="3"/>
        <v>1</v>
      </c>
      <c r="AB23" s="1814">
        <f t="shared" si="4"/>
        <v>1</v>
      </c>
      <c r="AC23" s="1814">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193"/>
      <c r="Q24" s="1813">
        <f t="shared" ref="Q24:Q34" si="11">B24</f>
        <v>111</v>
      </c>
      <c r="R24" s="775" t="s">
        <v>17</v>
      </c>
      <c r="S24" s="776">
        <f>F24</f>
        <v>100</v>
      </c>
      <c r="T24" s="775" t="s">
        <v>17</v>
      </c>
      <c r="U24" s="776">
        <f>H24</f>
        <v>100</v>
      </c>
      <c r="V24" s="775" t="s">
        <v>17</v>
      </c>
      <c r="W24" s="776">
        <f>J24</f>
        <v>100</v>
      </c>
      <c r="X24" s="1816"/>
      <c r="Y24" s="3193"/>
      <c r="Z24" s="1817">
        <f>Q24</f>
        <v>111</v>
      </c>
      <c r="AA24" s="1814">
        <f t="shared" si="3"/>
        <v>1</v>
      </c>
      <c r="AB24" s="1814">
        <f t="shared" si="4"/>
        <v>1</v>
      </c>
      <c r="AC24" s="1814">
        <f t="shared" si="5"/>
        <v>1</v>
      </c>
    </row>
    <row r="25" spans="1:29" s="117" customFormat="1" ht="15.75" thickBot="1">
      <c r="A25" s="432"/>
      <c r="B25" s="2602">
        <v>111</v>
      </c>
      <c r="C25" s="2699"/>
      <c r="D25" s="666">
        <v>100</v>
      </c>
      <c r="E25" s="2699"/>
      <c r="F25" s="667">
        <f>SUMIF(75:75,E25,76:76)-SUMIF(75:75,C25,76:76)+100</f>
        <v>100</v>
      </c>
      <c r="G25" s="2699"/>
      <c r="H25" s="666">
        <f>SUMIF(75:75,G25,76:76)-SUMIF(75:75,C25,76:76)+100</f>
        <v>100</v>
      </c>
      <c r="I25" s="2699"/>
      <c r="J25" s="666">
        <f>SUMIF(75:75,I25,76:76)-SUMIF(75:75,C25,76:76)+100</f>
        <v>100</v>
      </c>
      <c r="K25" s="614"/>
      <c r="L25" s="1135"/>
      <c r="M25" s="1136"/>
      <c r="N25" s="1136"/>
      <c r="O25" s="1137"/>
      <c r="P25" s="3193"/>
      <c r="Q25" s="1798">
        <f t="shared" si="11"/>
        <v>111</v>
      </c>
      <c r="R25" s="771" t="s">
        <v>17</v>
      </c>
      <c r="S25" s="772">
        <f>F25</f>
        <v>100</v>
      </c>
      <c r="T25" s="771" t="s">
        <v>17</v>
      </c>
      <c r="U25" s="772">
        <f>H25</f>
        <v>100</v>
      </c>
      <c r="V25" s="771" t="s">
        <v>17</v>
      </c>
      <c r="W25" s="772">
        <f>J25</f>
        <v>100</v>
      </c>
      <c r="X25" s="773"/>
      <c r="Y25" s="3193"/>
      <c r="Z25" s="55">
        <f>Q25</f>
        <v>111</v>
      </c>
      <c r="AA25" s="1814">
        <f>D25/F25</f>
        <v>1</v>
      </c>
      <c r="AB25" s="1814">
        <f>D25/H25</f>
        <v>1</v>
      </c>
      <c r="AC25" s="1814">
        <f>D25/J25</f>
        <v>1</v>
      </c>
    </row>
    <row r="26" spans="1:29" ht="15">
      <c r="A26" s="467" t="s">
        <v>2566</v>
      </c>
      <c r="B26" s="71" t="s">
        <v>2717</v>
      </c>
      <c r="C26" s="2680"/>
      <c r="D26" s="468">
        <v>100</v>
      </c>
      <c r="E26" s="2680"/>
      <c r="F26" s="668">
        <f>SUMIF(77:77,E26,78:78)-SUMIF(77:77,C26,78:78)+100</f>
        <v>100</v>
      </c>
      <c r="G26" s="2680"/>
      <c r="H26" s="468">
        <f>SUMIF(77:77,G26,78:78)-SUMIF(77:77,C26,78:78)+100</f>
        <v>100</v>
      </c>
      <c r="I26" s="2680"/>
      <c r="J26" s="468">
        <f>SUMIF(77:77,I26,78:78)-SUMIF(77:77,C26,78:78)+100</f>
        <v>100</v>
      </c>
      <c r="K26" s="613"/>
      <c r="L26" s="1143"/>
      <c r="M26" s="1134"/>
      <c r="N26" s="1134"/>
      <c r="O26" s="1142"/>
      <c r="P26" s="3248" t="s">
        <v>2568</v>
      </c>
      <c r="Q26" s="1813" t="str">
        <f t="shared" si="11"/>
        <v>公共部分装修</v>
      </c>
      <c r="R26" s="775" t="s">
        <v>17</v>
      </c>
      <c r="S26" s="776">
        <f t="shared" ref="S26:S34" si="12">F26</f>
        <v>100</v>
      </c>
      <c r="T26" s="775" t="s">
        <v>17</v>
      </c>
      <c r="U26" s="776">
        <f t="shared" ref="U26:U34" si="13">H26</f>
        <v>100</v>
      </c>
      <c r="V26" s="775" t="s">
        <v>17</v>
      </c>
      <c r="W26" s="776">
        <f t="shared" ref="W26:W34" si="14">J26</f>
        <v>100</v>
      </c>
      <c r="X26" s="1816"/>
      <c r="Y26" s="3197" t="s">
        <v>2568</v>
      </c>
      <c r="Z26" s="1817" t="str">
        <f t="shared" ref="Z26:Z34" si="15">Q26</f>
        <v>公共部分装修</v>
      </c>
      <c r="AA26" s="1814">
        <f t="shared" si="3"/>
        <v>1</v>
      </c>
      <c r="AB26" s="1814">
        <f t="shared" si="4"/>
        <v>1</v>
      </c>
      <c r="AC26" s="1814">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197"/>
      <c r="Q27" s="777" t="str">
        <f t="shared" si="11"/>
        <v>成新率</v>
      </c>
      <c r="R27" s="778" t="s">
        <v>17</v>
      </c>
      <c r="S27" s="779" t="e">
        <f t="shared" si="12"/>
        <v>#N/A</v>
      </c>
      <c r="T27" s="778" t="s">
        <v>17</v>
      </c>
      <c r="U27" s="779" t="e">
        <f t="shared" si="13"/>
        <v>#N/A</v>
      </c>
      <c r="V27" s="778" t="s">
        <v>17</v>
      </c>
      <c r="W27" s="779" t="e">
        <f t="shared" si="14"/>
        <v>#N/A</v>
      </c>
      <c r="X27" s="780"/>
      <c r="Y27" s="3197"/>
      <c r="Z27" s="781" t="str">
        <f t="shared" si="15"/>
        <v>成新率</v>
      </c>
      <c r="AA27" s="1814" t="e">
        <f t="shared" si="3"/>
        <v>#N/A</v>
      </c>
      <c r="AB27" s="1814" t="e">
        <f t="shared" si="4"/>
        <v>#N/A</v>
      </c>
      <c r="AC27" s="1814"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197"/>
      <c r="Q28" s="1813" t="str">
        <f t="shared" si="11"/>
        <v>物业等级</v>
      </c>
      <c r="R28" s="775" t="s">
        <v>17</v>
      </c>
      <c r="S28" s="776">
        <f t="shared" si="12"/>
        <v>100</v>
      </c>
      <c r="T28" s="775" t="s">
        <v>17</v>
      </c>
      <c r="U28" s="776">
        <f t="shared" si="13"/>
        <v>100</v>
      </c>
      <c r="V28" s="775" t="s">
        <v>17</v>
      </c>
      <c r="W28" s="776">
        <f t="shared" si="14"/>
        <v>100</v>
      </c>
      <c r="X28" s="1816"/>
      <c r="Y28" s="3197"/>
      <c r="Z28" s="1817" t="str">
        <f t="shared" si="15"/>
        <v>物业等级</v>
      </c>
      <c r="AA28" s="1814">
        <f t="shared" si="3"/>
        <v>1</v>
      </c>
      <c r="AB28" s="1814">
        <f t="shared" si="4"/>
        <v>1</v>
      </c>
      <c r="AC28" s="1814">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197"/>
      <c r="Q29" s="1813" t="str">
        <f t="shared" si="11"/>
        <v>有无电梯</v>
      </c>
      <c r="R29" s="775" t="s">
        <v>17</v>
      </c>
      <c r="S29" s="776">
        <f t="shared" si="12"/>
        <v>100</v>
      </c>
      <c r="T29" s="775" t="s">
        <v>17</v>
      </c>
      <c r="U29" s="776">
        <f t="shared" si="13"/>
        <v>100</v>
      </c>
      <c r="V29" s="775" t="s">
        <v>17</v>
      </c>
      <c r="W29" s="776">
        <f t="shared" si="14"/>
        <v>100</v>
      </c>
      <c r="X29" s="1816"/>
      <c r="Y29" s="3197"/>
      <c r="Z29" s="1817" t="str">
        <f t="shared" si="15"/>
        <v>有无电梯</v>
      </c>
      <c r="AA29" s="1814">
        <f t="shared" si="3"/>
        <v>1</v>
      </c>
      <c r="AB29" s="1814">
        <f t="shared" si="4"/>
        <v>1</v>
      </c>
      <c r="AC29" s="1814">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197"/>
      <c r="Q30" s="1813" t="str">
        <f t="shared" si="11"/>
        <v>建筑面积</v>
      </c>
      <c r="R30" s="775" t="s">
        <v>17</v>
      </c>
      <c r="S30" s="776" t="e">
        <f t="shared" si="12"/>
        <v>#N/A</v>
      </c>
      <c r="T30" s="775" t="s">
        <v>17</v>
      </c>
      <c r="U30" s="776" t="e">
        <f t="shared" si="13"/>
        <v>#N/A</v>
      </c>
      <c r="V30" s="775" t="s">
        <v>17</v>
      </c>
      <c r="W30" s="776" t="e">
        <f t="shared" si="14"/>
        <v>#N/A</v>
      </c>
      <c r="X30" s="1816"/>
      <c r="Y30" s="3197"/>
      <c r="Z30" s="1817" t="str">
        <f t="shared" si="15"/>
        <v>建筑面积</v>
      </c>
      <c r="AA30" s="1814" t="e">
        <f t="shared" si="3"/>
        <v>#N/A</v>
      </c>
      <c r="AB30" s="1814" t="e">
        <f t="shared" si="4"/>
        <v>#N/A</v>
      </c>
      <c r="AC30" s="1814"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197"/>
      <c r="Q31" s="1798" t="str">
        <f t="shared" si="11"/>
        <v>是否封闭</v>
      </c>
      <c r="R31" s="771" t="s">
        <v>17</v>
      </c>
      <c r="S31" s="772">
        <f t="shared" si="12"/>
        <v>100</v>
      </c>
      <c r="T31" s="771" t="s">
        <v>17</v>
      </c>
      <c r="U31" s="772">
        <f t="shared" si="13"/>
        <v>100</v>
      </c>
      <c r="V31" s="771" t="s">
        <v>17</v>
      </c>
      <c r="W31" s="772">
        <f t="shared" si="14"/>
        <v>100</v>
      </c>
      <c r="X31" s="773"/>
      <c r="Y31" s="3197"/>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197" t="s">
        <v>2568</v>
      </c>
      <c r="Q32" s="1813">
        <f t="shared" si="11"/>
        <v>111</v>
      </c>
      <c r="R32" s="775" t="s">
        <v>17</v>
      </c>
      <c r="S32" s="776">
        <f t="shared" si="12"/>
        <v>100</v>
      </c>
      <c r="T32" s="775" t="s">
        <v>17</v>
      </c>
      <c r="U32" s="776">
        <f t="shared" si="13"/>
        <v>100</v>
      </c>
      <c r="V32" s="775" t="s">
        <v>17</v>
      </c>
      <c r="W32" s="776">
        <f t="shared" si="14"/>
        <v>100</v>
      </c>
      <c r="X32" s="1816"/>
      <c r="Y32" s="3197" t="s">
        <v>2568</v>
      </c>
      <c r="Z32" s="1817">
        <f t="shared" si="15"/>
        <v>111</v>
      </c>
      <c r="AA32" s="1814">
        <f t="shared" si="3"/>
        <v>1</v>
      </c>
      <c r="AB32" s="1814">
        <f t="shared" si="4"/>
        <v>1</v>
      </c>
      <c r="AC32" s="1814">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197"/>
      <c r="Q33" s="1813">
        <f t="shared" si="11"/>
        <v>111</v>
      </c>
      <c r="R33" s="775" t="s">
        <v>17</v>
      </c>
      <c r="S33" s="776">
        <f t="shared" si="12"/>
        <v>100</v>
      </c>
      <c r="T33" s="775" t="s">
        <v>17</v>
      </c>
      <c r="U33" s="776">
        <f t="shared" si="13"/>
        <v>100</v>
      </c>
      <c r="V33" s="775" t="s">
        <v>17</v>
      </c>
      <c r="W33" s="776">
        <f t="shared" si="14"/>
        <v>100</v>
      </c>
      <c r="X33" s="1816"/>
      <c r="Y33" s="3197"/>
      <c r="Z33" s="1817">
        <f t="shared" si="15"/>
        <v>111</v>
      </c>
      <c r="AA33" s="1814">
        <f t="shared" si="3"/>
        <v>1</v>
      </c>
      <c r="AB33" s="1814">
        <f t="shared" si="4"/>
        <v>1</v>
      </c>
      <c r="AC33" s="1814">
        <f t="shared" si="5"/>
        <v>1</v>
      </c>
    </row>
    <row r="34" spans="1:29" ht="15.75" thickBot="1">
      <c r="A34" s="479"/>
      <c r="B34" s="2604">
        <v>111</v>
      </c>
      <c r="C34" s="438"/>
      <c r="D34" s="439">
        <v>100</v>
      </c>
      <c r="E34" s="2698"/>
      <c r="F34" s="440">
        <f>SUMIF(95:95,E34,96:96)-SUMIF(95:95,C34,96:96)+100</f>
        <v>100</v>
      </c>
      <c r="G34" s="2698"/>
      <c r="H34" s="439">
        <f>SUMIF(95:95,G34,96:96)-SUMIF(95:95,C34,96:96)+100</f>
        <v>100</v>
      </c>
      <c r="I34" s="2698"/>
      <c r="J34" s="439">
        <f>SUMIF(95:95,I34,96:96)-SUMIF(95:95,C34,96:96)+100</f>
        <v>100</v>
      </c>
      <c r="K34" s="614"/>
      <c r="L34" s="1143"/>
      <c r="M34" s="1134"/>
      <c r="N34" s="1134"/>
      <c r="O34" s="1142"/>
      <c r="P34" s="3197"/>
      <c r="Q34" s="1813">
        <f t="shared" si="11"/>
        <v>111</v>
      </c>
      <c r="R34" s="775" t="s">
        <v>17</v>
      </c>
      <c r="S34" s="776">
        <f t="shared" si="12"/>
        <v>100</v>
      </c>
      <c r="T34" s="775" t="s">
        <v>17</v>
      </c>
      <c r="U34" s="776">
        <f t="shared" si="13"/>
        <v>100</v>
      </c>
      <c r="V34" s="775" t="s">
        <v>17</v>
      </c>
      <c r="W34" s="776">
        <f t="shared" si="14"/>
        <v>100</v>
      </c>
      <c r="X34" s="1816"/>
      <c r="Y34" s="3197"/>
      <c r="Z34" s="1817">
        <f t="shared" si="15"/>
        <v>111</v>
      </c>
      <c r="AA34" s="1814">
        <f t="shared" si="3"/>
        <v>1</v>
      </c>
      <c r="AB34" s="1814">
        <f t="shared" si="4"/>
        <v>1</v>
      </c>
      <c r="AC34" s="1814">
        <f t="shared" si="5"/>
        <v>1</v>
      </c>
    </row>
    <row r="35" spans="1:29" ht="15">
      <c r="A35" s="480" t="s">
        <v>2580</v>
      </c>
      <c r="B35" s="481"/>
      <c r="C35" s="1410" t="s">
        <v>1</v>
      </c>
      <c r="D35" s="1411"/>
      <c r="E35" s="1412"/>
      <c r="F35" s="1413"/>
      <c r="G35" s="1414"/>
      <c r="H35" s="1415"/>
      <c r="I35" s="1412"/>
      <c r="J35" s="1415"/>
      <c r="K35" s="784"/>
      <c r="L35" s="1146"/>
      <c r="M35" s="1147"/>
      <c r="N35" s="1134"/>
      <c r="O35" s="1147"/>
      <c r="P35" s="3185" t="str">
        <f>A35</f>
        <v>成交单价（元/平方米）</v>
      </c>
      <c r="Q35" s="3185"/>
      <c r="R35" s="3186">
        <f>E35</f>
        <v>0</v>
      </c>
      <c r="S35" s="3186"/>
      <c r="T35" s="3186">
        <f>G35</f>
        <v>0</v>
      </c>
      <c r="U35" s="3186"/>
      <c r="V35" s="3186">
        <f>I35</f>
        <v>0</v>
      </c>
      <c r="W35" s="3186"/>
      <c r="X35" s="760"/>
      <c r="Y35" s="782"/>
      <c r="Z35" s="760"/>
      <c r="AA35" s="760"/>
      <c r="AB35" s="760"/>
      <c r="AC35" s="760"/>
    </row>
    <row r="36" spans="1:29" ht="15.75" thickBot="1">
      <c r="A36" s="487" t="s">
        <v>2672</v>
      </c>
      <c r="B36" s="488"/>
      <c r="C36" s="1416" t="e">
        <f>R37</f>
        <v>#DIV/0!</v>
      </c>
      <c r="D36" s="1417"/>
      <c r="E36" s="1418" t="e">
        <f>R36</f>
        <v>#DIV/0!</v>
      </c>
      <c r="F36" s="1418"/>
      <c r="G36" s="1416" t="e">
        <f>T36</f>
        <v>#DIV/0!</v>
      </c>
      <c r="H36" s="1417"/>
      <c r="I36" s="1418" t="e">
        <f>V36</f>
        <v>#DIV/0!</v>
      </c>
      <c r="J36" s="1417"/>
      <c r="K36" s="785"/>
      <c r="L36" s="1146"/>
      <c r="M36" s="1147"/>
      <c r="N36" s="1134"/>
      <c r="O36" s="1147"/>
      <c r="P36" s="3185" t="str">
        <f>A36</f>
        <v>比较价值（元/平方米）</v>
      </c>
      <c r="Q36" s="3185"/>
      <c r="R36" s="3186" t="e">
        <f>IF(F1="售价",ROUND(PRODUCT(R35,AA7:AA34),0),ROUND(PRODUCT(R35,AA7:AA34),1))</f>
        <v>#DIV/0!</v>
      </c>
      <c r="S36" s="3186"/>
      <c r="T36" s="3186" t="e">
        <f>IF(F1="售价",ROUND(PRODUCT(T35,AB7:AB34),0),ROUND(PRODUCT(T35,AB7:AB34),1))</f>
        <v>#DIV/0!</v>
      </c>
      <c r="U36" s="3186"/>
      <c r="V36" s="3186" t="e">
        <f>IF(F1="售价",ROUND(PRODUCT(V35,AC7:AC34),0),ROUND(PRODUCT(V35,AC7:AC34),1))</f>
        <v>#DIV/0!</v>
      </c>
      <c r="W36" s="3186"/>
      <c r="X36" s="760"/>
      <c r="Y36" s="760"/>
      <c r="Z36" s="760"/>
      <c r="AA36" s="760"/>
      <c r="AB36" s="760"/>
      <c r="AC36" s="760"/>
    </row>
    <row r="37" spans="1:29" ht="15.75" thickBot="1">
      <c r="A37" s="493" t="s">
        <v>2673</v>
      </c>
      <c r="B37" s="494"/>
      <c r="C37" s="1420" t="e">
        <f>R37</f>
        <v>#DIV/0!</v>
      </c>
      <c r="D37" s="1420"/>
      <c r="E37" s="1420"/>
      <c r="F37" s="1420"/>
      <c r="G37" s="1420"/>
      <c r="H37" s="1420"/>
      <c r="I37" s="1420"/>
      <c r="J37" s="1420"/>
      <c r="K37" s="786"/>
      <c r="L37" s="1146"/>
      <c r="M37" s="1147"/>
      <c r="N37" s="1147"/>
      <c r="O37" s="1147"/>
      <c r="P37" s="3187" t="str">
        <f>A37</f>
        <v>估价对象XX用房的比较价值（楼面单价，元/平方米）</v>
      </c>
      <c r="Q37" s="3188"/>
      <c r="R37" s="3189" t="e">
        <f>IF(F1="售价",ROUND(AVERAGE(R36:V36),0),ROUND(AVERAGE(R36:V36),1))</f>
        <v>#DIV/0!</v>
      </c>
      <c r="S37" s="3189"/>
      <c r="T37" s="3189"/>
      <c r="U37" s="3189"/>
      <c r="V37" s="3189"/>
      <c r="W37" s="3189"/>
      <c r="X37" s="760"/>
      <c r="Y37" s="760"/>
      <c r="Z37" s="760"/>
      <c r="AA37" s="760"/>
      <c r="AB37" s="760"/>
      <c r="AC37" s="760"/>
    </row>
    <row r="38" spans="1:29">
      <c r="A38" s="1147"/>
      <c r="B38" s="1147"/>
      <c r="C38" s="1147"/>
      <c r="D38" s="1147"/>
      <c r="E38" s="1147"/>
      <c r="F38" s="1147"/>
      <c r="G38" s="1150"/>
      <c r="H38" s="1147"/>
      <c r="I38" s="1147"/>
      <c r="J38" s="1147"/>
      <c r="K38" s="1109"/>
      <c r="L38" s="1110"/>
      <c r="M38" s="1147"/>
      <c r="N38" s="1147"/>
      <c r="O38" s="1147"/>
    </row>
    <row r="39" spans="1:29">
      <c r="A39" s="1147"/>
      <c r="B39" s="1147"/>
      <c r="C39" s="1147"/>
      <c r="D39" s="1147"/>
      <c r="E39" s="1147"/>
      <c r="F39" s="1147"/>
      <c r="G39" s="1147"/>
      <c r="H39" s="1147"/>
      <c r="I39" s="1147"/>
      <c r="J39" s="1147"/>
      <c r="K39" s="1109"/>
      <c r="L39" s="1110"/>
      <c r="M39" s="1147"/>
      <c r="N39" s="1147"/>
      <c r="O39" s="1147"/>
    </row>
    <row r="40" spans="1:29" ht="13.5" customHeight="1">
      <c r="A40" s="1147"/>
      <c r="B40" s="1147"/>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7"/>
      <c r="N40" s="1147"/>
      <c r="O40" s="1147"/>
    </row>
    <row r="41" spans="1:29" ht="13.5" customHeight="1">
      <c r="A41" s="1147"/>
      <c r="B41" s="1147"/>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7"/>
      <c r="N41" s="1147"/>
      <c r="O41" s="1147"/>
    </row>
    <row r="42" spans="1:29" s="503" customFormat="1" ht="13.5" customHeight="1">
      <c r="A42" s="1148"/>
      <c r="B42" s="1148"/>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9"/>
      <c r="L44" s="1110"/>
      <c r="M44" s="1147"/>
      <c r="N44" s="1147"/>
      <c r="O44" s="1147"/>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8" t="str">
        <f>YEAR(C7)&amp;"-"&amp;MONTH(C7)</f>
        <v>2017-10</v>
      </c>
      <c r="D46" s="1579">
        <f>EDATE(C46,-1)</f>
        <v>42979</v>
      </c>
      <c r="E46" s="1579">
        <f t="shared" ref="E46:O46" si="16">EDATE(D46,-1)</f>
        <v>42948</v>
      </c>
      <c r="F46" s="1579">
        <f t="shared" si="16"/>
        <v>42917</v>
      </c>
      <c r="G46" s="1579">
        <f t="shared" si="16"/>
        <v>42887</v>
      </c>
      <c r="H46" s="1579">
        <f t="shared" si="16"/>
        <v>42856</v>
      </c>
      <c r="I46" s="1579">
        <f t="shared" si="16"/>
        <v>42826</v>
      </c>
      <c r="J46" s="1579">
        <f t="shared" si="16"/>
        <v>42795</v>
      </c>
      <c r="K46" s="1579">
        <f t="shared" si="16"/>
        <v>42767</v>
      </c>
      <c r="L46" s="1579">
        <f t="shared" si="16"/>
        <v>42736</v>
      </c>
      <c r="M46" s="1579">
        <f t="shared" si="16"/>
        <v>42705</v>
      </c>
      <c r="N46" s="1579">
        <f t="shared" si="16"/>
        <v>42675</v>
      </c>
      <c r="O46" s="1579">
        <f t="shared" si="16"/>
        <v>42644</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2591</v>
      </c>
      <c r="B51" s="529" t="s">
        <v>2557</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2732</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2566</v>
      </c>
      <c r="B77" s="529" t="s">
        <v>2619</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2736</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2744</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2746</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7"/>
      <c r="D2" s="1127"/>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30" ht="15">
      <c r="A4" s="402" t="s">
        <v>2648</v>
      </c>
      <c r="B4" s="403"/>
      <c r="C4" s="3213" t="s">
        <v>2649</v>
      </c>
      <c r="D4" s="3214"/>
      <c r="E4" s="3215" t="s">
        <v>2650</v>
      </c>
      <c r="F4" s="3216"/>
      <c r="G4" s="3213" t="s">
        <v>2651</v>
      </c>
      <c r="H4" s="3214"/>
      <c r="I4" s="3213" t="s">
        <v>2652</v>
      </c>
      <c r="J4" s="3214"/>
      <c r="K4" s="611" t="s">
        <v>2653</v>
      </c>
      <c r="L4" s="1133"/>
      <c r="M4" s="1134"/>
      <c r="N4" s="1134"/>
      <c r="O4" s="1134"/>
      <c r="P4" s="3217" t="s">
        <v>2654</v>
      </c>
      <c r="Q4" s="3218"/>
      <c r="R4" s="3200" t="s">
        <v>2650</v>
      </c>
      <c r="S4" s="3201"/>
      <c r="T4" s="3200" t="s">
        <v>2651</v>
      </c>
      <c r="U4" s="3201"/>
      <c r="V4" s="3206" t="s">
        <v>2652</v>
      </c>
      <c r="W4" s="3206"/>
      <c r="X4" s="1816"/>
      <c r="Y4" s="3200" t="s">
        <v>2654</v>
      </c>
      <c r="Z4" s="3201"/>
      <c r="AA4" s="3210" t="s">
        <v>2650</v>
      </c>
      <c r="AB4" s="3211" t="s">
        <v>2651</v>
      </c>
      <c r="AC4" s="3210" t="s">
        <v>2652</v>
      </c>
    </row>
    <row r="5" spans="1:30" ht="15">
      <c r="A5" s="405"/>
      <c r="B5" s="406"/>
      <c r="C5" s="3223" t="s">
        <v>2545</v>
      </c>
      <c r="D5" s="3224"/>
      <c r="E5" s="3231" t="s">
        <v>2546</v>
      </c>
      <c r="F5" s="3232"/>
      <c r="G5" s="3223" t="s">
        <v>2547</v>
      </c>
      <c r="H5" s="3224"/>
      <c r="I5" s="3223" t="s">
        <v>2548</v>
      </c>
      <c r="J5" s="3224"/>
      <c r="K5" s="611"/>
      <c r="L5" s="1133"/>
      <c r="M5" s="1134"/>
      <c r="N5" s="1134"/>
      <c r="O5" s="1134"/>
      <c r="P5" s="3219"/>
      <c r="Q5" s="3220"/>
      <c r="R5" s="3202"/>
      <c r="S5" s="3203"/>
      <c r="T5" s="3202"/>
      <c r="U5" s="3203"/>
      <c r="V5" s="3206"/>
      <c r="W5" s="3206"/>
      <c r="X5" s="1816"/>
      <c r="Y5" s="3202"/>
      <c r="Z5" s="3203"/>
      <c r="AA5" s="3211"/>
      <c r="AB5" s="3211"/>
      <c r="AC5" s="3211"/>
    </row>
    <row r="6" spans="1:30" ht="15.75" thickBot="1">
      <c r="A6" s="407"/>
      <c r="B6" s="408"/>
      <c r="C6" s="3225" t="s">
        <v>2549</v>
      </c>
      <c r="D6" s="3226"/>
      <c r="E6" s="3227" t="s">
        <v>2549</v>
      </c>
      <c r="F6" s="3228"/>
      <c r="G6" s="3225" t="s">
        <v>2549</v>
      </c>
      <c r="H6" s="3226"/>
      <c r="I6" s="3225" t="s">
        <v>2549</v>
      </c>
      <c r="J6" s="3226"/>
      <c r="K6" s="611" t="s">
        <v>2550</v>
      </c>
      <c r="L6" s="1133"/>
      <c r="M6" s="1134"/>
      <c r="N6" s="1134"/>
      <c r="O6" s="1134"/>
      <c r="P6" s="3221"/>
      <c r="Q6" s="3222"/>
      <c r="R6" s="3202"/>
      <c r="S6" s="3203"/>
      <c r="T6" s="3204"/>
      <c r="U6" s="3205"/>
      <c r="V6" s="3206"/>
      <c r="W6" s="3206"/>
      <c r="X6" s="1816"/>
      <c r="Y6" s="3204"/>
      <c r="Z6" s="3205"/>
      <c r="AA6" s="3212"/>
      <c r="AB6" s="3212"/>
      <c r="AC6" s="3212"/>
    </row>
    <row r="7" spans="1:30" s="117" customFormat="1" ht="15.75" thickBot="1">
      <c r="A7" s="409" t="s">
        <v>2551</v>
      </c>
      <c r="B7" s="410"/>
      <c r="C7" s="411">
        <f>'数据-取费表'!B2</f>
        <v>43017</v>
      </c>
      <c r="D7" s="412">
        <v>100</v>
      </c>
      <c r="E7" s="413">
        <v>42309</v>
      </c>
      <c r="F7" s="414">
        <f>SUMIF(70:70,YEAR(E7)&amp;"-"&amp;INT((MONTH(E7)+2)/3),71:71)</f>
        <v>0</v>
      </c>
      <c r="G7" s="2697">
        <v>42309</v>
      </c>
      <c r="H7" s="412">
        <f>SUMIF(70:70,YEAR(G7)&amp;"-"&amp;INT((MONTH(G7)+2)/3),71:71)</f>
        <v>0</v>
      </c>
      <c r="I7" s="2697">
        <v>42036</v>
      </c>
      <c r="J7" s="412">
        <f>SUMIF(70:70,YEAR(I7)&amp;"-"&amp;INT((MONTH(I7)+2)/3),71:71)</f>
        <v>0</v>
      </c>
      <c r="K7" s="612"/>
      <c r="L7" s="1135"/>
      <c r="M7" s="1136"/>
      <c r="N7" s="1136"/>
      <c r="O7" s="1136"/>
      <c r="P7" s="3207" t="s">
        <v>2552</v>
      </c>
      <c r="Q7" s="3208"/>
      <c r="R7" s="771" t="s">
        <v>17</v>
      </c>
      <c r="S7" s="772">
        <f t="shared" ref="S7:S15" si="0">F7</f>
        <v>0</v>
      </c>
      <c r="T7" s="771" t="s">
        <v>17</v>
      </c>
      <c r="U7" s="772">
        <f t="shared" ref="U7:U15" si="1">H7</f>
        <v>0</v>
      </c>
      <c r="V7" s="771" t="s">
        <v>17</v>
      </c>
      <c r="W7" s="772">
        <f t="shared" ref="W7:W15" si="2">J7</f>
        <v>0</v>
      </c>
      <c r="X7" s="773"/>
      <c r="Y7" s="3207" t="s">
        <v>2552</v>
      </c>
      <c r="Z7" s="3209"/>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07" t="s">
        <v>2555</v>
      </c>
      <c r="Q8" s="3209"/>
      <c r="R8" s="771" t="s">
        <v>17</v>
      </c>
      <c r="S8" s="772">
        <f t="shared" si="0"/>
        <v>0</v>
      </c>
      <c r="T8" s="771" t="s">
        <v>17</v>
      </c>
      <c r="U8" s="772">
        <f t="shared" si="1"/>
        <v>0</v>
      </c>
      <c r="V8" s="771" t="s">
        <v>17</v>
      </c>
      <c r="W8" s="772">
        <f t="shared" si="2"/>
        <v>0</v>
      </c>
      <c r="X8" s="773"/>
      <c r="Y8" s="3207" t="s">
        <v>2555</v>
      </c>
      <c r="Z8" s="3209"/>
      <c r="AA8" s="774" t="e">
        <f t="shared" ref="AA8:AA45" si="3">D8/F8</f>
        <v>#DIV/0!</v>
      </c>
      <c r="AB8" s="774" t="e">
        <f t="shared" ref="AB8:AB45" si="4">D8/H8</f>
        <v>#DIV/0!</v>
      </c>
      <c r="AC8" s="774" t="e">
        <f t="shared" ref="AC8:AC45" si="5">D8/J8</f>
        <v>#DIV/0!</v>
      </c>
    </row>
    <row r="9" spans="1:30" s="117" customFormat="1">
      <c r="A9" s="416" t="s">
        <v>2556</v>
      </c>
      <c r="B9" s="71" t="s">
        <v>2557</v>
      </c>
      <c r="C9" s="2700"/>
      <c r="D9" s="135">
        <v>100</v>
      </c>
      <c r="E9" s="2700"/>
      <c r="F9" s="135">
        <f>SUMIF(75:75,E9,76:76)-SUMIF(75:75,C9,76:76)+100</f>
        <v>100</v>
      </c>
      <c r="G9" s="2700"/>
      <c r="H9" s="135">
        <f>SUMIF(75:75,G9,76:76)-SUMIF(75:75,C9,76:76)+100</f>
        <v>100</v>
      </c>
      <c r="I9" s="2700"/>
      <c r="J9" s="135">
        <f>SUMIF(75:75,I9,76:76)-SUMIF(75:75,C9,76:76)+100</f>
        <v>100</v>
      </c>
      <c r="K9" s="612"/>
      <c r="L9" s="1135"/>
      <c r="M9" s="1136"/>
      <c r="N9" s="1136"/>
      <c r="O9" s="1137"/>
      <c r="P9" s="3185" t="s">
        <v>2558</v>
      </c>
      <c r="Q9" s="1798" t="str">
        <f t="shared" ref="Q9:Q15" si="6">B9</f>
        <v>用途</v>
      </c>
      <c r="R9" s="771" t="s">
        <v>17</v>
      </c>
      <c r="S9" s="772">
        <f t="shared" si="0"/>
        <v>100</v>
      </c>
      <c r="T9" s="771" t="s">
        <v>17</v>
      </c>
      <c r="U9" s="772">
        <f t="shared" si="1"/>
        <v>100</v>
      </c>
      <c r="V9" s="771" t="s">
        <v>17</v>
      </c>
      <c r="W9" s="772">
        <f t="shared" si="2"/>
        <v>100</v>
      </c>
      <c r="X9" s="773"/>
      <c r="Y9" s="3035"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105</v>
      </c>
      <c r="G10" s="464"/>
      <c r="H10" s="136">
        <f>ROUND(100/'数据-取费表'!G16,0)</f>
        <v>105</v>
      </c>
      <c r="I10" s="464"/>
      <c r="J10" s="136">
        <f>ROUND(100/'数据-取费表'!G16,0)</f>
        <v>105</v>
      </c>
      <c r="K10" s="673"/>
      <c r="L10" s="1138"/>
      <c r="M10" s="1139"/>
      <c r="N10" s="1139"/>
      <c r="O10" s="1140"/>
      <c r="P10" s="3185"/>
      <c r="Q10" s="1798" t="str">
        <f t="shared" si="6"/>
        <v>土地使用年限（年）</v>
      </c>
      <c r="R10" s="771" t="s">
        <v>17</v>
      </c>
      <c r="S10" s="772">
        <f t="shared" si="0"/>
        <v>105</v>
      </c>
      <c r="T10" s="771" t="s">
        <v>17</v>
      </c>
      <c r="U10" s="772">
        <f t="shared" si="1"/>
        <v>105</v>
      </c>
      <c r="V10" s="771" t="s">
        <v>17</v>
      </c>
      <c r="W10" s="772">
        <f t="shared" si="2"/>
        <v>105</v>
      </c>
      <c r="X10" s="773"/>
      <c r="Y10" s="3035"/>
      <c r="Z10" s="55" t="str">
        <f t="shared" si="7"/>
        <v>土地使用年限（年）</v>
      </c>
      <c r="AA10" s="774">
        <f t="shared" si="3"/>
        <v>0.95238095238095233</v>
      </c>
      <c r="AB10" s="774">
        <f t="shared" si="4"/>
        <v>0.95238095238095233</v>
      </c>
      <c r="AC10" s="774">
        <f t="shared" si="5"/>
        <v>0.95238095238095233</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185"/>
      <c r="Q11" s="1798" t="str">
        <f t="shared" si="6"/>
        <v>容积率</v>
      </c>
      <c r="R11" s="771" t="s">
        <v>17</v>
      </c>
      <c r="S11" s="772" t="e">
        <f t="shared" si="0"/>
        <v>#N/A</v>
      </c>
      <c r="T11" s="771" t="s">
        <v>17</v>
      </c>
      <c r="U11" s="772" t="e">
        <f t="shared" si="1"/>
        <v>#N/A</v>
      </c>
      <c r="V11" s="771" t="s">
        <v>17</v>
      </c>
      <c r="W11" s="772" t="e">
        <f t="shared" si="2"/>
        <v>#N/A</v>
      </c>
      <c r="X11" s="773"/>
      <c r="Y11" s="3035"/>
      <c r="Z11" s="55" t="str">
        <f t="shared" si="7"/>
        <v>容积率</v>
      </c>
      <c r="AA11" s="774" t="e">
        <f t="shared" si="3"/>
        <v>#N/A</v>
      </c>
      <c r="AB11" s="774" t="e">
        <f t="shared" si="4"/>
        <v>#N/A</v>
      </c>
      <c r="AC11" s="774" t="e">
        <f t="shared" si="5"/>
        <v>#N/A</v>
      </c>
    </row>
    <row r="12" spans="1:30" s="117" customFormat="1" ht="15">
      <c r="A12" s="432"/>
      <c r="B12" s="2602" t="s">
        <v>2750</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185"/>
      <c r="Q12" s="1798" t="str">
        <f t="shared" si="6"/>
        <v>配建</v>
      </c>
      <c r="R12" s="771" t="s">
        <v>17</v>
      </c>
      <c r="S12" s="772">
        <f t="shared" si="0"/>
        <v>100</v>
      </c>
      <c r="T12" s="771" t="s">
        <v>17</v>
      </c>
      <c r="U12" s="772">
        <f t="shared" si="1"/>
        <v>100</v>
      </c>
      <c r="V12" s="771" t="s">
        <v>17</v>
      </c>
      <c r="W12" s="772">
        <f t="shared" si="2"/>
        <v>100</v>
      </c>
      <c r="X12" s="773"/>
      <c r="Y12" s="3035"/>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185"/>
      <c r="Q13" s="1798">
        <f t="shared" si="6"/>
        <v>111</v>
      </c>
      <c r="R13" s="771" t="s">
        <v>17</v>
      </c>
      <c r="S13" s="772">
        <f t="shared" si="0"/>
        <v>100</v>
      </c>
      <c r="T13" s="771" t="s">
        <v>17</v>
      </c>
      <c r="U13" s="772">
        <f t="shared" si="1"/>
        <v>100</v>
      </c>
      <c r="V13" s="771" t="s">
        <v>17</v>
      </c>
      <c r="W13" s="772">
        <f t="shared" si="2"/>
        <v>100</v>
      </c>
      <c r="X13" s="773"/>
      <c r="Y13" s="3035"/>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185"/>
      <c r="Q14" s="1798">
        <f t="shared" si="6"/>
        <v>111</v>
      </c>
      <c r="R14" s="771" t="s">
        <v>17</v>
      </c>
      <c r="S14" s="772">
        <f t="shared" si="0"/>
        <v>100</v>
      </c>
      <c r="T14" s="771" t="s">
        <v>17</v>
      </c>
      <c r="U14" s="772">
        <f t="shared" si="1"/>
        <v>100</v>
      </c>
      <c r="V14" s="771" t="s">
        <v>17</v>
      </c>
      <c r="W14" s="772">
        <f t="shared" si="2"/>
        <v>100</v>
      </c>
      <c r="X14" s="773"/>
      <c r="Y14" s="3035"/>
      <c r="Z14" s="55">
        <f t="shared" si="7"/>
        <v>111</v>
      </c>
      <c r="AA14" s="774">
        <f>D14/F14</f>
        <v>1</v>
      </c>
      <c r="AB14" s="774">
        <f>D14/H14</f>
        <v>1</v>
      </c>
      <c r="AC14" s="774">
        <f>D14/J14</f>
        <v>1</v>
      </c>
    </row>
    <row r="15" spans="1:30" ht="99.75">
      <c r="A15" s="441" t="s">
        <v>2562</v>
      </c>
      <c r="B15" s="69" t="s">
        <v>2087</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192" t="s">
        <v>2563</v>
      </c>
      <c r="Q15" s="1813" t="str">
        <f t="shared" si="6"/>
        <v>居住社区成熟度</v>
      </c>
      <c r="R15" s="775" t="s">
        <v>17</v>
      </c>
      <c r="S15" s="776">
        <f t="shared" si="0"/>
        <v>100</v>
      </c>
      <c r="T15" s="775" t="s">
        <v>17</v>
      </c>
      <c r="U15" s="776">
        <f t="shared" si="1"/>
        <v>100</v>
      </c>
      <c r="V15" s="775" t="s">
        <v>17</v>
      </c>
      <c r="W15" s="776">
        <f t="shared" si="2"/>
        <v>100</v>
      </c>
      <c r="X15" s="1816"/>
      <c r="Y15" s="3192" t="s">
        <v>2563</v>
      </c>
      <c r="Z15" s="1817" t="str">
        <f t="shared" si="7"/>
        <v>居住社区成熟度</v>
      </c>
      <c r="AA15" s="1814">
        <f t="shared" si="3"/>
        <v>1</v>
      </c>
      <c r="AB15" s="1814">
        <f t="shared" si="4"/>
        <v>1</v>
      </c>
      <c r="AC15" s="1814">
        <f t="shared" si="5"/>
        <v>1</v>
      </c>
    </row>
    <row r="16" spans="1:30" ht="15">
      <c r="A16" s="429"/>
      <c r="B16" s="447"/>
      <c r="C16" s="448"/>
      <c r="D16" s="449"/>
      <c r="E16" s="2607"/>
      <c r="F16" s="449"/>
      <c r="G16" s="2607"/>
      <c r="H16" s="451"/>
      <c r="I16" s="2606"/>
      <c r="J16" s="449"/>
      <c r="K16" s="673"/>
      <c r="L16" s="1143"/>
      <c r="M16" s="1134"/>
      <c r="N16" s="1134"/>
      <c r="O16" s="1142"/>
      <c r="P16" s="3193"/>
      <c r="Q16" s="1813"/>
      <c r="R16" s="775"/>
      <c r="S16" s="776"/>
      <c r="T16" s="775"/>
      <c r="U16" s="776"/>
      <c r="V16" s="775"/>
      <c r="W16" s="776"/>
      <c r="X16" s="1816"/>
      <c r="Y16" s="3193"/>
      <c r="Z16" s="1817"/>
      <c r="AA16" s="1814">
        <v>1</v>
      </c>
      <c r="AB16" s="1814">
        <v>1</v>
      </c>
      <c r="AC16" s="1814">
        <v>1</v>
      </c>
    </row>
    <row r="17" spans="1:29" ht="71.25">
      <c r="A17" s="429"/>
      <c r="B17" s="452" t="s">
        <v>2656</v>
      </c>
      <c r="C17" s="2665"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193"/>
      <c r="Q17" s="1813" t="str">
        <f>B17</f>
        <v>商业繁华度</v>
      </c>
      <c r="R17" s="775" t="s">
        <v>17</v>
      </c>
      <c r="S17" s="776">
        <f>F17</f>
        <v>100</v>
      </c>
      <c r="T17" s="775" t="s">
        <v>17</v>
      </c>
      <c r="U17" s="776">
        <f>H17</f>
        <v>100</v>
      </c>
      <c r="V17" s="775" t="s">
        <v>17</v>
      </c>
      <c r="W17" s="776">
        <f>J17</f>
        <v>100</v>
      </c>
      <c r="X17" s="1816"/>
      <c r="Y17" s="3193"/>
      <c r="Z17" s="1817" t="str">
        <f>Q17</f>
        <v>商业繁华度</v>
      </c>
      <c r="AA17" s="1814">
        <f t="shared" si="3"/>
        <v>1</v>
      </c>
      <c r="AB17" s="1814">
        <f t="shared" si="4"/>
        <v>1</v>
      </c>
      <c r="AC17" s="1814">
        <f t="shared" si="5"/>
        <v>1</v>
      </c>
    </row>
    <row r="18" spans="1:29" ht="15">
      <c r="A18" s="429"/>
      <c r="B18" s="457"/>
      <c r="C18" s="2610"/>
      <c r="D18" s="451"/>
      <c r="E18" s="2612"/>
      <c r="F18" s="451"/>
      <c r="G18" s="2612"/>
      <c r="H18" s="449"/>
      <c r="I18" s="2611"/>
      <c r="J18" s="449"/>
      <c r="K18" s="673"/>
      <c r="L18" s="1143"/>
      <c r="M18" s="1134"/>
      <c r="N18" s="1134"/>
      <c r="O18" s="1142"/>
      <c r="P18" s="3193"/>
      <c r="Q18" s="1813"/>
      <c r="R18" s="775"/>
      <c r="S18" s="776"/>
      <c r="T18" s="775"/>
      <c r="U18" s="776"/>
      <c r="V18" s="775"/>
      <c r="W18" s="776"/>
      <c r="X18" s="1816"/>
      <c r="Y18" s="3193"/>
      <c r="Z18" s="1817"/>
      <c r="AA18" s="1814">
        <v>1</v>
      </c>
      <c r="AB18" s="1814">
        <v>1</v>
      </c>
      <c r="AC18" s="1814">
        <v>1</v>
      </c>
    </row>
    <row r="19" spans="1:29" ht="71.25">
      <c r="A19" s="429"/>
      <c r="B19" s="452" t="s">
        <v>2690</v>
      </c>
      <c r="C19" s="266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193"/>
      <c r="Q19" s="1813" t="str">
        <f>B19</f>
        <v>办公集聚程度</v>
      </c>
      <c r="R19" s="775" t="s">
        <v>17</v>
      </c>
      <c r="S19" s="776">
        <f>F19</f>
        <v>100</v>
      </c>
      <c r="T19" s="775" t="s">
        <v>17</v>
      </c>
      <c r="U19" s="776">
        <f>H19</f>
        <v>100</v>
      </c>
      <c r="V19" s="775" t="s">
        <v>17</v>
      </c>
      <c r="W19" s="776">
        <f>J19</f>
        <v>100</v>
      </c>
      <c r="X19" s="1816"/>
      <c r="Y19" s="3193"/>
      <c r="Z19" s="1817" t="str">
        <f>Q19</f>
        <v>办公集聚程度</v>
      </c>
      <c r="AA19" s="1814">
        <f t="shared" si="3"/>
        <v>1</v>
      </c>
      <c r="AB19" s="1814">
        <f t="shared" si="4"/>
        <v>1</v>
      </c>
      <c r="AC19" s="1814">
        <f t="shared" si="5"/>
        <v>1</v>
      </c>
    </row>
    <row r="20" spans="1:29" ht="15">
      <c r="A20" s="429"/>
      <c r="B20" s="457"/>
      <c r="C20" s="448"/>
      <c r="D20" s="449"/>
      <c r="E20" s="2607"/>
      <c r="F20" s="449"/>
      <c r="G20" s="2607"/>
      <c r="H20" s="449"/>
      <c r="I20" s="2606"/>
      <c r="J20" s="449"/>
      <c r="K20" s="673"/>
      <c r="L20" s="1143"/>
      <c r="M20" s="1134"/>
      <c r="N20" s="1134"/>
      <c r="O20" s="1142"/>
      <c r="P20" s="3193"/>
      <c r="Q20" s="1813"/>
      <c r="R20" s="775"/>
      <c r="S20" s="776"/>
      <c r="T20" s="775"/>
      <c r="U20" s="776"/>
      <c r="V20" s="775"/>
      <c r="W20" s="776"/>
      <c r="X20" s="1816"/>
      <c r="Y20" s="3193"/>
      <c r="Z20" s="1817"/>
      <c r="AA20" s="1814">
        <v>1</v>
      </c>
      <c r="AB20" s="1814">
        <v>1</v>
      </c>
      <c r="AC20" s="1814">
        <v>1</v>
      </c>
    </row>
    <row r="21" spans="1:29" ht="85.5">
      <c r="A21" s="429"/>
      <c r="B21" s="452" t="s">
        <v>2712</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193"/>
      <c r="Q21" s="1813" t="str">
        <f>B21</f>
        <v>交通便捷度</v>
      </c>
      <c r="R21" s="775" t="s">
        <v>17</v>
      </c>
      <c r="S21" s="776">
        <f>F21</f>
        <v>100</v>
      </c>
      <c r="T21" s="775" t="s">
        <v>17</v>
      </c>
      <c r="U21" s="776">
        <f>H21</f>
        <v>100</v>
      </c>
      <c r="V21" s="775" t="s">
        <v>17</v>
      </c>
      <c r="W21" s="776">
        <f>J21</f>
        <v>100</v>
      </c>
      <c r="X21" s="1816"/>
      <c r="Y21" s="3193"/>
      <c r="Z21" s="1817" t="str">
        <f>Q21</f>
        <v>交通便捷度</v>
      </c>
      <c r="AA21" s="1814">
        <f t="shared" si="3"/>
        <v>1</v>
      </c>
      <c r="AB21" s="1814">
        <f t="shared" si="4"/>
        <v>1</v>
      </c>
      <c r="AC21" s="1814">
        <f t="shared" si="5"/>
        <v>1</v>
      </c>
    </row>
    <row r="22" spans="1:29" ht="15">
      <c r="A22" s="429"/>
      <c r="B22" s="1387"/>
      <c r="C22" s="448"/>
      <c r="D22" s="451"/>
      <c r="E22" s="2607"/>
      <c r="F22" s="449"/>
      <c r="G22" s="2607"/>
      <c r="H22" s="449"/>
      <c r="I22" s="2606"/>
      <c r="J22" s="449"/>
      <c r="K22" s="673"/>
      <c r="L22" s="1143"/>
      <c r="M22" s="1134"/>
      <c r="N22" s="1134"/>
      <c r="O22" s="1142"/>
      <c r="P22" s="3193"/>
      <c r="Q22" s="1813"/>
      <c r="R22" s="775"/>
      <c r="S22" s="776"/>
      <c r="T22" s="775"/>
      <c r="U22" s="776"/>
      <c r="V22" s="775"/>
      <c r="W22" s="776"/>
      <c r="X22" s="1816"/>
      <c r="Y22" s="3193"/>
      <c r="Z22" s="1817"/>
      <c r="AA22" s="1814">
        <v>1</v>
      </c>
      <c r="AB22" s="1814">
        <v>1</v>
      </c>
      <c r="AC22" s="1814">
        <v>1</v>
      </c>
    </row>
    <row r="23" spans="1:29" ht="15">
      <c r="A23" s="405"/>
      <c r="B23" s="452" t="s">
        <v>2751</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193"/>
      <c r="Q23" s="1813" t="str">
        <f t="shared" ref="Q23:Q37" si="8">B23</f>
        <v>区域土地利用方向</v>
      </c>
      <c r="R23" s="775" t="s">
        <v>17</v>
      </c>
      <c r="S23" s="776">
        <f>F23</f>
        <v>100</v>
      </c>
      <c r="T23" s="775" t="s">
        <v>17</v>
      </c>
      <c r="U23" s="776">
        <f>H23</f>
        <v>100</v>
      </c>
      <c r="V23" s="775" t="s">
        <v>17</v>
      </c>
      <c r="W23" s="776">
        <f>J23</f>
        <v>100</v>
      </c>
      <c r="X23" s="1816"/>
      <c r="Y23" s="3193"/>
      <c r="Z23" s="1817" t="str">
        <f>Q23</f>
        <v>区域土地利用方向</v>
      </c>
      <c r="AA23" s="1814">
        <f t="shared" si="3"/>
        <v>1</v>
      </c>
      <c r="AB23" s="1814">
        <f t="shared" si="4"/>
        <v>1</v>
      </c>
      <c r="AC23" s="1814">
        <f t="shared" si="5"/>
        <v>1</v>
      </c>
    </row>
    <row r="24" spans="1:29" ht="15">
      <c r="A24" s="405"/>
      <c r="B24" s="457"/>
      <c r="C24" s="617"/>
      <c r="D24" s="449"/>
      <c r="E24" s="2607"/>
      <c r="F24" s="449"/>
      <c r="G24" s="2606"/>
      <c r="H24" s="449"/>
      <c r="I24" s="2606"/>
      <c r="J24" s="449"/>
      <c r="K24" s="813"/>
      <c r="L24" s="1143"/>
      <c r="M24" s="1134"/>
      <c r="N24" s="1134"/>
      <c r="O24" s="1142"/>
      <c r="P24" s="3193"/>
      <c r="Q24" s="1813"/>
      <c r="R24" s="775"/>
      <c r="S24" s="776"/>
      <c r="T24" s="775"/>
      <c r="U24" s="776"/>
      <c r="V24" s="775"/>
      <c r="W24" s="776"/>
      <c r="X24" s="1816"/>
      <c r="Y24" s="3193"/>
      <c r="Z24" s="1817"/>
      <c r="AA24" s="1814"/>
      <c r="AB24" s="1814"/>
      <c r="AC24" s="1814"/>
    </row>
    <row r="25" spans="1:29" ht="57">
      <c r="A25" s="405"/>
      <c r="B25" s="1387" t="s">
        <v>2752</v>
      </c>
      <c r="C25" s="2665"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193"/>
      <c r="Q25" s="1813" t="str">
        <f t="shared" si="8"/>
        <v>自然及人文环境状况</v>
      </c>
      <c r="R25" s="775" t="s">
        <v>17</v>
      </c>
      <c r="S25" s="776">
        <f>F25</f>
        <v>100</v>
      </c>
      <c r="T25" s="775" t="s">
        <v>17</v>
      </c>
      <c r="U25" s="776">
        <f>H25</f>
        <v>100</v>
      </c>
      <c r="V25" s="775" t="s">
        <v>17</v>
      </c>
      <c r="W25" s="776">
        <f>J25</f>
        <v>100</v>
      </c>
      <c r="X25" s="1816"/>
      <c r="Y25" s="3193"/>
      <c r="Z25" s="1817" t="str">
        <f>Q25</f>
        <v>自然及人文环境状况</v>
      </c>
      <c r="AA25" s="1814">
        <f t="shared" si="3"/>
        <v>1</v>
      </c>
      <c r="AB25" s="1814">
        <f t="shared" si="4"/>
        <v>1</v>
      </c>
      <c r="AC25" s="1814">
        <f t="shared" si="5"/>
        <v>1</v>
      </c>
    </row>
    <row r="26" spans="1:29" ht="15">
      <c r="A26" s="405"/>
      <c r="B26" s="457"/>
      <c r="C26" s="448"/>
      <c r="D26" s="449"/>
      <c r="E26" s="2613"/>
      <c r="F26" s="449"/>
      <c r="G26" s="2613"/>
      <c r="H26" s="449"/>
      <c r="I26" s="448"/>
      <c r="J26" s="449"/>
      <c r="K26" s="673"/>
      <c r="L26" s="1143"/>
      <c r="M26" s="1134"/>
      <c r="N26" s="1134"/>
      <c r="O26" s="1142"/>
      <c r="P26" s="3193"/>
      <c r="Q26" s="1813"/>
      <c r="R26" s="775"/>
      <c r="S26" s="776"/>
      <c r="T26" s="775"/>
      <c r="U26" s="776"/>
      <c r="V26" s="775"/>
      <c r="W26" s="776"/>
      <c r="X26" s="1816"/>
      <c r="Y26" s="3193"/>
      <c r="Z26" s="1817"/>
      <c r="AA26" s="1814">
        <v>1</v>
      </c>
      <c r="AB26" s="1814">
        <v>1</v>
      </c>
      <c r="AC26" s="1814">
        <v>1</v>
      </c>
    </row>
    <row r="27" spans="1:29" s="117" customFormat="1" ht="42.75">
      <c r="A27" s="650"/>
      <c r="B27" s="1387" t="s">
        <v>2657</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193"/>
      <c r="Q27" s="1798" t="str">
        <f t="shared" si="8"/>
        <v>公共配套设施</v>
      </c>
      <c r="R27" s="771" t="s">
        <v>17</v>
      </c>
      <c r="S27" s="772">
        <f>F27</f>
        <v>100</v>
      </c>
      <c r="T27" s="771" t="s">
        <v>17</v>
      </c>
      <c r="U27" s="772">
        <f>H27</f>
        <v>100</v>
      </c>
      <c r="V27" s="771" t="s">
        <v>17</v>
      </c>
      <c r="W27" s="772">
        <f>J27</f>
        <v>100</v>
      </c>
      <c r="X27" s="773"/>
      <c r="Y27" s="3193"/>
      <c r="Z27" s="55" t="str">
        <f>Q27</f>
        <v>公共配套设施</v>
      </c>
      <c r="AA27" s="1814">
        <f>D27/F27</f>
        <v>1</v>
      </c>
      <c r="AB27" s="1814">
        <f>D27/H27</f>
        <v>1</v>
      </c>
      <c r="AC27" s="1814">
        <f>D27/J27</f>
        <v>1</v>
      </c>
    </row>
    <row r="28" spans="1:29" s="117" customFormat="1" ht="15">
      <c r="A28" s="650"/>
      <c r="B28" s="457"/>
      <c r="C28" s="2701"/>
      <c r="D28" s="449"/>
      <c r="E28" s="2613"/>
      <c r="F28" s="449"/>
      <c r="G28" s="2613"/>
      <c r="H28" s="449"/>
      <c r="I28" s="448"/>
      <c r="J28" s="449"/>
      <c r="K28" s="673"/>
      <c r="L28" s="1135"/>
      <c r="M28" s="1136"/>
      <c r="N28" s="1136"/>
      <c r="O28" s="1137"/>
      <c r="P28" s="3193"/>
      <c r="Q28" s="1798"/>
      <c r="R28" s="771"/>
      <c r="S28" s="772"/>
      <c r="T28" s="771"/>
      <c r="U28" s="772"/>
      <c r="V28" s="771"/>
      <c r="W28" s="772"/>
      <c r="X28" s="773"/>
      <c r="Y28" s="3193"/>
      <c r="Z28" s="55"/>
      <c r="AA28" s="1814">
        <v>1</v>
      </c>
      <c r="AB28" s="1814">
        <v>1</v>
      </c>
      <c r="AC28" s="1814">
        <v>1</v>
      </c>
    </row>
    <row r="29" spans="1:29" s="117" customFormat="1" ht="28.5">
      <c r="A29" s="650"/>
      <c r="B29" s="1387" t="s">
        <v>2658</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193"/>
      <c r="Q29" s="1798" t="str">
        <f t="shared" ref="Q29" si="9">B29</f>
        <v>基础设施水平</v>
      </c>
      <c r="R29" s="771" t="s">
        <v>17</v>
      </c>
      <c r="S29" s="772">
        <f>F29</f>
        <v>100</v>
      </c>
      <c r="T29" s="771" t="s">
        <v>17</v>
      </c>
      <c r="U29" s="772">
        <f>H29</f>
        <v>100</v>
      </c>
      <c r="V29" s="771" t="s">
        <v>17</v>
      </c>
      <c r="W29" s="772">
        <f>J29</f>
        <v>100</v>
      </c>
      <c r="X29" s="773"/>
      <c r="Y29" s="3193"/>
      <c r="Z29" s="55" t="str">
        <f>Q29</f>
        <v>基础设施水平</v>
      </c>
      <c r="AA29" s="1814">
        <f>D29/F29</f>
        <v>1</v>
      </c>
      <c r="AB29" s="1814">
        <f>D29/H29</f>
        <v>1</v>
      </c>
      <c r="AC29" s="1814">
        <f>D29/J29</f>
        <v>1</v>
      </c>
    </row>
    <row r="30" spans="1:29" s="117" customFormat="1" ht="15">
      <c r="A30" s="650"/>
      <c r="B30" s="457"/>
      <c r="C30" s="2701"/>
      <c r="D30" s="449"/>
      <c r="E30" s="2702"/>
      <c r="F30" s="449"/>
      <c r="G30" s="2702"/>
      <c r="H30" s="449"/>
      <c r="I30" s="2702"/>
      <c r="J30" s="449"/>
      <c r="K30" s="673"/>
      <c r="L30" s="1135"/>
      <c r="M30" s="1136"/>
      <c r="N30" s="1136"/>
      <c r="O30" s="1137"/>
      <c r="P30" s="3193"/>
      <c r="Q30" s="1798"/>
      <c r="R30" s="771"/>
      <c r="S30" s="772"/>
      <c r="T30" s="771"/>
      <c r="U30" s="772"/>
      <c r="V30" s="771"/>
      <c r="W30" s="772"/>
      <c r="X30" s="773"/>
      <c r="Y30" s="3193"/>
      <c r="Z30" s="55"/>
      <c r="AA30" s="1814">
        <v>1</v>
      </c>
      <c r="AB30" s="1814">
        <v>1</v>
      </c>
      <c r="AC30" s="1814">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193"/>
      <c r="Q31" s="1813" t="str">
        <f t="shared" si="8"/>
        <v>临街状况</v>
      </c>
      <c r="R31" s="775" t="s">
        <v>17</v>
      </c>
      <c r="S31" s="776">
        <f t="shared" ref="S31:S45" si="10">F31</f>
        <v>100</v>
      </c>
      <c r="T31" s="775" t="s">
        <v>17</v>
      </c>
      <c r="U31" s="776">
        <f t="shared" ref="U31:U45" si="11">H31</f>
        <v>100</v>
      </c>
      <c r="V31" s="775" t="s">
        <v>17</v>
      </c>
      <c r="W31" s="776">
        <f t="shared" ref="W31:W45" si="12">J31</f>
        <v>100</v>
      </c>
      <c r="X31" s="1816"/>
      <c r="Y31" s="3193"/>
      <c r="Z31" s="1817" t="str">
        <f t="shared" ref="Z31:Z45" si="13">Q31</f>
        <v>临街状况</v>
      </c>
      <c r="AA31" s="1814">
        <f t="shared" si="3"/>
        <v>1</v>
      </c>
      <c r="AB31" s="1814">
        <f t="shared" si="4"/>
        <v>1</v>
      </c>
      <c r="AC31" s="1814">
        <f t="shared" si="5"/>
        <v>1</v>
      </c>
    </row>
    <row r="32" spans="1:29" ht="27">
      <c r="A32" s="429"/>
      <c r="B32" s="1387"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193"/>
      <c r="Q32" s="1813" t="str">
        <f t="shared" si="8"/>
        <v>毗邻道路的类型与等级</v>
      </c>
      <c r="R32" s="775" t="s">
        <v>17</v>
      </c>
      <c r="S32" s="776">
        <f t="shared" si="10"/>
        <v>100</v>
      </c>
      <c r="T32" s="775" t="s">
        <v>17</v>
      </c>
      <c r="U32" s="776">
        <f t="shared" si="11"/>
        <v>100</v>
      </c>
      <c r="V32" s="775" t="s">
        <v>17</v>
      </c>
      <c r="W32" s="776">
        <f t="shared" si="12"/>
        <v>100</v>
      </c>
      <c r="X32" s="1816"/>
      <c r="Y32" s="3193"/>
      <c r="Z32" s="1817" t="str">
        <f t="shared" si="13"/>
        <v>毗邻道路的类型与等级</v>
      </c>
      <c r="AA32" s="1814">
        <f t="shared" si="3"/>
        <v>1</v>
      </c>
      <c r="AB32" s="1814">
        <f t="shared" si="4"/>
        <v>1</v>
      </c>
      <c r="AC32" s="1814">
        <f t="shared" si="5"/>
        <v>1</v>
      </c>
    </row>
    <row r="33" spans="1:29" ht="15">
      <c r="A33" s="429"/>
      <c r="B33" s="457"/>
      <c r="C33" s="448"/>
      <c r="D33" s="449"/>
      <c r="E33" s="2613"/>
      <c r="F33" s="449"/>
      <c r="G33" s="2613"/>
      <c r="H33" s="449"/>
      <c r="I33" s="448"/>
      <c r="J33" s="449"/>
      <c r="K33" s="614"/>
      <c r="L33" s="1143"/>
      <c r="M33" s="1134"/>
      <c r="N33" s="1134"/>
      <c r="O33" s="1142"/>
      <c r="P33" s="3193"/>
      <c r="Q33" s="1813"/>
      <c r="R33" s="775"/>
      <c r="S33" s="776"/>
      <c r="T33" s="775"/>
      <c r="U33" s="776"/>
      <c r="V33" s="775"/>
      <c r="W33" s="776"/>
      <c r="X33" s="1816"/>
      <c r="Y33" s="3193"/>
      <c r="Z33" s="1817"/>
      <c r="AA33" s="1814">
        <v>1</v>
      </c>
      <c r="AB33" s="1814">
        <v>1</v>
      </c>
      <c r="AC33" s="1814">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193"/>
      <c r="Q34" s="1813" t="str">
        <f t="shared" si="8"/>
        <v>土地级别</v>
      </c>
      <c r="R34" s="775" t="s">
        <v>17</v>
      </c>
      <c r="S34" s="776">
        <f t="shared" si="10"/>
        <v>100</v>
      </c>
      <c r="T34" s="775" t="s">
        <v>17</v>
      </c>
      <c r="U34" s="776">
        <f t="shared" si="11"/>
        <v>100</v>
      </c>
      <c r="V34" s="775" t="s">
        <v>17</v>
      </c>
      <c r="W34" s="776">
        <f t="shared" si="12"/>
        <v>100</v>
      </c>
      <c r="X34" s="1816"/>
      <c r="Y34" s="3193"/>
      <c r="Z34" s="1817" t="str">
        <f t="shared" si="13"/>
        <v>土地级别</v>
      </c>
      <c r="AA34" s="1814">
        <f t="shared" si="3"/>
        <v>1</v>
      </c>
      <c r="AB34" s="1814">
        <f t="shared" si="4"/>
        <v>1</v>
      </c>
      <c r="AC34" s="1814">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193"/>
      <c r="Q35" s="1813">
        <f t="shared" si="8"/>
        <v>111</v>
      </c>
      <c r="R35" s="775" t="s">
        <v>17</v>
      </c>
      <c r="S35" s="776">
        <f t="shared" si="10"/>
        <v>100</v>
      </c>
      <c r="T35" s="775" t="s">
        <v>17</v>
      </c>
      <c r="U35" s="776">
        <f t="shared" si="11"/>
        <v>100</v>
      </c>
      <c r="V35" s="775" t="s">
        <v>17</v>
      </c>
      <c r="W35" s="776">
        <f t="shared" si="12"/>
        <v>100</v>
      </c>
      <c r="X35" s="1816"/>
      <c r="Y35" s="3193"/>
      <c r="Z35" s="1817">
        <f t="shared" si="13"/>
        <v>111</v>
      </c>
      <c r="AA35" s="1814">
        <f t="shared" si="3"/>
        <v>1</v>
      </c>
      <c r="AB35" s="1814">
        <f t="shared" si="4"/>
        <v>1</v>
      </c>
      <c r="AC35" s="1814">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48" t="s">
        <v>2568</v>
      </c>
      <c r="Q36" s="1813">
        <f t="shared" si="8"/>
        <v>111</v>
      </c>
      <c r="R36" s="775" t="s">
        <v>17</v>
      </c>
      <c r="S36" s="776">
        <f t="shared" si="10"/>
        <v>100</v>
      </c>
      <c r="T36" s="775" t="s">
        <v>17</v>
      </c>
      <c r="U36" s="776">
        <f t="shared" si="11"/>
        <v>100</v>
      </c>
      <c r="V36" s="775" t="s">
        <v>17</v>
      </c>
      <c r="W36" s="776">
        <f t="shared" si="12"/>
        <v>100</v>
      </c>
      <c r="X36" s="1816"/>
      <c r="Y36" s="3197" t="s">
        <v>2568</v>
      </c>
      <c r="Z36" s="1817">
        <f t="shared" si="13"/>
        <v>111</v>
      </c>
      <c r="AA36" s="1814">
        <f t="shared" si="3"/>
        <v>1</v>
      </c>
      <c r="AB36" s="1814">
        <f t="shared" si="4"/>
        <v>1</v>
      </c>
      <c r="AC36" s="1814">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197"/>
      <c r="Q37" s="1813">
        <f t="shared" si="8"/>
        <v>111</v>
      </c>
      <c r="R37" s="778" t="s">
        <v>17</v>
      </c>
      <c r="S37" s="779">
        <f t="shared" si="10"/>
        <v>100</v>
      </c>
      <c r="T37" s="778" t="s">
        <v>17</v>
      </c>
      <c r="U37" s="779">
        <f t="shared" si="11"/>
        <v>100</v>
      </c>
      <c r="V37" s="778" t="s">
        <v>17</v>
      </c>
      <c r="W37" s="779">
        <f t="shared" si="12"/>
        <v>100</v>
      </c>
      <c r="X37" s="780"/>
      <c r="Y37" s="3197"/>
      <c r="Z37" s="781">
        <f t="shared" si="13"/>
        <v>111</v>
      </c>
      <c r="AA37" s="1814">
        <f t="shared" si="3"/>
        <v>1</v>
      </c>
      <c r="AB37" s="1814">
        <f t="shared" si="4"/>
        <v>1</v>
      </c>
      <c r="AC37" s="1814">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197"/>
      <c r="Q38" s="1813" t="str">
        <f>B38</f>
        <v>宗地面积</v>
      </c>
      <c r="R38" s="775" t="s">
        <v>17</v>
      </c>
      <c r="S38" s="776" t="e">
        <f t="shared" si="10"/>
        <v>#N/A</v>
      </c>
      <c r="T38" s="775" t="s">
        <v>17</v>
      </c>
      <c r="U38" s="776" t="e">
        <f t="shared" si="11"/>
        <v>#N/A</v>
      </c>
      <c r="V38" s="775" t="s">
        <v>17</v>
      </c>
      <c r="W38" s="776" t="e">
        <f t="shared" si="12"/>
        <v>#N/A</v>
      </c>
      <c r="X38" s="1816"/>
      <c r="Y38" s="3197"/>
      <c r="Z38" s="1817" t="str">
        <f t="shared" si="13"/>
        <v>宗地面积</v>
      </c>
      <c r="AA38" s="1814" t="e">
        <f t="shared" si="3"/>
        <v>#N/A</v>
      </c>
      <c r="AB38" s="1814" t="e">
        <f t="shared" si="4"/>
        <v>#N/A</v>
      </c>
      <c r="AC38" s="1814" t="e">
        <f t="shared" si="5"/>
        <v>#N/A</v>
      </c>
    </row>
    <row r="39" spans="1:29" ht="15">
      <c r="A39" s="473"/>
      <c r="B39" s="423" t="s">
        <v>2755</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3"/>
      <c r="M39" s="1134"/>
      <c r="N39" s="1134"/>
      <c r="O39" s="1142"/>
      <c r="P39" s="3197"/>
      <c r="Q39" s="1813" t="str">
        <f t="shared" ref="Q39:Q45" si="14">B39</f>
        <v>宗地形状</v>
      </c>
      <c r="R39" s="775" t="s">
        <v>17</v>
      </c>
      <c r="S39" s="776">
        <f t="shared" si="10"/>
        <v>100</v>
      </c>
      <c r="T39" s="775" t="s">
        <v>17</v>
      </c>
      <c r="U39" s="776">
        <f t="shared" si="11"/>
        <v>100</v>
      </c>
      <c r="V39" s="775" t="s">
        <v>17</v>
      </c>
      <c r="W39" s="776">
        <f t="shared" si="12"/>
        <v>100</v>
      </c>
      <c r="X39" s="1816"/>
      <c r="Y39" s="3197"/>
      <c r="Z39" s="1817" t="str">
        <f t="shared" si="13"/>
        <v>宗地形状</v>
      </c>
      <c r="AA39" s="1814">
        <f t="shared" si="3"/>
        <v>1</v>
      </c>
      <c r="AB39" s="1814">
        <f t="shared" si="4"/>
        <v>1</v>
      </c>
      <c r="AC39" s="1814">
        <f t="shared" si="5"/>
        <v>1</v>
      </c>
    </row>
    <row r="40" spans="1:29" ht="15">
      <c r="A40" s="473"/>
      <c r="B40" s="423" t="s">
        <v>2756</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3"/>
      <c r="M40" s="1134"/>
      <c r="N40" s="1134"/>
      <c r="O40" s="1142"/>
      <c r="P40" s="3197"/>
      <c r="Q40" s="1813" t="str">
        <f t="shared" si="14"/>
        <v>临街宽度及深度</v>
      </c>
      <c r="R40" s="775" t="s">
        <v>17</v>
      </c>
      <c r="S40" s="776">
        <f t="shared" si="10"/>
        <v>100</v>
      </c>
      <c r="T40" s="775" t="s">
        <v>17</v>
      </c>
      <c r="U40" s="776">
        <f t="shared" si="11"/>
        <v>100</v>
      </c>
      <c r="V40" s="775" t="s">
        <v>17</v>
      </c>
      <c r="W40" s="776">
        <f t="shared" si="12"/>
        <v>100</v>
      </c>
      <c r="X40" s="1816"/>
      <c r="Y40" s="3197"/>
      <c r="Z40" s="1817" t="str">
        <f t="shared" si="13"/>
        <v>临街宽度及深度</v>
      </c>
      <c r="AA40" s="1814">
        <f t="shared" si="3"/>
        <v>1</v>
      </c>
      <c r="AB40" s="1814">
        <f t="shared" si="4"/>
        <v>1</v>
      </c>
      <c r="AC40" s="1814">
        <f t="shared" si="5"/>
        <v>1</v>
      </c>
    </row>
    <row r="41" spans="1:29" s="117" customFormat="1" ht="15">
      <c r="A41" s="474"/>
      <c r="B41" s="423" t="s">
        <v>2757</v>
      </c>
      <c r="C41" s="2703"/>
      <c r="D41" s="136">
        <v>100</v>
      </c>
      <c r="E41" s="2703"/>
      <c r="F41" s="436">
        <f>SUMIF(123:123,E41,124:124)-SUMIF(123:123,C41,124:124)+100</f>
        <v>100</v>
      </c>
      <c r="G41" s="2703"/>
      <c r="H41" s="436">
        <f>SUMIF(123:123,G41,124:124)-SUMIF(123:123,C41,124:124)+100</f>
        <v>100</v>
      </c>
      <c r="I41" s="2703"/>
      <c r="J41" s="436">
        <f>SUMIF(123:123,I41,124:124)-SUMIF(123:123,C41,124:124)+100</f>
        <v>100</v>
      </c>
      <c r="K41" s="613"/>
      <c r="L41" s="1135"/>
      <c r="M41" s="1136"/>
      <c r="N41" s="1136"/>
      <c r="O41" s="1137"/>
      <c r="P41" s="3197"/>
      <c r="Q41" s="1813" t="str">
        <f t="shared" si="14"/>
        <v>宗地开发程度</v>
      </c>
      <c r="R41" s="771" t="s">
        <v>17</v>
      </c>
      <c r="S41" s="772">
        <f t="shared" si="10"/>
        <v>100</v>
      </c>
      <c r="T41" s="771" t="s">
        <v>17</v>
      </c>
      <c r="U41" s="772">
        <f t="shared" si="11"/>
        <v>100</v>
      </c>
      <c r="V41" s="771" t="s">
        <v>17</v>
      </c>
      <c r="W41" s="772">
        <f t="shared" si="12"/>
        <v>100</v>
      </c>
      <c r="X41" s="773"/>
      <c r="Y41" s="3197"/>
      <c r="Z41" s="55" t="str">
        <f t="shared" si="13"/>
        <v>宗地开发程度</v>
      </c>
      <c r="AA41" s="774">
        <f t="shared" si="3"/>
        <v>1</v>
      </c>
      <c r="AB41" s="774">
        <f t="shared" si="4"/>
        <v>1</v>
      </c>
      <c r="AC41" s="774">
        <f t="shared" si="5"/>
        <v>1</v>
      </c>
    </row>
    <row r="42" spans="1:29" ht="15">
      <c r="A42" s="473"/>
      <c r="B42" s="423" t="s">
        <v>2758</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3"/>
      <c r="M42" s="1134"/>
      <c r="N42" s="1134"/>
      <c r="O42" s="1142"/>
      <c r="P42" s="3197" t="s">
        <v>2568</v>
      </c>
      <c r="Q42" s="1813" t="str">
        <f t="shared" si="14"/>
        <v>工程地质条件</v>
      </c>
      <c r="R42" s="775" t="s">
        <v>17</v>
      </c>
      <c r="S42" s="776">
        <f t="shared" si="10"/>
        <v>100</v>
      </c>
      <c r="T42" s="775" t="s">
        <v>17</v>
      </c>
      <c r="U42" s="776">
        <f t="shared" si="11"/>
        <v>100</v>
      </c>
      <c r="V42" s="775" t="s">
        <v>17</v>
      </c>
      <c r="W42" s="776">
        <f t="shared" si="12"/>
        <v>100</v>
      </c>
      <c r="X42" s="1816"/>
      <c r="Y42" s="3197" t="s">
        <v>2568</v>
      </c>
      <c r="Z42" s="1817" t="str">
        <f t="shared" si="13"/>
        <v>工程地质条件</v>
      </c>
      <c r="AA42" s="1814">
        <f t="shared" si="3"/>
        <v>1</v>
      </c>
      <c r="AB42" s="1814">
        <f t="shared" si="4"/>
        <v>1</v>
      </c>
      <c r="AC42" s="1814">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197"/>
      <c r="Q43" s="1813">
        <f t="shared" si="14"/>
        <v>111</v>
      </c>
      <c r="R43" s="775" t="s">
        <v>17</v>
      </c>
      <c r="S43" s="776">
        <f t="shared" si="10"/>
        <v>100</v>
      </c>
      <c r="T43" s="775" t="s">
        <v>17</v>
      </c>
      <c r="U43" s="776">
        <f t="shared" si="11"/>
        <v>100</v>
      </c>
      <c r="V43" s="775" t="s">
        <v>17</v>
      </c>
      <c r="W43" s="776">
        <f t="shared" si="12"/>
        <v>100</v>
      </c>
      <c r="X43" s="1816"/>
      <c r="Y43" s="3197"/>
      <c r="Z43" s="1817">
        <f t="shared" si="13"/>
        <v>111</v>
      </c>
      <c r="AA43" s="1814">
        <f t="shared" si="3"/>
        <v>1</v>
      </c>
      <c r="AB43" s="1814">
        <f t="shared" si="4"/>
        <v>1</v>
      </c>
      <c r="AC43" s="1814">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197"/>
      <c r="Q44" s="1813">
        <f t="shared" si="14"/>
        <v>111</v>
      </c>
      <c r="R44" s="775" t="s">
        <v>17</v>
      </c>
      <c r="S44" s="776">
        <f t="shared" si="10"/>
        <v>100</v>
      </c>
      <c r="T44" s="775" t="s">
        <v>17</v>
      </c>
      <c r="U44" s="776">
        <f t="shared" si="11"/>
        <v>100</v>
      </c>
      <c r="V44" s="775" t="s">
        <v>17</v>
      </c>
      <c r="W44" s="776">
        <f t="shared" si="12"/>
        <v>100</v>
      </c>
      <c r="X44" s="1816"/>
      <c r="Y44" s="3197"/>
      <c r="Z44" s="1817">
        <f t="shared" si="13"/>
        <v>111</v>
      </c>
      <c r="AA44" s="1814">
        <f t="shared" si="3"/>
        <v>1</v>
      </c>
      <c r="AB44" s="1814">
        <f t="shared" si="4"/>
        <v>1</v>
      </c>
      <c r="AC44" s="1814">
        <f t="shared" si="5"/>
        <v>1</v>
      </c>
    </row>
    <row r="45" spans="1:29" s="472" customFormat="1" ht="15.75" thickBot="1">
      <c r="A45" s="469"/>
      <c r="B45" s="1390">
        <v>111</v>
      </c>
      <c r="C45" s="2704"/>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197"/>
      <c r="Q45" s="1813">
        <f t="shared" si="14"/>
        <v>111</v>
      </c>
      <c r="R45" s="778" t="s">
        <v>17</v>
      </c>
      <c r="S45" s="779">
        <f t="shared" si="10"/>
        <v>100</v>
      </c>
      <c r="T45" s="778" t="s">
        <v>17</v>
      </c>
      <c r="U45" s="779">
        <f t="shared" si="11"/>
        <v>100</v>
      </c>
      <c r="V45" s="778" t="s">
        <v>17</v>
      </c>
      <c r="W45" s="779">
        <f t="shared" si="12"/>
        <v>100</v>
      </c>
      <c r="X45" s="780"/>
      <c r="Y45" s="3197"/>
      <c r="Z45" s="781">
        <f t="shared" si="13"/>
        <v>111</v>
      </c>
      <c r="AA45" s="1814">
        <f t="shared" si="3"/>
        <v>1</v>
      </c>
      <c r="AB45" s="1814">
        <f t="shared" si="4"/>
        <v>1</v>
      </c>
      <c r="AC45" s="1814">
        <f t="shared" si="5"/>
        <v>1</v>
      </c>
    </row>
    <row r="46" spans="1:29" ht="15">
      <c r="A46" s="480" t="s">
        <v>2723</v>
      </c>
      <c r="B46" s="2705" t="s">
        <v>2759</v>
      </c>
      <c r="C46" s="683" t="s">
        <v>1</v>
      </c>
      <c r="D46" s="482"/>
      <c r="E46" s="483"/>
      <c r="F46" s="484"/>
      <c r="G46" s="485"/>
      <c r="H46" s="486"/>
      <c r="I46" s="483"/>
      <c r="J46" s="486"/>
      <c r="K46" s="784"/>
      <c r="L46" s="1146"/>
      <c r="M46" s="1147"/>
      <c r="N46" s="1134"/>
      <c r="O46" s="1147"/>
      <c r="P46" s="3185" t="str">
        <f>A46</f>
        <v>成交单价</v>
      </c>
      <c r="Q46" s="3185"/>
      <c r="R46" s="3206">
        <f>E46</f>
        <v>0</v>
      </c>
      <c r="S46" s="3206"/>
      <c r="T46" s="3206">
        <f>G46</f>
        <v>0</v>
      </c>
      <c r="U46" s="3206"/>
      <c r="V46" s="3206">
        <f>I46</f>
        <v>0</v>
      </c>
      <c r="W46" s="3206"/>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6"/>
      <c r="M47" s="1147"/>
      <c r="N47" s="1147"/>
      <c r="O47" s="1147"/>
      <c r="P47" s="3185" t="str">
        <f>A47</f>
        <v>比较价值（元/平方米）</v>
      </c>
      <c r="Q47" s="3185"/>
      <c r="R47" s="3249" t="e">
        <f>ROUND(PRODUCT(R46,AA7:AA45),0)</f>
        <v>#DIV/0!</v>
      </c>
      <c r="S47" s="3249"/>
      <c r="T47" s="3249" t="e">
        <f>ROUND(PRODUCT(T46,AB7:AB45),0)</f>
        <v>#DIV/0!</v>
      </c>
      <c r="U47" s="3249"/>
      <c r="V47" s="3249" t="e">
        <f>ROUND(PRODUCT(V46,AC7:AC45),0)</f>
        <v>#DIV/0!</v>
      </c>
      <c r="W47" s="3249"/>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6"/>
      <c r="M48" s="1147"/>
      <c r="N48" s="1147"/>
      <c r="O48" s="1147"/>
      <c r="P48" s="3187" t="str">
        <f>A48</f>
        <v>估价对象XX用房的比较价值（楼面单价，元/平方米）</v>
      </c>
      <c r="Q48" s="3188"/>
      <c r="R48" s="3250" t="e">
        <f>ROUND(AVERAGE(R47:V47),0)</f>
        <v>#DIV/0!</v>
      </c>
      <c r="S48" s="3250"/>
      <c r="T48" s="3250"/>
      <c r="U48" s="3250"/>
      <c r="V48" s="3250"/>
      <c r="W48" s="3250"/>
      <c r="X48" s="760"/>
      <c r="Y48" s="760"/>
      <c r="Z48" s="760"/>
      <c r="AA48" s="760"/>
      <c r="AB48" s="760"/>
      <c r="AC48" s="760"/>
    </row>
    <row r="49" spans="1:15">
      <c r="A49" s="1147"/>
      <c r="B49" s="1147"/>
      <c r="C49" s="1147"/>
      <c r="D49" s="1147"/>
      <c r="E49" s="1147"/>
      <c r="F49" s="1147"/>
      <c r="G49" s="1150"/>
      <c r="H49" s="1147"/>
      <c r="I49" s="1147"/>
      <c r="J49" s="1147"/>
      <c r="K49" s="1109"/>
      <c r="L49" s="1110"/>
      <c r="M49" s="1147"/>
      <c r="N49" s="1147"/>
      <c r="O49" s="1147"/>
    </row>
    <row r="50" spans="1:15">
      <c r="A50" s="1147"/>
      <c r="B50" s="1147"/>
      <c r="C50" s="1147"/>
      <c r="D50" s="1147"/>
      <c r="E50" s="1147"/>
      <c r="F50" s="1147"/>
      <c r="G50" s="1147"/>
      <c r="H50" s="1147"/>
      <c r="I50" s="1147"/>
      <c r="J50" s="1147"/>
      <c r="K50" s="1109"/>
      <c r="L50" s="1110"/>
      <c r="M50" s="1147"/>
      <c r="N50" s="1147"/>
      <c r="O50" s="1147"/>
    </row>
    <row r="51" spans="1:15" ht="13.5" customHeight="1">
      <c r="A51" s="1147"/>
      <c r="B51" s="1147"/>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7"/>
      <c r="N51" s="1147"/>
      <c r="O51" s="1147"/>
    </row>
    <row r="52" spans="1:15" ht="13.5" customHeight="1">
      <c r="A52" s="1147"/>
      <c r="B52" s="1147"/>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7"/>
      <c r="N52" s="1147"/>
      <c r="O52" s="1147"/>
    </row>
    <row r="53" spans="1:15" s="503" customFormat="1" ht="13.5" customHeight="1">
      <c r="A53" s="1148"/>
      <c r="B53" s="1148"/>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3"/>
      <c r="D54" s="761"/>
      <c r="E54" s="761"/>
      <c r="F54" s="761"/>
      <c r="G54" s="761"/>
      <c r="H54" s="761"/>
      <c r="I54" s="761"/>
      <c r="J54" s="761"/>
      <c r="K54" s="1151"/>
      <c r="L54" s="1152"/>
      <c r="M54" s="1148"/>
      <c r="N54" s="1148"/>
      <c r="O54" s="1148"/>
    </row>
    <row r="55" spans="1:15" ht="27" customHeight="1">
      <c r="A55" s="685" t="s">
        <v>2761</v>
      </c>
      <c r="B55" s="686" t="s">
        <v>2762</v>
      </c>
      <c r="C55" s="2706" t="s">
        <v>2763</v>
      </c>
      <c r="D55" s="2707" t="s">
        <v>2764</v>
      </c>
      <c r="E55" s="687" t="s">
        <v>2765</v>
      </c>
      <c r="F55" s="1111" t="s">
        <v>2766</v>
      </c>
      <c r="G55" s="3213" t="s">
        <v>2767</v>
      </c>
      <c r="H55" s="3251"/>
      <c r="I55" s="144" t="s">
        <v>2768</v>
      </c>
      <c r="J55" s="2708">
        <f>项目基本情况!F35</f>
        <v>0</v>
      </c>
      <c r="K55" s="2709" t="s">
        <v>2769</v>
      </c>
      <c r="L55" s="1110"/>
      <c r="M55" s="1147"/>
      <c r="N55" s="1147"/>
      <c r="O55" s="1147"/>
    </row>
    <row r="56" spans="1:15" s="693" customFormat="1">
      <c r="A56" s="689" t="s">
        <v>2770</v>
      </c>
      <c r="B56" s="690" t="e">
        <f>C48</f>
        <v>#DIV/0!</v>
      </c>
      <c r="C56" s="691">
        <v>1</v>
      </c>
      <c r="D56" s="1166">
        <v>1</v>
      </c>
      <c r="E56" s="691">
        <f>'数据-汇总表'!E8+'数据-汇总表'!E9</f>
        <v>445.61</v>
      </c>
      <c r="F56" s="1107" t="e">
        <f t="shared" ref="F56:F65" si="15">ROUND(B56*E56/10000,0)</f>
        <v>#DIV/0!</v>
      </c>
      <c r="G56" s="3199"/>
      <c r="H56" s="3185"/>
      <c r="I56" s="1112">
        <v>1</v>
      </c>
      <c r="J56" s="1115">
        <v>1</v>
      </c>
      <c r="K56" s="1148"/>
      <c r="L56" s="945"/>
      <c r="M56" s="945"/>
      <c r="N56" s="945"/>
      <c r="O56" s="945"/>
    </row>
    <row r="57" spans="1:15" s="693" customFormat="1">
      <c r="A57" s="694" t="s">
        <v>2771</v>
      </c>
      <c r="B57" s="263" t="e">
        <f>ROUND($C$48*C57*D57,0)</f>
        <v>#DIV/0!</v>
      </c>
      <c r="C57" s="201">
        <f t="shared" ref="C57:C65" si="16">IF($C$55="北京市系数",I57,J57)</f>
        <v>0</v>
      </c>
      <c r="D57" s="1167">
        <v>0.25</v>
      </c>
      <c r="E57" s="695"/>
      <c r="F57" s="1107" t="e">
        <f t="shared" si="15"/>
        <v>#DIV/0!</v>
      </c>
      <c r="G57" s="3252" t="s">
        <v>2772</v>
      </c>
      <c r="H57" s="1108">
        <f>项目基本情况!B37</f>
        <v>0</v>
      </c>
      <c r="I57" s="1112">
        <f>SUMIF(修正!A45:A56,H57,修正!B45:B56)</f>
        <v>0</v>
      </c>
      <c r="J57" s="1116"/>
      <c r="K57" s="1147"/>
      <c r="L57" s="945"/>
      <c r="M57" s="945"/>
      <c r="N57" s="945"/>
      <c r="O57" s="945"/>
    </row>
    <row r="58" spans="1:15" s="693" customFormat="1">
      <c r="A58" s="694" t="s">
        <v>2773</v>
      </c>
      <c r="B58" s="263" t="e">
        <f t="shared" ref="B58:B65" si="17">ROUND($C$48*C58*D58,0)</f>
        <v>#DIV/0!</v>
      </c>
      <c r="C58" s="201">
        <f t="shared" si="16"/>
        <v>0</v>
      </c>
      <c r="D58" s="1167">
        <v>0.25</v>
      </c>
      <c r="E58" s="695"/>
      <c r="F58" s="1107" t="e">
        <f t="shared" si="15"/>
        <v>#DIV/0!</v>
      </c>
      <c r="G58" s="3252"/>
      <c r="H58" s="1108">
        <f>项目基本情况!B37</f>
        <v>0</v>
      </c>
      <c r="I58" s="1112">
        <f>SUMIF(修正!A45:A56,H58,修正!C45:C56)</f>
        <v>0</v>
      </c>
      <c r="J58" s="1116"/>
      <c r="K58" s="1148"/>
      <c r="L58" s="945"/>
      <c r="M58" s="945"/>
      <c r="N58" s="945"/>
      <c r="O58" s="945"/>
    </row>
    <row r="59" spans="1:15" s="693" customFormat="1">
      <c r="A59" s="694" t="s">
        <v>2774</v>
      </c>
      <c r="B59" s="263" t="e">
        <f t="shared" si="17"/>
        <v>#DIV/0!</v>
      </c>
      <c r="C59" s="201">
        <f t="shared" si="16"/>
        <v>0</v>
      </c>
      <c r="D59" s="1167">
        <v>0.25</v>
      </c>
      <c r="E59" s="695"/>
      <c r="F59" s="1107" t="e">
        <f t="shared" si="15"/>
        <v>#DIV/0!</v>
      </c>
      <c r="G59" s="3252"/>
      <c r="H59" s="1108">
        <f>项目基本情况!B37</f>
        <v>0</v>
      </c>
      <c r="I59" s="1112">
        <f>SUMIF(修正!A45:A56,H59,修正!D45:D56)</f>
        <v>0</v>
      </c>
      <c r="J59" s="1116"/>
      <c r="K59" s="1147"/>
      <c r="L59" s="945"/>
      <c r="M59" s="945"/>
      <c r="N59" s="945"/>
      <c r="O59" s="945"/>
    </row>
    <row r="60" spans="1:15" s="693" customFormat="1">
      <c r="A60" s="694" t="s">
        <v>2775</v>
      </c>
      <c r="B60" s="263" t="e">
        <f t="shared" si="17"/>
        <v>#DIV/0!</v>
      </c>
      <c r="C60" s="201">
        <f t="shared" si="16"/>
        <v>0</v>
      </c>
      <c r="D60" s="1167">
        <v>0.25</v>
      </c>
      <c r="E60" s="695"/>
      <c r="F60" s="1107" t="e">
        <f t="shared" si="15"/>
        <v>#DIV/0!</v>
      </c>
      <c r="G60" s="3252"/>
      <c r="H60" s="1108">
        <f>项目基本情况!B37</f>
        <v>0</v>
      </c>
      <c r="I60" s="1112">
        <f>SUMIF(修正!A45:A56,H60,修正!E45:E56)</f>
        <v>0</v>
      </c>
      <c r="J60" s="1116"/>
      <c r="K60" s="1148"/>
      <c r="L60" s="945"/>
      <c r="M60" s="945"/>
      <c r="N60" s="945"/>
      <c r="O60" s="945"/>
    </row>
    <row r="61" spans="1:15" s="693" customFormat="1">
      <c r="A61" s="694" t="s">
        <v>2776</v>
      </c>
      <c r="B61" s="263" t="e">
        <f t="shared" si="17"/>
        <v>#DIV/0!</v>
      </c>
      <c r="C61" s="201">
        <f t="shared" si="16"/>
        <v>0</v>
      </c>
      <c r="D61" s="1167">
        <v>0.25</v>
      </c>
      <c r="E61" s="262">
        <f>'数据-汇总表'!E11</f>
        <v>0</v>
      </c>
      <c r="F61" s="1107" t="e">
        <f t="shared" si="15"/>
        <v>#DIV/0!</v>
      </c>
      <c r="G61" s="2710" t="s">
        <v>2777</v>
      </c>
      <c r="H61" s="1108">
        <f>项目基本情况!C37</f>
        <v>0</v>
      </c>
      <c r="I61" s="1112">
        <f>SUMIF(修正!A45:A56,H61,修正!F45:F56)</f>
        <v>0</v>
      </c>
      <c r="J61" s="1116"/>
      <c r="K61" s="1147"/>
      <c r="L61" s="945"/>
      <c r="M61" s="945"/>
      <c r="N61" s="945"/>
      <c r="O61" s="945"/>
    </row>
    <row r="62" spans="1:15" s="693" customFormat="1">
      <c r="A62" s="694" t="s">
        <v>2778</v>
      </c>
      <c r="B62" s="263" t="e">
        <f t="shared" si="17"/>
        <v>#DIV/0!</v>
      </c>
      <c r="C62" s="201">
        <f t="shared" si="16"/>
        <v>0</v>
      </c>
      <c r="D62" s="1167">
        <v>0.25</v>
      </c>
      <c r="E62" s="262">
        <f>'数据-汇总表'!E12</f>
        <v>0</v>
      </c>
      <c r="F62" s="1107" t="e">
        <f t="shared" si="15"/>
        <v>#DIV/0!</v>
      </c>
      <c r="G62" s="1113" t="s">
        <v>2779</v>
      </c>
      <c r="H62" s="1108">
        <f>IF(G62="商业",项目基本情况!B37,IF(G62="办公",项目基本情况!C37,IF(G62="住宅",项目基本情况!D37,项目基本情况!E37)))</f>
        <v>0</v>
      </c>
      <c r="I62" s="1112">
        <f>SUMIF(修正!A45:A56,H62,修正!G45:G56)</f>
        <v>0</v>
      </c>
      <c r="J62" s="1116"/>
      <c r="K62" s="1148"/>
      <c r="L62" s="945"/>
      <c r="M62" s="945"/>
      <c r="N62" s="945"/>
      <c r="O62" s="945"/>
    </row>
    <row r="63" spans="1:15" s="693" customFormat="1">
      <c r="A63" s="694" t="s">
        <v>2780</v>
      </c>
      <c r="B63" s="263" t="e">
        <f t="shared" si="17"/>
        <v>#DIV/0!</v>
      </c>
      <c r="C63" s="201">
        <f t="shared" si="16"/>
        <v>0</v>
      </c>
      <c r="D63" s="1167">
        <v>0.25</v>
      </c>
      <c r="E63" s="262">
        <f>'数据-汇总表'!E13</f>
        <v>0</v>
      </c>
      <c r="F63" s="1107" t="e">
        <f t="shared" si="15"/>
        <v>#DIV/0!</v>
      </c>
      <c r="G63" s="1113" t="s">
        <v>2781</v>
      </c>
      <c r="H63" s="1108">
        <f>IF(G63="商业",项目基本情况!B37,IF(G63="办公",项目基本情况!C37,IF(G63="住宅",项目基本情况!D37,项目基本情况!E37)))</f>
        <v>0</v>
      </c>
      <c r="I63" s="1112">
        <f>SUMIF(修正!A45:A56,H63,修正!H45:H56)</f>
        <v>0</v>
      </c>
      <c r="J63" s="1116"/>
      <c r="K63" s="1147"/>
      <c r="L63" s="945"/>
      <c r="M63" s="945"/>
      <c r="N63" s="945"/>
      <c r="O63" s="945"/>
    </row>
    <row r="64" spans="1:15" s="693" customFormat="1">
      <c r="A64" s="694" t="s">
        <v>2782</v>
      </c>
      <c r="B64" s="263" t="e">
        <f t="shared" si="17"/>
        <v>#DIV/0!</v>
      </c>
      <c r="C64" s="201">
        <f t="shared" si="16"/>
        <v>0</v>
      </c>
      <c r="D64" s="1167">
        <v>0.25</v>
      </c>
      <c r="E64" s="262">
        <f>'数据-汇总表'!E14</f>
        <v>0</v>
      </c>
      <c r="F64" s="1107" t="e">
        <f t="shared" si="15"/>
        <v>#DIV/0!</v>
      </c>
      <c r="G64" s="2710" t="s">
        <v>2772</v>
      </c>
      <c r="H64" s="1108">
        <f>项目基本情况!B37</f>
        <v>0</v>
      </c>
      <c r="I64" s="1112">
        <f>SUMIF(修正!A45:A56,H64,修正!H45:H56)</f>
        <v>0</v>
      </c>
      <c r="J64" s="1116"/>
      <c r="K64" s="1148"/>
      <c r="L64" s="945"/>
      <c r="M64" s="945"/>
      <c r="N64" s="945"/>
      <c r="O64" s="945"/>
    </row>
    <row r="65" spans="1:17" s="693" customFormat="1" ht="15" thickBot="1">
      <c r="A65" s="694" t="s">
        <v>2783</v>
      </c>
      <c r="B65" s="263" t="e">
        <f t="shared" si="17"/>
        <v>#DIV/0!</v>
      </c>
      <c r="C65" s="201">
        <f t="shared" si="16"/>
        <v>0</v>
      </c>
      <c r="D65" s="1167">
        <v>0.25</v>
      </c>
      <c r="E65" s="262">
        <f>'数据-汇总表'!E15</f>
        <v>0</v>
      </c>
      <c r="F65" s="1107" t="e">
        <f t="shared" si="15"/>
        <v>#DIV/0!</v>
      </c>
      <c r="G65" s="2711" t="s">
        <v>2777</v>
      </c>
      <c r="H65" s="1118">
        <f>项目基本情况!C37</f>
        <v>0</v>
      </c>
      <c r="I65" s="1114">
        <f>SUMIF(修正!A45:A56,H65,修正!H45:H56)</f>
        <v>0</v>
      </c>
      <c r="J65" s="1117"/>
      <c r="K65" s="1147"/>
      <c r="L65" s="945"/>
      <c r="M65" s="945"/>
      <c r="N65" s="945"/>
      <c r="O65" s="945"/>
    </row>
    <row r="66" spans="1:17" s="693" customFormat="1" ht="13.5" thickBot="1">
      <c r="A66" s="696" t="s">
        <v>2784</v>
      </c>
      <c r="B66" s="697" t="s">
        <v>28</v>
      </c>
      <c r="C66" s="697" t="s">
        <v>29</v>
      </c>
      <c r="D66" s="697" t="s">
        <v>1029</v>
      </c>
      <c r="E66" s="697">
        <f>IF(B46="楼面地价",SUM(E56:E65),'数据-汇总表'!D3)</f>
        <v>445.61</v>
      </c>
      <c r="F66" s="698" t="e">
        <f>IF(B46="楼面地价",SUM(F56:F65),ROUND(C48*E66/10000,0))</f>
        <v>#DIV/0!</v>
      </c>
      <c r="G66" s="788"/>
      <c r="H66" s="788"/>
      <c r="I66" s="788"/>
      <c r="J66" s="788"/>
      <c r="K66" s="1161"/>
      <c r="L66" s="945"/>
      <c r="M66" s="945"/>
      <c r="N66" s="945"/>
      <c r="O66" s="945"/>
    </row>
    <row r="67" spans="1:17">
      <c r="A67" s="760"/>
      <c r="B67" s="762"/>
      <c r="C67" s="763"/>
      <c r="D67" s="760"/>
      <c r="E67" s="760"/>
      <c r="F67" s="760"/>
      <c r="G67" s="760"/>
      <c r="H67" s="760"/>
      <c r="I67" s="760"/>
      <c r="J67" s="1147"/>
      <c r="K67" s="1109"/>
      <c r="L67" s="1110"/>
      <c r="M67" s="1147"/>
      <c r="N67" s="1147"/>
      <c r="O67" s="1147"/>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2677</v>
      </c>
      <c r="B69" s="760"/>
      <c r="C69" s="765"/>
      <c r="D69" s="765"/>
      <c r="E69" s="765"/>
      <c r="F69" s="766"/>
      <c r="G69" s="766"/>
      <c r="H69" s="765"/>
      <c r="I69" s="765"/>
      <c r="J69" s="1162"/>
      <c r="K69" s="1163"/>
      <c r="L69" s="1164"/>
      <c r="M69" s="1162"/>
      <c r="N69" s="1162"/>
      <c r="O69" s="1162"/>
      <c r="P69" s="504"/>
      <c r="Q69" s="505"/>
    </row>
    <row r="70" spans="1:17" s="509" customFormat="1" ht="15">
      <c r="A70" s="2712"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3" t="s">
        <v>2786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2588</v>
      </c>
      <c r="B72" s="517"/>
      <c r="C72" s="518"/>
      <c r="D72" s="519"/>
      <c r="E72" s="519"/>
      <c r="F72" s="519"/>
      <c r="G72" s="519"/>
      <c r="H72" s="519"/>
      <c r="I72" s="519"/>
      <c r="J72" s="519"/>
      <c r="K72" s="519"/>
      <c r="L72" s="519"/>
      <c r="M72" s="520"/>
      <c r="N72" s="519"/>
      <c r="O72" s="1165"/>
      <c r="P72" s="505"/>
      <c r="Q72" s="505"/>
    </row>
    <row r="73" spans="1:17" s="117" customFormat="1" ht="15">
      <c r="A73" s="522" t="s">
        <v>2553</v>
      </c>
      <c r="B73" s="511"/>
      <c r="C73" s="523" t="s">
        <v>2655</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2591</v>
      </c>
      <c r="B75" s="529" t="s">
        <v>2557</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2560</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2694</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2753</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2795</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2796</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2797</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2798</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8"/>
      <c r="D2" s="1128"/>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213" t="s">
        <v>2649</v>
      </c>
      <c r="D4" s="3214"/>
      <c r="E4" s="3215" t="s">
        <v>2650</v>
      </c>
      <c r="F4" s="3216"/>
      <c r="G4" s="3213" t="s">
        <v>2651</v>
      </c>
      <c r="H4" s="3214"/>
      <c r="I4" s="3213" t="s">
        <v>2652</v>
      </c>
      <c r="J4" s="3214"/>
      <c r="K4" s="611" t="s">
        <v>2653</v>
      </c>
      <c r="L4" s="1133"/>
      <c r="M4" s="1134"/>
      <c r="N4" s="1134"/>
      <c r="O4" s="1134"/>
      <c r="P4" s="3217" t="s">
        <v>2654</v>
      </c>
      <c r="Q4" s="3218"/>
      <c r="R4" s="3200" t="s">
        <v>2650</v>
      </c>
      <c r="S4" s="3201"/>
      <c r="T4" s="3200" t="s">
        <v>2651</v>
      </c>
      <c r="U4" s="3201"/>
      <c r="V4" s="3206" t="s">
        <v>2652</v>
      </c>
      <c r="W4" s="3206"/>
      <c r="X4" s="1816"/>
      <c r="Y4" s="3200" t="s">
        <v>2654</v>
      </c>
      <c r="Z4" s="3201"/>
      <c r="AA4" s="3210" t="s">
        <v>2650</v>
      </c>
      <c r="AB4" s="3211" t="s">
        <v>2651</v>
      </c>
      <c r="AC4" s="3210" t="s">
        <v>2652</v>
      </c>
    </row>
    <row r="5" spans="1:29" ht="15">
      <c r="A5" s="405"/>
      <c r="B5" s="406"/>
      <c r="C5" s="3223" t="s">
        <v>2545</v>
      </c>
      <c r="D5" s="3224"/>
      <c r="E5" s="3231" t="s">
        <v>2546</v>
      </c>
      <c r="F5" s="3232"/>
      <c r="G5" s="3223" t="s">
        <v>2547</v>
      </c>
      <c r="H5" s="3224"/>
      <c r="I5" s="3223" t="s">
        <v>2548</v>
      </c>
      <c r="J5" s="3224"/>
      <c r="K5" s="611"/>
      <c r="L5" s="1133"/>
      <c r="M5" s="1134"/>
      <c r="N5" s="1134"/>
      <c r="O5" s="1134"/>
      <c r="P5" s="3219"/>
      <c r="Q5" s="3220"/>
      <c r="R5" s="3202"/>
      <c r="S5" s="3203"/>
      <c r="T5" s="3202"/>
      <c r="U5" s="3203"/>
      <c r="V5" s="3206"/>
      <c r="W5" s="3206"/>
      <c r="X5" s="1816"/>
      <c r="Y5" s="3202"/>
      <c r="Z5" s="3203"/>
      <c r="AA5" s="3211"/>
      <c r="AB5" s="3211"/>
      <c r="AC5" s="3211"/>
    </row>
    <row r="6" spans="1:29" ht="15.75" thickBot="1">
      <c r="A6" s="407"/>
      <c r="B6" s="408"/>
      <c r="C6" s="3253" t="s">
        <v>2800</v>
      </c>
      <c r="D6" s="3254"/>
      <c r="E6" s="3255" t="s">
        <v>2800</v>
      </c>
      <c r="F6" s="3256"/>
      <c r="G6" s="3253" t="s">
        <v>2800</v>
      </c>
      <c r="H6" s="3254"/>
      <c r="I6" s="3253" t="s">
        <v>2800</v>
      </c>
      <c r="J6" s="3254"/>
      <c r="K6" s="611" t="s">
        <v>2550</v>
      </c>
      <c r="L6" s="1133"/>
      <c r="M6" s="1134"/>
      <c r="N6" s="1134"/>
      <c r="O6" s="1134"/>
      <c r="P6" s="3221"/>
      <c r="Q6" s="3222"/>
      <c r="R6" s="3202"/>
      <c r="S6" s="3203"/>
      <c r="T6" s="3204"/>
      <c r="U6" s="3205"/>
      <c r="V6" s="3206"/>
      <c r="W6" s="3206"/>
      <c r="X6" s="1816"/>
      <c r="Y6" s="3204"/>
      <c r="Z6" s="3205"/>
      <c r="AA6" s="3212"/>
      <c r="AB6" s="3212"/>
      <c r="AC6" s="3212"/>
    </row>
    <row r="7" spans="1:29" s="117" customFormat="1" ht="15.75" thickBot="1">
      <c r="A7" s="409" t="s">
        <v>2551</v>
      </c>
      <c r="B7" s="410"/>
      <c r="C7" s="411">
        <f>'数据-取费表'!B2</f>
        <v>43017</v>
      </c>
      <c r="D7" s="412">
        <v>100</v>
      </c>
      <c r="E7" s="413"/>
      <c r="F7" s="414">
        <f>SUMIF(65:65,YEAR(E7)&amp;"-"&amp;INT((MONTH(E7)+2)/3),66:66)</f>
        <v>0</v>
      </c>
      <c r="G7" s="2697"/>
      <c r="H7" s="412">
        <f>SUMIF(65:65,YEAR(G7)&amp;"-"&amp;INT((MONTH(G7)+2)/3),66:66)</f>
        <v>0</v>
      </c>
      <c r="I7" s="2697"/>
      <c r="J7" s="412">
        <f>SUMIF(65:65,YEAR(I7)&amp;"-"&amp;INT((MONTH(I7)+2)/3),66:66)</f>
        <v>0</v>
      </c>
      <c r="K7" s="612"/>
      <c r="L7" s="1135"/>
      <c r="M7" s="1136"/>
      <c r="N7" s="1136"/>
      <c r="O7" s="1136"/>
      <c r="P7" s="3207" t="s">
        <v>2552</v>
      </c>
      <c r="Q7" s="3208"/>
      <c r="R7" s="771" t="s">
        <v>17</v>
      </c>
      <c r="S7" s="772">
        <f t="shared" ref="S7:S15" si="0">F7</f>
        <v>0</v>
      </c>
      <c r="T7" s="771" t="s">
        <v>17</v>
      </c>
      <c r="U7" s="772">
        <f t="shared" ref="U7:U15" si="1">H7</f>
        <v>0</v>
      </c>
      <c r="V7" s="771" t="s">
        <v>17</v>
      </c>
      <c r="W7" s="772">
        <f t="shared" ref="W7:W15" si="2">J7</f>
        <v>0</v>
      </c>
      <c r="X7" s="773"/>
      <c r="Y7" s="3207" t="s">
        <v>2552</v>
      </c>
      <c r="Z7" s="3209"/>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07" t="s">
        <v>2555</v>
      </c>
      <c r="Q8" s="3209"/>
      <c r="R8" s="771" t="s">
        <v>17</v>
      </c>
      <c r="S8" s="772">
        <f t="shared" si="0"/>
        <v>0</v>
      </c>
      <c r="T8" s="771" t="s">
        <v>17</v>
      </c>
      <c r="U8" s="772">
        <f t="shared" si="1"/>
        <v>0</v>
      </c>
      <c r="V8" s="771" t="s">
        <v>17</v>
      </c>
      <c r="W8" s="772">
        <f t="shared" si="2"/>
        <v>0</v>
      </c>
      <c r="X8" s="773"/>
      <c r="Y8" s="3207" t="s">
        <v>2555</v>
      </c>
      <c r="Z8" s="3209"/>
      <c r="AA8" s="774" t="e">
        <f t="shared" ref="AA8:AA40" si="3">D8/F8</f>
        <v>#DIV/0!</v>
      </c>
      <c r="AB8" s="774" t="e">
        <f t="shared" ref="AB8:AB40" si="4">D8/H8</f>
        <v>#DIV/0!</v>
      </c>
      <c r="AC8" s="774" t="e">
        <f t="shared" ref="AC8:AC40" si="5">D8/J8</f>
        <v>#DIV/0!</v>
      </c>
    </row>
    <row r="9" spans="1:29" s="117" customFormat="1">
      <c r="A9" s="416" t="s">
        <v>2556</v>
      </c>
      <c r="B9" s="71" t="s">
        <v>2557</v>
      </c>
      <c r="C9" s="2700"/>
      <c r="D9" s="135">
        <v>100</v>
      </c>
      <c r="E9" s="2700"/>
      <c r="F9" s="135">
        <f>SUMIF(70:70,E9,71:71)-SUMIF(70:70,C9,71:71)+100</f>
        <v>100</v>
      </c>
      <c r="G9" s="2700"/>
      <c r="H9" s="135">
        <f>SUMIF(70:70,G9,71:71)-SUMIF(70:70,C9,71:71)+100</f>
        <v>100</v>
      </c>
      <c r="I9" s="2700"/>
      <c r="J9" s="135">
        <f>SUMIF(70:70,I9,71:71)-SUMIF(70:70,C9,71:71)+100</f>
        <v>100</v>
      </c>
      <c r="K9" s="612"/>
      <c r="L9" s="1135"/>
      <c r="M9" s="1136"/>
      <c r="N9" s="1136"/>
      <c r="O9" s="1137"/>
      <c r="P9" s="3185" t="s">
        <v>2558</v>
      </c>
      <c r="Q9" s="1798" t="str">
        <f t="shared" ref="Q9:Q15" si="6">B9</f>
        <v>用途</v>
      </c>
      <c r="R9" s="771" t="s">
        <v>17</v>
      </c>
      <c r="S9" s="772">
        <f t="shared" si="0"/>
        <v>100</v>
      </c>
      <c r="T9" s="771" t="s">
        <v>17</v>
      </c>
      <c r="U9" s="772">
        <f t="shared" si="1"/>
        <v>100</v>
      </c>
      <c r="V9" s="771" t="s">
        <v>17</v>
      </c>
      <c r="W9" s="772">
        <f t="shared" si="2"/>
        <v>100</v>
      </c>
      <c r="X9" s="773"/>
      <c r="Y9" s="3035"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105</v>
      </c>
      <c r="G10" s="433"/>
      <c r="H10" s="136">
        <f>ROUND(100/'数据-取费表'!G16,0)</f>
        <v>105</v>
      </c>
      <c r="I10" s="433"/>
      <c r="J10" s="136">
        <f>ROUND(100/'数据-取费表'!G16,0)</f>
        <v>105</v>
      </c>
      <c r="K10" s="673"/>
      <c r="L10" s="1138"/>
      <c r="M10" s="1139"/>
      <c r="N10" s="1139"/>
      <c r="O10" s="1140"/>
      <c r="P10" s="3185"/>
      <c r="Q10" s="1798" t="str">
        <f t="shared" si="6"/>
        <v>土地使用年限（年）</v>
      </c>
      <c r="R10" s="771" t="s">
        <v>17</v>
      </c>
      <c r="S10" s="772">
        <f t="shared" si="0"/>
        <v>105</v>
      </c>
      <c r="T10" s="771" t="s">
        <v>17</v>
      </c>
      <c r="U10" s="772">
        <f t="shared" si="1"/>
        <v>105</v>
      </c>
      <c r="V10" s="771" t="s">
        <v>17</v>
      </c>
      <c r="W10" s="772">
        <f t="shared" si="2"/>
        <v>105</v>
      </c>
      <c r="X10" s="773"/>
      <c r="Y10" s="3035"/>
      <c r="Z10" s="55" t="str">
        <f t="shared" si="7"/>
        <v>土地使用年限（年）</v>
      </c>
      <c r="AA10" s="774">
        <f t="shared" si="3"/>
        <v>0.95238095238095233</v>
      </c>
      <c r="AB10" s="774">
        <f t="shared" si="4"/>
        <v>0.95238095238095233</v>
      </c>
      <c r="AC10" s="774">
        <f t="shared" si="5"/>
        <v>0.95238095238095233</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185"/>
      <c r="Q11" s="1798" t="str">
        <f t="shared" si="6"/>
        <v>容积率</v>
      </c>
      <c r="R11" s="771" t="s">
        <v>17</v>
      </c>
      <c r="S11" s="772" t="e">
        <f t="shared" si="0"/>
        <v>#N/A</v>
      </c>
      <c r="T11" s="771" t="s">
        <v>17</v>
      </c>
      <c r="U11" s="772" t="e">
        <f t="shared" si="1"/>
        <v>#N/A</v>
      </c>
      <c r="V11" s="771" t="s">
        <v>17</v>
      </c>
      <c r="W11" s="772" t="e">
        <f t="shared" si="2"/>
        <v>#N/A</v>
      </c>
      <c r="X11" s="773"/>
      <c r="Y11" s="3035"/>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185"/>
      <c r="Q12" s="1798">
        <f t="shared" si="6"/>
        <v>111</v>
      </c>
      <c r="R12" s="771" t="s">
        <v>17</v>
      </c>
      <c r="S12" s="772">
        <f t="shared" si="0"/>
        <v>100</v>
      </c>
      <c r="T12" s="771" t="s">
        <v>17</v>
      </c>
      <c r="U12" s="772">
        <f t="shared" si="1"/>
        <v>100</v>
      </c>
      <c r="V12" s="771" t="s">
        <v>17</v>
      </c>
      <c r="W12" s="772">
        <f t="shared" si="2"/>
        <v>100</v>
      </c>
      <c r="X12" s="773"/>
      <c r="Y12" s="3035"/>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185"/>
      <c r="Q13" s="1798">
        <f t="shared" si="6"/>
        <v>111</v>
      </c>
      <c r="R13" s="771" t="s">
        <v>17</v>
      </c>
      <c r="S13" s="772">
        <f t="shared" si="0"/>
        <v>100</v>
      </c>
      <c r="T13" s="771" t="s">
        <v>17</v>
      </c>
      <c r="U13" s="772">
        <f t="shared" si="1"/>
        <v>100</v>
      </c>
      <c r="V13" s="771" t="s">
        <v>17</v>
      </c>
      <c r="W13" s="772">
        <f t="shared" si="2"/>
        <v>100</v>
      </c>
      <c r="X13" s="773"/>
      <c r="Y13" s="3035"/>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185"/>
      <c r="Q14" s="1798">
        <f t="shared" si="6"/>
        <v>111</v>
      </c>
      <c r="R14" s="771" t="s">
        <v>17</v>
      </c>
      <c r="S14" s="772">
        <f t="shared" si="0"/>
        <v>100</v>
      </c>
      <c r="T14" s="771" t="s">
        <v>17</v>
      </c>
      <c r="U14" s="772">
        <f t="shared" si="1"/>
        <v>100</v>
      </c>
      <c r="V14" s="771" t="s">
        <v>17</v>
      </c>
      <c r="W14" s="772">
        <f t="shared" si="2"/>
        <v>100</v>
      </c>
      <c r="X14" s="773"/>
      <c r="Y14" s="3035"/>
      <c r="Z14" s="55">
        <f t="shared" si="7"/>
        <v>111</v>
      </c>
      <c r="AA14" s="774">
        <f t="shared" si="3"/>
        <v>1</v>
      </c>
      <c r="AB14" s="774">
        <f t="shared" si="4"/>
        <v>1</v>
      </c>
      <c r="AC14" s="774">
        <f t="shared" si="5"/>
        <v>1</v>
      </c>
    </row>
    <row r="15" spans="1:29" ht="57">
      <c r="A15" s="441" t="s">
        <v>2562</v>
      </c>
      <c r="B15" s="630" t="s">
        <v>2801</v>
      </c>
      <c r="C15" s="269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192" t="s">
        <v>2563</v>
      </c>
      <c r="Q15" s="1813" t="str">
        <f t="shared" si="6"/>
        <v>产业集聚程度</v>
      </c>
      <c r="R15" s="775" t="s">
        <v>17</v>
      </c>
      <c r="S15" s="776">
        <f t="shared" si="0"/>
        <v>100</v>
      </c>
      <c r="T15" s="775" t="s">
        <v>17</v>
      </c>
      <c r="U15" s="776">
        <f t="shared" si="1"/>
        <v>100</v>
      </c>
      <c r="V15" s="775" t="s">
        <v>17</v>
      </c>
      <c r="W15" s="776">
        <f t="shared" si="2"/>
        <v>100</v>
      </c>
      <c r="X15" s="1816"/>
      <c r="Y15" s="3192" t="s">
        <v>2563</v>
      </c>
      <c r="Z15" s="1817" t="str">
        <f t="shared" si="7"/>
        <v>产业集聚程度</v>
      </c>
      <c r="AA15" s="1814">
        <f t="shared" si="3"/>
        <v>1</v>
      </c>
      <c r="AB15" s="1814">
        <f t="shared" si="4"/>
        <v>1</v>
      </c>
      <c r="AC15" s="1814">
        <f t="shared" si="5"/>
        <v>1</v>
      </c>
    </row>
    <row r="16" spans="1:29" ht="15">
      <c r="A16" s="429"/>
      <c r="B16" s="631"/>
      <c r="C16" s="448"/>
      <c r="D16" s="449"/>
      <c r="E16" s="2613"/>
      <c r="F16" s="449"/>
      <c r="G16" s="2613"/>
      <c r="H16" s="451"/>
      <c r="I16" s="2613"/>
      <c r="J16" s="449"/>
      <c r="K16" s="673"/>
      <c r="L16" s="1143"/>
      <c r="M16" s="1134"/>
      <c r="N16" s="1134"/>
      <c r="O16" s="1142"/>
      <c r="P16" s="3193"/>
      <c r="Q16" s="1813"/>
      <c r="R16" s="775"/>
      <c r="S16" s="776"/>
      <c r="T16" s="775"/>
      <c r="U16" s="776"/>
      <c r="V16" s="775"/>
      <c r="W16" s="776"/>
      <c r="X16" s="1816"/>
      <c r="Y16" s="3193"/>
      <c r="Z16" s="1817"/>
      <c r="AA16" s="1814">
        <v>1</v>
      </c>
      <c r="AB16" s="1814">
        <v>1</v>
      </c>
      <c r="AC16" s="1814">
        <v>1</v>
      </c>
    </row>
    <row r="17" spans="1:29" ht="85.5">
      <c r="A17" s="429"/>
      <c r="B17" s="632" t="s">
        <v>2712</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193"/>
      <c r="Q17" s="1813" t="str">
        <f>B17</f>
        <v>交通便捷度</v>
      </c>
      <c r="R17" s="775" t="s">
        <v>17</v>
      </c>
      <c r="S17" s="776">
        <f>F17</f>
        <v>100</v>
      </c>
      <c r="T17" s="775" t="s">
        <v>17</v>
      </c>
      <c r="U17" s="776">
        <f>H17</f>
        <v>100</v>
      </c>
      <c r="V17" s="775" t="s">
        <v>17</v>
      </c>
      <c r="W17" s="776">
        <f>J17</f>
        <v>100</v>
      </c>
      <c r="X17" s="1816"/>
      <c r="Y17" s="3193"/>
      <c r="Z17" s="1817" t="str">
        <f>Q17</f>
        <v>交通便捷度</v>
      </c>
      <c r="AA17" s="1814">
        <f t="shared" si="3"/>
        <v>1</v>
      </c>
      <c r="AB17" s="1814">
        <f t="shared" si="4"/>
        <v>1</v>
      </c>
      <c r="AC17" s="1814">
        <f t="shared" si="5"/>
        <v>1</v>
      </c>
    </row>
    <row r="18" spans="1:29" ht="15">
      <c r="A18" s="429"/>
      <c r="B18" s="633"/>
      <c r="C18" s="448"/>
      <c r="D18" s="449"/>
      <c r="E18" s="2607"/>
      <c r="F18" s="449"/>
      <c r="G18" s="2607"/>
      <c r="H18" s="449"/>
      <c r="I18" s="2606"/>
      <c r="J18" s="449"/>
      <c r="K18" s="673"/>
      <c r="L18" s="1143"/>
      <c r="M18" s="1134"/>
      <c r="N18" s="1134"/>
      <c r="O18" s="1142"/>
      <c r="P18" s="3193"/>
      <c r="Q18" s="1813"/>
      <c r="R18" s="775"/>
      <c r="S18" s="776"/>
      <c r="T18" s="775"/>
      <c r="U18" s="776"/>
      <c r="V18" s="775"/>
      <c r="W18" s="776"/>
      <c r="X18" s="1816"/>
      <c r="Y18" s="3193"/>
      <c r="Z18" s="1817"/>
      <c r="AA18" s="1814">
        <v>1</v>
      </c>
      <c r="AB18" s="1814">
        <v>1</v>
      </c>
      <c r="AC18" s="1814">
        <v>1</v>
      </c>
    </row>
    <row r="19" spans="1:29" ht="15">
      <c r="A19" s="429"/>
      <c r="B19" s="632" t="s">
        <v>2751</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193"/>
      <c r="Q19" s="1813" t="str">
        <f t="shared" ref="Q19:Q33" si="8">B19</f>
        <v>区域土地利用方向</v>
      </c>
      <c r="R19" s="775" t="s">
        <v>17</v>
      </c>
      <c r="S19" s="776">
        <f>F19</f>
        <v>100</v>
      </c>
      <c r="T19" s="775" t="s">
        <v>17</v>
      </c>
      <c r="U19" s="776">
        <f>H19</f>
        <v>100</v>
      </c>
      <c r="V19" s="775" t="s">
        <v>17</v>
      </c>
      <c r="W19" s="776">
        <f>J19</f>
        <v>100</v>
      </c>
      <c r="X19" s="1816"/>
      <c r="Y19" s="3193"/>
      <c r="Z19" s="1817" t="str">
        <f>Q19</f>
        <v>区域土地利用方向</v>
      </c>
      <c r="AA19" s="1814">
        <f t="shared" si="3"/>
        <v>1</v>
      </c>
      <c r="AB19" s="1814">
        <f t="shared" si="4"/>
        <v>1</v>
      </c>
      <c r="AC19" s="1814">
        <f t="shared" si="5"/>
        <v>1</v>
      </c>
    </row>
    <row r="20" spans="1:29" ht="15">
      <c r="A20" s="405"/>
      <c r="B20" s="633"/>
      <c r="C20" s="448"/>
      <c r="D20" s="449"/>
      <c r="E20" s="2607"/>
      <c r="F20" s="449"/>
      <c r="G20" s="2607"/>
      <c r="H20" s="449"/>
      <c r="I20" s="2607"/>
      <c r="J20" s="449"/>
      <c r="K20" s="813"/>
      <c r="L20" s="1143"/>
      <c r="M20" s="1134"/>
      <c r="N20" s="1134"/>
      <c r="O20" s="1142"/>
      <c r="P20" s="3193"/>
      <c r="Q20" s="1813"/>
      <c r="R20" s="775"/>
      <c r="S20" s="776"/>
      <c r="T20" s="775"/>
      <c r="U20" s="776"/>
      <c r="V20" s="775"/>
      <c r="W20" s="776"/>
      <c r="X20" s="1816"/>
      <c r="Y20" s="3193"/>
      <c r="Z20" s="1817"/>
      <c r="AA20" s="1814"/>
      <c r="AB20" s="1814"/>
      <c r="AC20" s="1814"/>
    </row>
    <row r="21" spans="1:29" ht="71.25">
      <c r="A21" s="405"/>
      <c r="B21" s="632" t="s">
        <v>2802</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193"/>
      <c r="Q21" s="1813" t="str">
        <f t="shared" si="8"/>
        <v>环境状况</v>
      </c>
      <c r="R21" s="775" t="s">
        <v>17</v>
      </c>
      <c r="S21" s="776">
        <f>F21</f>
        <v>100</v>
      </c>
      <c r="T21" s="775" t="s">
        <v>17</v>
      </c>
      <c r="U21" s="776">
        <f>H21</f>
        <v>100</v>
      </c>
      <c r="V21" s="775" t="s">
        <v>17</v>
      </c>
      <c r="W21" s="776">
        <f>J21</f>
        <v>100</v>
      </c>
      <c r="X21" s="1816"/>
      <c r="Y21" s="3193"/>
      <c r="Z21" s="1817" t="str">
        <f>Q21</f>
        <v>环境状况</v>
      </c>
      <c r="AA21" s="1814">
        <f t="shared" si="3"/>
        <v>1</v>
      </c>
      <c r="AB21" s="1814">
        <f t="shared" si="4"/>
        <v>1</v>
      </c>
      <c r="AC21" s="1814">
        <f t="shared" si="5"/>
        <v>1</v>
      </c>
    </row>
    <row r="22" spans="1:29" ht="15">
      <c r="A22" s="405"/>
      <c r="B22" s="633"/>
      <c r="C22" s="448"/>
      <c r="D22" s="449"/>
      <c r="E22" s="2613"/>
      <c r="F22" s="449"/>
      <c r="G22" s="2613"/>
      <c r="H22" s="449"/>
      <c r="I22" s="448"/>
      <c r="J22" s="449"/>
      <c r="K22" s="673"/>
      <c r="L22" s="1143"/>
      <c r="M22" s="1134"/>
      <c r="N22" s="1134"/>
      <c r="O22" s="1142"/>
      <c r="P22" s="3193"/>
      <c r="Q22" s="1813"/>
      <c r="R22" s="775"/>
      <c r="S22" s="776"/>
      <c r="T22" s="775"/>
      <c r="U22" s="776"/>
      <c r="V22" s="775"/>
      <c r="W22" s="776"/>
      <c r="X22" s="1816"/>
      <c r="Y22" s="3193"/>
      <c r="Z22" s="1817"/>
      <c r="AA22" s="1814">
        <v>1</v>
      </c>
      <c r="AB22" s="1814">
        <v>1</v>
      </c>
      <c r="AC22" s="1814">
        <v>1</v>
      </c>
    </row>
    <row r="23" spans="1:29" s="117" customFormat="1" ht="42.75">
      <c r="A23" s="650"/>
      <c r="B23" s="634" t="s">
        <v>2657</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193"/>
      <c r="Q23" s="1798" t="str">
        <f t="shared" si="8"/>
        <v>公共配套设施</v>
      </c>
      <c r="R23" s="771" t="s">
        <v>17</v>
      </c>
      <c r="S23" s="772">
        <f>F23</f>
        <v>100</v>
      </c>
      <c r="T23" s="771" t="s">
        <v>17</v>
      </c>
      <c r="U23" s="772">
        <f>H23</f>
        <v>100</v>
      </c>
      <c r="V23" s="771" t="s">
        <v>17</v>
      </c>
      <c r="W23" s="772">
        <f>J23</f>
        <v>100</v>
      </c>
      <c r="X23" s="773"/>
      <c r="Y23" s="3193"/>
      <c r="Z23" s="55" t="str">
        <f>Q23</f>
        <v>公共配套设施</v>
      </c>
      <c r="AA23" s="1814">
        <f>D23/F23</f>
        <v>1</v>
      </c>
      <c r="AB23" s="1814">
        <f>D23/H23</f>
        <v>1</v>
      </c>
      <c r="AC23" s="1814">
        <f>D23/J23</f>
        <v>1</v>
      </c>
    </row>
    <row r="24" spans="1:29" s="117" customFormat="1" ht="15">
      <c r="A24" s="650"/>
      <c r="B24" s="633"/>
      <c r="C24" s="2701"/>
      <c r="D24" s="449"/>
      <c r="E24" s="2613"/>
      <c r="F24" s="449"/>
      <c r="G24" s="2613"/>
      <c r="H24" s="449"/>
      <c r="I24" s="448"/>
      <c r="J24" s="449"/>
      <c r="K24" s="673"/>
      <c r="L24" s="1135"/>
      <c r="M24" s="1136"/>
      <c r="N24" s="1136"/>
      <c r="O24" s="1137"/>
      <c r="P24" s="3193"/>
      <c r="Q24" s="1798"/>
      <c r="R24" s="771"/>
      <c r="S24" s="772"/>
      <c r="T24" s="771"/>
      <c r="U24" s="772"/>
      <c r="V24" s="771"/>
      <c r="W24" s="772"/>
      <c r="X24" s="773"/>
      <c r="Y24" s="3193"/>
      <c r="Z24" s="55"/>
      <c r="AA24" s="774">
        <v>1</v>
      </c>
      <c r="AB24" s="774">
        <v>1</v>
      </c>
      <c r="AC24" s="774">
        <v>1</v>
      </c>
    </row>
    <row r="25" spans="1:29" s="117" customFormat="1" ht="28.5">
      <c r="A25" s="650"/>
      <c r="B25" s="634" t="s">
        <v>2658</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193"/>
      <c r="Q25" s="1798" t="str">
        <f t="shared" ref="Q25" si="9">B25</f>
        <v>基础设施水平</v>
      </c>
      <c r="R25" s="771" t="s">
        <v>17</v>
      </c>
      <c r="S25" s="772">
        <f>F25</f>
        <v>100</v>
      </c>
      <c r="T25" s="771" t="s">
        <v>17</v>
      </c>
      <c r="U25" s="772">
        <f>H25</f>
        <v>100</v>
      </c>
      <c r="V25" s="771" t="s">
        <v>17</v>
      </c>
      <c r="W25" s="772">
        <f>J25</f>
        <v>100</v>
      </c>
      <c r="X25" s="773"/>
      <c r="Y25" s="3193"/>
      <c r="Z25" s="55" t="str">
        <f>Q25</f>
        <v>基础设施水平</v>
      </c>
      <c r="AA25" s="1814">
        <f>D25/F25</f>
        <v>1</v>
      </c>
      <c r="AB25" s="1814">
        <f>D25/H25</f>
        <v>1</v>
      </c>
      <c r="AC25" s="1814">
        <f>D25/J25</f>
        <v>1</v>
      </c>
    </row>
    <row r="26" spans="1:29" s="117" customFormat="1" ht="15">
      <c r="A26" s="650"/>
      <c r="B26" s="633"/>
      <c r="C26" s="2701"/>
      <c r="D26" s="449"/>
      <c r="E26" s="2702"/>
      <c r="F26" s="449"/>
      <c r="G26" s="2702"/>
      <c r="H26" s="449"/>
      <c r="I26" s="2702"/>
      <c r="J26" s="449"/>
      <c r="K26" s="673"/>
      <c r="L26" s="1135"/>
      <c r="M26" s="1136"/>
      <c r="N26" s="1136"/>
      <c r="O26" s="1137"/>
      <c r="P26" s="3193"/>
      <c r="Q26" s="1798"/>
      <c r="R26" s="771"/>
      <c r="S26" s="772"/>
      <c r="T26" s="771"/>
      <c r="U26" s="772"/>
      <c r="V26" s="771"/>
      <c r="W26" s="772"/>
      <c r="X26" s="773"/>
      <c r="Y26" s="3193"/>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193"/>
      <c r="Q27" s="1813" t="str">
        <f t="shared" si="8"/>
        <v>临街状况</v>
      </c>
      <c r="R27" s="775" t="s">
        <v>17</v>
      </c>
      <c r="S27" s="776">
        <f t="shared" ref="S27:S40" si="10">F27</f>
        <v>100</v>
      </c>
      <c r="T27" s="775" t="s">
        <v>17</v>
      </c>
      <c r="U27" s="776">
        <f t="shared" ref="U27:U40" si="11">H27</f>
        <v>100</v>
      </c>
      <c r="V27" s="775" t="s">
        <v>17</v>
      </c>
      <c r="W27" s="776">
        <f t="shared" ref="W27:W40" si="12">J27</f>
        <v>100</v>
      </c>
      <c r="X27" s="1816"/>
      <c r="Y27" s="3193"/>
      <c r="Z27" s="1817" t="str">
        <f t="shared" ref="Z27:Z40" si="13">Q27</f>
        <v>临街状况</v>
      </c>
      <c r="AA27" s="1814">
        <f t="shared" si="3"/>
        <v>1</v>
      </c>
      <c r="AB27" s="1814">
        <f t="shared" si="4"/>
        <v>1</v>
      </c>
      <c r="AC27" s="1814">
        <f t="shared" si="5"/>
        <v>1</v>
      </c>
    </row>
    <row r="28" spans="1:29" ht="27">
      <c r="A28" s="429"/>
      <c r="B28" s="634" t="s">
        <v>2694</v>
      </c>
      <c r="C28" s="271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193"/>
      <c r="Q28" s="1813" t="str">
        <f t="shared" si="8"/>
        <v>毗邻道路的类型与等级</v>
      </c>
      <c r="R28" s="775" t="s">
        <v>17</v>
      </c>
      <c r="S28" s="776">
        <f t="shared" si="10"/>
        <v>100</v>
      </c>
      <c r="T28" s="775" t="s">
        <v>17</v>
      </c>
      <c r="U28" s="776">
        <f t="shared" si="11"/>
        <v>100</v>
      </c>
      <c r="V28" s="775" t="s">
        <v>17</v>
      </c>
      <c r="W28" s="776">
        <f t="shared" si="12"/>
        <v>100</v>
      </c>
      <c r="X28" s="1816"/>
      <c r="Y28" s="3193"/>
      <c r="Z28" s="1817" t="str">
        <f t="shared" si="13"/>
        <v>毗邻道路的类型与等级</v>
      </c>
      <c r="AA28" s="1814">
        <f t="shared" si="3"/>
        <v>1</v>
      </c>
      <c r="AB28" s="1814">
        <f t="shared" si="4"/>
        <v>1</v>
      </c>
      <c r="AC28" s="1814">
        <f t="shared" si="5"/>
        <v>1</v>
      </c>
    </row>
    <row r="29" spans="1:29" ht="15">
      <c r="A29" s="429"/>
      <c r="B29" s="633"/>
      <c r="C29" s="448"/>
      <c r="D29" s="449"/>
      <c r="E29" s="2613"/>
      <c r="F29" s="449"/>
      <c r="G29" s="2613"/>
      <c r="H29" s="449"/>
      <c r="I29" s="2613"/>
      <c r="J29" s="449"/>
      <c r="K29" s="614"/>
      <c r="L29" s="1143"/>
      <c r="M29" s="1134"/>
      <c r="N29" s="1134"/>
      <c r="O29" s="1142"/>
      <c r="P29" s="3193"/>
      <c r="Q29" s="1813"/>
      <c r="R29" s="775"/>
      <c r="S29" s="776"/>
      <c r="T29" s="775"/>
      <c r="U29" s="776"/>
      <c r="V29" s="775"/>
      <c r="W29" s="776"/>
      <c r="X29" s="1816"/>
      <c r="Y29" s="3193"/>
      <c r="Z29" s="1817"/>
      <c r="AA29" s="1814">
        <v>1</v>
      </c>
      <c r="AB29" s="1814">
        <v>1</v>
      </c>
      <c r="AC29" s="1814">
        <v>1</v>
      </c>
    </row>
    <row r="30" spans="1:29" ht="15">
      <c r="A30" s="429"/>
      <c r="B30" s="655" t="s">
        <v>2753</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193"/>
      <c r="Q30" s="1813" t="str">
        <f t="shared" si="8"/>
        <v>土地级别</v>
      </c>
      <c r="R30" s="775" t="s">
        <v>17</v>
      </c>
      <c r="S30" s="776">
        <f t="shared" si="10"/>
        <v>100</v>
      </c>
      <c r="T30" s="775" t="s">
        <v>17</v>
      </c>
      <c r="U30" s="776">
        <f t="shared" si="11"/>
        <v>100</v>
      </c>
      <c r="V30" s="775" t="s">
        <v>17</v>
      </c>
      <c r="W30" s="776">
        <f t="shared" si="12"/>
        <v>100</v>
      </c>
      <c r="X30" s="1816"/>
      <c r="Y30" s="3193"/>
      <c r="Z30" s="1817" t="str">
        <f t="shared" si="13"/>
        <v>土地级别</v>
      </c>
      <c r="AA30" s="1814">
        <f t="shared" si="3"/>
        <v>1</v>
      </c>
      <c r="AB30" s="1814">
        <f t="shared" si="4"/>
        <v>1</v>
      </c>
      <c r="AC30" s="1814">
        <f t="shared" si="5"/>
        <v>1</v>
      </c>
    </row>
    <row r="31" spans="1:29" ht="15">
      <c r="A31" s="405"/>
      <c r="B31" s="267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193"/>
      <c r="Q31" s="1813">
        <f t="shared" si="8"/>
        <v>111</v>
      </c>
      <c r="R31" s="775" t="s">
        <v>17</v>
      </c>
      <c r="S31" s="776">
        <f t="shared" si="10"/>
        <v>100</v>
      </c>
      <c r="T31" s="775" t="s">
        <v>17</v>
      </c>
      <c r="U31" s="776">
        <f t="shared" si="11"/>
        <v>100</v>
      </c>
      <c r="V31" s="775" t="s">
        <v>17</v>
      </c>
      <c r="W31" s="776">
        <f t="shared" si="12"/>
        <v>100</v>
      </c>
      <c r="X31" s="1816"/>
      <c r="Y31" s="3193"/>
      <c r="Z31" s="1817">
        <f t="shared" si="13"/>
        <v>111</v>
      </c>
      <c r="AA31" s="1814">
        <f t="shared" si="3"/>
        <v>1</v>
      </c>
      <c r="AB31" s="1814">
        <f t="shared" si="4"/>
        <v>1</v>
      </c>
      <c r="AC31" s="1814">
        <f t="shared" si="5"/>
        <v>1</v>
      </c>
    </row>
    <row r="32" spans="1:29" ht="15">
      <c r="A32" s="676"/>
      <c r="B32" s="271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48" t="s">
        <v>2568</v>
      </c>
      <c r="Q32" s="1813">
        <f t="shared" si="8"/>
        <v>111</v>
      </c>
      <c r="R32" s="775" t="s">
        <v>17</v>
      </c>
      <c r="S32" s="776">
        <f t="shared" si="10"/>
        <v>100</v>
      </c>
      <c r="T32" s="775" t="s">
        <v>17</v>
      </c>
      <c r="U32" s="776">
        <f t="shared" si="11"/>
        <v>100</v>
      </c>
      <c r="V32" s="775" t="s">
        <v>17</v>
      </c>
      <c r="W32" s="776">
        <f t="shared" si="12"/>
        <v>100</v>
      </c>
      <c r="X32" s="1816"/>
      <c r="Y32" s="3197" t="s">
        <v>2568</v>
      </c>
      <c r="Z32" s="1817">
        <f t="shared" si="13"/>
        <v>111</v>
      </c>
      <c r="AA32" s="1814">
        <f t="shared" si="3"/>
        <v>1</v>
      </c>
      <c r="AB32" s="1814">
        <f t="shared" si="4"/>
        <v>1</v>
      </c>
      <c r="AC32" s="1814">
        <f t="shared" si="5"/>
        <v>1</v>
      </c>
    </row>
    <row r="33" spans="1:29" s="472" customFormat="1" ht="15.75" thickBot="1">
      <c r="A33" s="677"/>
      <c r="B33" s="271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197"/>
      <c r="Q33" s="1813">
        <f t="shared" si="8"/>
        <v>111</v>
      </c>
      <c r="R33" s="778" t="s">
        <v>17</v>
      </c>
      <c r="S33" s="779">
        <f t="shared" si="10"/>
        <v>100</v>
      </c>
      <c r="T33" s="778" t="s">
        <v>17</v>
      </c>
      <c r="U33" s="779">
        <f t="shared" si="11"/>
        <v>100</v>
      </c>
      <c r="V33" s="778" t="s">
        <v>17</v>
      </c>
      <c r="W33" s="779">
        <f t="shared" si="12"/>
        <v>100</v>
      </c>
      <c r="X33" s="780"/>
      <c r="Y33" s="3197"/>
      <c r="Z33" s="781">
        <f t="shared" si="13"/>
        <v>111</v>
      </c>
      <c r="AA33" s="1814">
        <f t="shared" si="3"/>
        <v>1</v>
      </c>
      <c r="AB33" s="1814">
        <f t="shared" si="4"/>
        <v>1</v>
      </c>
      <c r="AC33" s="1814">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197"/>
      <c r="Q34" s="1813" t="str">
        <f>B34</f>
        <v>宗地面积</v>
      </c>
      <c r="R34" s="775" t="s">
        <v>17</v>
      </c>
      <c r="S34" s="776" t="e">
        <f t="shared" si="10"/>
        <v>#N/A</v>
      </c>
      <c r="T34" s="775" t="s">
        <v>17</v>
      </c>
      <c r="U34" s="776" t="e">
        <f t="shared" si="11"/>
        <v>#N/A</v>
      </c>
      <c r="V34" s="775" t="s">
        <v>17</v>
      </c>
      <c r="W34" s="776" t="e">
        <f t="shared" si="12"/>
        <v>#N/A</v>
      </c>
      <c r="X34" s="1816"/>
      <c r="Y34" s="3197"/>
      <c r="Z34" s="1817" t="str">
        <f t="shared" si="13"/>
        <v>宗地面积</v>
      </c>
      <c r="AA34" s="1814" t="e">
        <f t="shared" si="3"/>
        <v>#N/A</v>
      </c>
      <c r="AB34" s="1814" t="e">
        <f t="shared" si="4"/>
        <v>#N/A</v>
      </c>
      <c r="AC34" s="1814" t="e">
        <f t="shared" si="5"/>
        <v>#N/A</v>
      </c>
    </row>
    <row r="35" spans="1:29" ht="15">
      <c r="A35" s="473"/>
      <c r="B35" s="423" t="s">
        <v>2755</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3"/>
      <c r="M35" s="1134"/>
      <c r="N35" s="1134"/>
      <c r="O35" s="1142"/>
      <c r="P35" s="3197"/>
      <c r="Q35" s="1813" t="str">
        <f t="shared" ref="Q35:Q40" si="14">B35</f>
        <v>宗地形状</v>
      </c>
      <c r="R35" s="775" t="s">
        <v>17</v>
      </c>
      <c r="S35" s="776">
        <f t="shared" si="10"/>
        <v>100</v>
      </c>
      <c r="T35" s="775" t="s">
        <v>17</v>
      </c>
      <c r="U35" s="776">
        <f t="shared" si="11"/>
        <v>100</v>
      </c>
      <c r="V35" s="775" t="s">
        <v>17</v>
      </c>
      <c r="W35" s="776">
        <f t="shared" si="12"/>
        <v>100</v>
      </c>
      <c r="X35" s="1816"/>
      <c r="Y35" s="3197"/>
      <c r="Z35" s="1817" t="str">
        <f t="shared" si="13"/>
        <v>宗地形状</v>
      </c>
      <c r="AA35" s="1814">
        <f t="shared" si="3"/>
        <v>1</v>
      </c>
      <c r="AB35" s="1814">
        <f t="shared" si="4"/>
        <v>1</v>
      </c>
      <c r="AC35" s="1814">
        <f t="shared" si="5"/>
        <v>1</v>
      </c>
    </row>
    <row r="36" spans="1:29" s="117" customFormat="1" ht="15">
      <c r="A36" s="474"/>
      <c r="B36" s="423" t="s">
        <v>2757</v>
      </c>
      <c r="C36" s="2703"/>
      <c r="D36" s="136">
        <v>100</v>
      </c>
      <c r="E36" s="2703"/>
      <c r="F36" s="436">
        <f>SUMIF(112:112,E36,113:113)-SUMIF(112:112,C36,113:113)+100</f>
        <v>100</v>
      </c>
      <c r="G36" s="2703"/>
      <c r="H36" s="436">
        <f>SUMIF(112:112,G36,113:113)-SUMIF(112:112,C36,113:113)+100</f>
        <v>100</v>
      </c>
      <c r="I36" s="2703"/>
      <c r="J36" s="436">
        <f>SUMIF(112:112,I36,113:113)-SUMIF(112:112,C36,113:113)+100</f>
        <v>100</v>
      </c>
      <c r="K36" s="613"/>
      <c r="L36" s="1135"/>
      <c r="M36" s="1136"/>
      <c r="N36" s="1136"/>
      <c r="O36" s="1137"/>
      <c r="P36" s="3197"/>
      <c r="Q36" s="1813" t="str">
        <f t="shared" si="14"/>
        <v>宗地开发程度</v>
      </c>
      <c r="R36" s="771" t="s">
        <v>17</v>
      </c>
      <c r="S36" s="772">
        <f t="shared" si="10"/>
        <v>100</v>
      </c>
      <c r="T36" s="771" t="s">
        <v>17</v>
      </c>
      <c r="U36" s="772">
        <f t="shared" si="11"/>
        <v>100</v>
      </c>
      <c r="V36" s="771" t="s">
        <v>17</v>
      </c>
      <c r="W36" s="772">
        <f t="shared" si="12"/>
        <v>100</v>
      </c>
      <c r="X36" s="773"/>
      <c r="Y36" s="3197"/>
      <c r="Z36" s="55" t="str">
        <f t="shared" si="13"/>
        <v>宗地开发程度</v>
      </c>
      <c r="AA36" s="774">
        <f t="shared" si="3"/>
        <v>1</v>
      </c>
      <c r="AB36" s="774">
        <f t="shared" si="4"/>
        <v>1</v>
      </c>
      <c r="AC36" s="774">
        <f t="shared" si="5"/>
        <v>1</v>
      </c>
    </row>
    <row r="37" spans="1:29" ht="15">
      <c r="A37" s="473"/>
      <c r="B37" s="423" t="s">
        <v>2758</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3"/>
      <c r="M37" s="1134"/>
      <c r="N37" s="1134"/>
      <c r="O37" s="1142"/>
      <c r="P37" s="3197" t="s">
        <v>2568</v>
      </c>
      <c r="Q37" s="1813" t="str">
        <f t="shared" si="14"/>
        <v>工程地质条件</v>
      </c>
      <c r="R37" s="775" t="s">
        <v>17</v>
      </c>
      <c r="S37" s="776">
        <f t="shared" si="10"/>
        <v>100</v>
      </c>
      <c r="T37" s="775" t="s">
        <v>17</v>
      </c>
      <c r="U37" s="776">
        <f t="shared" si="11"/>
        <v>100</v>
      </c>
      <c r="V37" s="775" t="s">
        <v>17</v>
      </c>
      <c r="W37" s="776">
        <f t="shared" si="12"/>
        <v>100</v>
      </c>
      <c r="X37" s="1816"/>
      <c r="Y37" s="3197" t="s">
        <v>2568</v>
      </c>
      <c r="Z37" s="1817" t="str">
        <f t="shared" si="13"/>
        <v>工程地质条件</v>
      </c>
      <c r="AA37" s="1814">
        <f t="shared" si="3"/>
        <v>1</v>
      </c>
      <c r="AB37" s="1814">
        <f t="shared" si="4"/>
        <v>1</v>
      </c>
      <c r="AC37" s="1814">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197"/>
      <c r="Q38" s="1813">
        <f t="shared" si="14"/>
        <v>111</v>
      </c>
      <c r="R38" s="775" t="s">
        <v>17</v>
      </c>
      <c r="S38" s="776">
        <f t="shared" si="10"/>
        <v>100</v>
      </c>
      <c r="T38" s="775" t="s">
        <v>17</v>
      </c>
      <c r="U38" s="776">
        <f t="shared" si="11"/>
        <v>100</v>
      </c>
      <c r="V38" s="775" t="s">
        <v>17</v>
      </c>
      <c r="W38" s="776">
        <f t="shared" si="12"/>
        <v>100</v>
      </c>
      <c r="X38" s="1816"/>
      <c r="Y38" s="3197"/>
      <c r="Z38" s="1817">
        <f t="shared" si="13"/>
        <v>111</v>
      </c>
      <c r="AA38" s="1814">
        <f t="shared" si="3"/>
        <v>1</v>
      </c>
      <c r="AB38" s="1814">
        <f t="shared" si="4"/>
        <v>1</v>
      </c>
      <c r="AC38" s="1814">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197"/>
      <c r="Q39" s="1813">
        <f t="shared" si="14"/>
        <v>111</v>
      </c>
      <c r="R39" s="775" t="s">
        <v>17</v>
      </c>
      <c r="S39" s="776">
        <f t="shared" si="10"/>
        <v>100</v>
      </c>
      <c r="T39" s="775" t="s">
        <v>17</v>
      </c>
      <c r="U39" s="776">
        <f t="shared" si="11"/>
        <v>100</v>
      </c>
      <c r="V39" s="775" t="s">
        <v>17</v>
      </c>
      <c r="W39" s="776">
        <f t="shared" si="12"/>
        <v>100</v>
      </c>
      <c r="X39" s="1816"/>
      <c r="Y39" s="3197"/>
      <c r="Z39" s="1817">
        <f t="shared" si="13"/>
        <v>111</v>
      </c>
      <c r="AA39" s="1814">
        <f t="shared" si="3"/>
        <v>1</v>
      </c>
      <c r="AB39" s="1814">
        <f t="shared" si="4"/>
        <v>1</v>
      </c>
      <c r="AC39" s="1814">
        <f t="shared" si="5"/>
        <v>1</v>
      </c>
    </row>
    <row r="40" spans="1:29" s="472" customFormat="1" ht="15.75" thickBot="1">
      <c r="A40" s="469"/>
      <c r="B40" s="1390">
        <v>111</v>
      </c>
      <c r="C40" s="2704"/>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197"/>
      <c r="Q40" s="1813">
        <f t="shared" si="14"/>
        <v>111</v>
      </c>
      <c r="R40" s="778" t="s">
        <v>17</v>
      </c>
      <c r="S40" s="779">
        <f t="shared" si="10"/>
        <v>100</v>
      </c>
      <c r="T40" s="778" t="s">
        <v>17</v>
      </c>
      <c r="U40" s="779">
        <f t="shared" si="11"/>
        <v>100</v>
      </c>
      <c r="V40" s="778" t="s">
        <v>17</v>
      </c>
      <c r="W40" s="779">
        <f t="shared" si="12"/>
        <v>100</v>
      </c>
      <c r="X40" s="780"/>
      <c r="Y40" s="3197"/>
      <c r="Z40" s="781">
        <f t="shared" si="13"/>
        <v>111</v>
      </c>
      <c r="AA40" s="1814">
        <f t="shared" si="3"/>
        <v>1</v>
      </c>
      <c r="AB40" s="1814">
        <f t="shared" si="4"/>
        <v>1</v>
      </c>
      <c r="AC40" s="1814">
        <f t="shared" si="5"/>
        <v>1</v>
      </c>
    </row>
    <row r="41" spans="1:29" ht="15">
      <c r="A41" s="480" t="s">
        <v>2723</v>
      </c>
      <c r="B41" s="2705" t="s">
        <v>2803</v>
      </c>
      <c r="C41" s="683" t="s">
        <v>1</v>
      </c>
      <c r="D41" s="482"/>
      <c r="E41" s="483"/>
      <c r="F41" s="484"/>
      <c r="G41" s="485"/>
      <c r="H41" s="486"/>
      <c r="I41" s="483"/>
      <c r="J41" s="486"/>
      <c r="K41" s="784"/>
      <c r="L41" s="1146"/>
      <c r="M41" s="1134"/>
      <c r="N41" s="1134"/>
      <c r="O41" s="1147"/>
      <c r="P41" s="3185" t="str">
        <f>A41</f>
        <v>成交单价</v>
      </c>
      <c r="Q41" s="3185"/>
      <c r="R41" s="3206">
        <f>E41</f>
        <v>0</v>
      </c>
      <c r="S41" s="3206"/>
      <c r="T41" s="3206">
        <f>G41</f>
        <v>0</v>
      </c>
      <c r="U41" s="3206"/>
      <c r="V41" s="3206">
        <f>I41</f>
        <v>0</v>
      </c>
      <c r="W41" s="3206"/>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6"/>
      <c r="M42" s="1134"/>
      <c r="N42" s="1134"/>
      <c r="O42" s="1147"/>
      <c r="P42" s="3185" t="str">
        <f>A42</f>
        <v>比较价值（元/平方米）</v>
      </c>
      <c r="Q42" s="3185"/>
      <c r="R42" s="3249" t="e">
        <f>ROUND(PRODUCT(R41,AA7:AA40),0)</f>
        <v>#DIV/0!</v>
      </c>
      <c r="S42" s="3249"/>
      <c r="T42" s="3249" t="e">
        <f>ROUND(PRODUCT(T41,AB7:AB40),0)</f>
        <v>#DIV/0!</v>
      </c>
      <c r="U42" s="3249"/>
      <c r="V42" s="3249" t="e">
        <f>ROUND(PRODUCT(V41,AC7:AC40),0)</f>
        <v>#DIV/0!</v>
      </c>
      <c r="W42" s="3249"/>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6"/>
      <c r="M43" s="1134"/>
      <c r="N43" s="1134"/>
      <c r="O43" s="1147"/>
      <c r="P43" s="3187" t="str">
        <f>A43</f>
        <v>估价对象XX用房的比较价值（楼面单价，元/平方米）</v>
      </c>
      <c r="Q43" s="3188"/>
      <c r="R43" s="3250" t="e">
        <f>ROUND(AVERAGE(R42:V42),0)</f>
        <v>#DIV/0!</v>
      </c>
      <c r="S43" s="3250"/>
      <c r="T43" s="3250"/>
      <c r="U43" s="3250"/>
      <c r="V43" s="3250"/>
      <c r="W43" s="3250"/>
      <c r="X43" s="760"/>
      <c r="Y43" s="760"/>
      <c r="Z43" s="760"/>
      <c r="AA43" s="760"/>
      <c r="AB43" s="760"/>
      <c r="AC43" s="760"/>
    </row>
    <row r="44" spans="1:29">
      <c r="A44" s="1147"/>
      <c r="B44" s="1147"/>
      <c r="C44" s="1147"/>
      <c r="D44" s="1147"/>
      <c r="E44" s="1147"/>
      <c r="F44" s="1147"/>
      <c r="G44" s="1150"/>
      <c r="H44" s="1147"/>
      <c r="I44" s="1147"/>
      <c r="J44" s="1147"/>
      <c r="K44" s="1109"/>
      <c r="L44" s="1110"/>
      <c r="M44" s="1134"/>
      <c r="N44" s="1134"/>
      <c r="O44" s="1147"/>
    </row>
    <row r="45" spans="1:29">
      <c r="A45" s="1147"/>
      <c r="B45" s="1147"/>
      <c r="C45" s="1147"/>
      <c r="D45" s="1147"/>
      <c r="E45" s="1147"/>
      <c r="F45" s="1147"/>
      <c r="G45" s="1147"/>
      <c r="H45" s="1147"/>
      <c r="I45" s="1147"/>
      <c r="J45" s="1147"/>
      <c r="K45" s="1109"/>
      <c r="L45" s="1110"/>
      <c r="M45" s="1134"/>
      <c r="N45" s="1134"/>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4"/>
      <c r="N46" s="1134"/>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3"/>
      <c r="D49" s="761"/>
      <c r="E49" s="761"/>
      <c r="F49" s="761"/>
      <c r="G49" s="761"/>
      <c r="H49" s="761"/>
      <c r="I49" s="761"/>
      <c r="J49" s="761"/>
      <c r="K49" s="1151"/>
      <c r="L49" s="1152"/>
      <c r="M49" s="1148"/>
      <c r="N49" s="1148"/>
      <c r="O49" s="1148"/>
    </row>
    <row r="50" spans="1:17" ht="27">
      <c r="A50" s="685" t="s">
        <v>2761</v>
      </c>
      <c r="B50" s="686" t="s">
        <v>2762</v>
      </c>
      <c r="C50" s="2706" t="s">
        <v>2763</v>
      </c>
      <c r="D50" s="2707" t="s">
        <v>2764</v>
      </c>
      <c r="E50" s="687" t="s">
        <v>2765</v>
      </c>
      <c r="F50" s="688" t="s">
        <v>2766</v>
      </c>
      <c r="G50" s="3213" t="s">
        <v>2767</v>
      </c>
      <c r="H50" s="3251"/>
      <c r="I50" s="1817" t="s">
        <v>2804</v>
      </c>
      <c r="J50" s="1817">
        <f>项目基本情况!F35</f>
        <v>0</v>
      </c>
      <c r="K50" s="2709" t="s">
        <v>2769</v>
      </c>
      <c r="L50" s="1110"/>
      <c r="M50" s="1147"/>
      <c r="N50" s="1147"/>
      <c r="O50" s="1147"/>
    </row>
    <row r="51" spans="1:17" s="693" customFormat="1">
      <c r="A51" s="689" t="s">
        <v>2770</v>
      </c>
      <c r="B51" s="690" t="e">
        <f>C43</f>
        <v>#DIV/0!</v>
      </c>
      <c r="C51" s="691">
        <v>1</v>
      </c>
      <c r="D51" s="1166">
        <v>1</v>
      </c>
      <c r="E51" s="691">
        <f>'数据-汇总表'!E8+'数据-汇总表'!E9</f>
        <v>445.61</v>
      </c>
      <c r="F51" s="692" t="e">
        <f t="shared" ref="F51:F60" si="15">ROUND(B51*E51/10000,0)</f>
        <v>#DIV/0!</v>
      </c>
      <c r="G51" s="3199"/>
      <c r="H51" s="3185"/>
      <c r="I51" s="946">
        <v>1</v>
      </c>
      <c r="J51" s="946">
        <v>1</v>
      </c>
      <c r="K51" s="1148"/>
      <c r="L51" s="945"/>
      <c r="M51" s="945"/>
      <c r="N51" s="945"/>
      <c r="O51" s="945"/>
    </row>
    <row r="52" spans="1:17" s="693" customFormat="1">
      <c r="A52" s="694" t="s">
        <v>2771</v>
      </c>
      <c r="B52" s="263" t="e">
        <f>ROUND($C$43*C52*D52,0)</f>
        <v>#DIV/0!</v>
      </c>
      <c r="C52" s="201">
        <f t="shared" ref="C52:C60" si="16">IF($C$50="北京市系数",I52,J52)</f>
        <v>0</v>
      </c>
      <c r="D52" s="1167">
        <v>0.25</v>
      </c>
      <c r="E52" s="695"/>
      <c r="F52" s="692" t="e">
        <f t="shared" si="15"/>
        <v>#DIV/0!</v>
      </c>
      <c r="G52" s="3252" t="s">
        <v>2772</v>
      </c>
      <c r="H52" s="1108">
        <f>项目基本情况!B37</f>
        <v>0</v>
      </c>
      <c r="I52" s="946">
        <f>SUMIF(修正!A45:A56,H52,修正!B45:B56)</f>
        <v>0</v>
      </c>
      <c r="J52" s="947"/>
      <c r="K52" s="1147"/>
      <c r="L52" s="945"/>
      <c r="M52" s="945"/>
      <c r="N52" s="945"/>
      <c r="O52" s="945"/>
    </row>
    <row r="53" spans="1:17" s="693" customFormat="1">
      <c r="A53" s="694" t="s">
        <v>2773</v>
      </c>
      <c r="B53" s="263" t="e">
        <f t="shared" ref="B53:B60" si="17">ROUND($C$43*C53*D53,0)</f>
        <v>#DIV/0!</v>
      </c>
      <c r="C53" s="201">
        <f t="shared" si="16"/>
        <v>0</v>
      </c>
      <c r="D53" s="1167">
        <v>0.25</v>
      </c>
      <c r="E53" s="695"/>
      <c r="F53" s="692" t="e">
        <f t="shared" si="15"/>
        <v>#DIV/0!</v>
      </c>
      <c r="G53" s="3252"/>
      <c r="H53" s="1108">
        <f>项目基本情况!B37</f>
        <v>0</v>
      </c>
      <c r="I53" s="946">
        <f>SUMIF(修正!A45:A56,H53,修正!C45:C56)</f>
        <v>0</v>
      </c>
      <c r="J53" s="947"/>
      <c r="K53" s="1148"/>
      <c r="L53" s="945"/>
      <c r="M53" s="945"/>
      <c r="N53" s="945"/>
      <c r="O53" s="945"/>
    </row>
    <row r="54" spans="1:17" s="693" customFormat="1">
      <c r="A54" s="694" t="s">
        <v>2774</v>
      </c>
      <c r="B54" s="263" t="e">
        <f t="shared" si="17"/>
        <v>#DIV/0!</v>
      </c>
      <c r="C54" s="201">
        <f t="shared" si="16"/>
        <v>0</v>
      </c>
      <c r="D54" s="1167">
        <v>0.25</v>
      </c>
      <c r="E54" s="695"/>
      <c r="F54" s="692" t="e">
        <f t="shared" si="15"/>
        <v>#DIV/0!</v>
      </c>
      <c r="G54" s="3252"/>
      <c r="H54" s="1108">
        <f>项目基本情况!B37</f>
        <v>0</v>
      </c>
      <c r="I54" s="946">
        <f>SUMIF(修正!A45:A56,H54,修正!D45:D56)</f>
        <v>0</v>
      </c>
      <c r="J54" s="947"/>
      <c r="K54" s="1147"/>
      <c r="L54" s="945"/>
      <c r="M54" s="945"/>
      <c r="N54" s="945"/>
      <c r="O54" s="945"/>
    </row>
    <row r="55" spans="1:17" s="693" customFormat="1">
      <c r="A55" s="694" t="s">
        <v>2775</v>
      </c>
      <c r="B55" s="263" t="e">
        <f t="shared" si="17"/>
        <v>#DIV/0!</v>
      </c>
      <c r="C55" s="201">
        <f t="shared" si="16"/>
        <v>0</v>
      </c>
      <c r="D55" s="1167">
        <v>0.25</v>
      </c>
      <c r="E55" s="695"/>
      <c r="F55" s="692" t="e">
        <f t="shared" si="15"/>
        <v>#DIV/0!</v>
      </c>
      <c r="G55" s="3252"/>
      <c r="H55" s="1108">
        <f>项目基本情况!B37</f>
        <v>0</v>
      </c>
      <c r="I55" s="946">
        <f>SUMIF(修正!A45:A56,H55,修正!E45:E56)</f>
        <v>0</v>
      </c>
      <c r="J55" s="947"/>
      <c r="K55" s="1148"/>
      <c r="L55" s="945"/>
      <c r="M55" s="945"/>
      <c r="N55" s="945"/>
      <c r="O55" s="945"/>
    </row>
    <row r="56" spans="1:17" s="693" customFormat="1">
      <c r="A56" s="694" t="s">
        <v>2776</v>
      </c>
      <c r="B56" s="263" t="e">
        <f t="shared" si="17"/>
        <v>#DIV/0!</v>
      </c>
      <c r="C56" s="201">
        <f t="shared" si="16"/>
        <v>0</v>
      </c>
      <c r="D56" s="1167">
        <v>0.25</v>
      </c>
      <c r="E56" s="262">
        <f>'数据-汇总表'!E11</f>
        <v>0</v>
      </c>
      <c r="F56" s="692" t="e">
        <f t="shared" si="15"/>
        <v>#DIV/0!</v>
      </c>
      <c r="G56" s="2710" t="s">
        <v>2777</v>
      </c>
      <c r="H56" s="1108">
        <f>项目基本情况!C37</f>
        <v>0</v>
      </c>
      <c r="I56" s="946">
        <f>SUMIF(修正!A45:A56,H56,修正!F45:F56)</f>
        <v>0</v>
      </c>
      <c r="J56" s="947"/>
      <c r="K56" s="1147"/>
      <c r="L56" s="945"/>
      <c r="M56" s="945"/>
      <c r="N56" s="945"/>
      <c r="O56" s="945"/>
    </row>
    <row r="57" spans="1:17" s="693" customFormat="1">
      <c r="A57" s="694" t="s">
        <v>2778</v>
      </c>
      <c r="B57" s="263" t="e">
        <f t="shared" si="17"/>
        <v>#DIV/0!</v>
      </c>
      <c r="C57" s="201">
        <f t="shared" si="16"/>
        <v>0</v>
      </c>
      <c r="D57" s="1167">
        <v>0.25</v>
      </c>
      <c r="E57" s="262">
        <f>'数据-汇总表'!E12</f>
        <v>0</v>
      </c>
      <c r="F57" s="692" t="e">
        <f t="shared" si="15"/>
        <v>#DIV/0!</v>
      </c>
      <c r="G57" s="1113" t="s">
        <v>2779</v>
      </c>
      <c r="H57" s="1108">
        <f>IF(G57="商业",项目基本情况!B37,IF(G57="办公",项目基本情况!C37,IF(G57="住宅",项目基本情况!D37,项目基本情况!E37)))</f>
        <v>0</v>
      </c>
      <c r="I57" s="946">
        <f>SUMIF(修正!A45:A56,H57,修正!G45:G56)</f>
        <v>0</v>
      </c>
      <c r="J57" s="947"/>
      <c r="K57" s="1148"/>
      <c r="L57" s="945"/>
      <c r="M57" s="945"/>
      <c r="N57" s="945"/>
      <c r="O57" s="945"/>
    </row>
    <row r="58" spans="1:17" s="693" customFormat="1">
      <c r="A58" s="694" t="s">
        <v>2780</v>
      </c>
      <c r="B58" s="263" t="e">
        <f t="shared" si="17"/>
        <v>#DIV/0!</v>
      </c>
      <c r="C58" s="201">
        <f t="shared" si="16"/>
        <v>0</v>
      </c>
      <c r="D58" s="1167">
        <v>0.25</v>
      </c>
      <c r="E58" s="262">
        <f>'数据-汇总表'!E13</f>
        <v>0</v>
      </c>
      <c r="F58" s="692" t="e">
        <f t="shared" si="15"/>
        <v>#DIV/0!</v>
      </c>
      <c r="G58" s="1113" t="s">
        <v>2781</v>
      </c>
      <c r="H58" s="1108">
        <f>IF(G58="商业",项目基本情况!B37,IF(G58="办公",项目基本情况!C37,IF(G58="住宅",项目基本情况!D37,项目基本情况!E37)))</f>
        <v>0</v>
      </c>
      <c r="I58" s="946">
        <f>SUMIF(修正!A45:A56,H58,修正!H45:H56)</f>
        <v>0</v>
      </c>
      <c r="J58" s="947"/>
      <c r="K58" s="1147"/>
      <c r="L58" s="945"/>
      <c r="M58" s="945"/>
      <c r="N58" s="945"/>
      <c r="O58" s="945"/>
    </row>
    <row r="59" spans="1:17" s="693" customFormat="1">
      <c r="A59" s="694" t="s">
        <v>2782</v>
      </c>
      <c r="B59" s="263" t="e">
        <f t="shared" si="17"/>
        <v>#DIV/0!</v>
      </c>
      <c r="C59" s="201">
        <f t="shared" si="16"/>
        <v>0</v>
      </c>
      <c r="D59" s="1167">
        <v>0.25</v>
      </c>
      <c r="E59" s="262">
        <f>'数据-汇总表'!E14</f>
        <v>0</v>
      </c>
      <c r="F59" s="692" t="e">
        <f t="shared" si="15"/>
        <v>#DIV/0!</v>
      </c>
      <c r="G59" s="2710" t="s">
        <v>2772</v>
      </c>
      <c r="H59" s="1108">
        <f>项目基本情况!B37</f>
        <v>0</v>
      </c>
      <c r="I59" s="946">
        <f>SUMIF(修正!A45:A56,H59,修正!H45:H56)</f>
        <v>0</v>
      </c>
      <c r="J59" s="947"/>
      <c r="K59" s="1148"/>
      <c r="L59" s="945"/>
      <c r="M59" s="945"/>
      <c r="N59" s="945"/>
      <c r="O59" s="945"/>
    </row>
    <row r="60" spans="1:17" s="693" customFormat="1" ht="15" thickBot="1">
      <c r="A60" s="694" t="s">
        <v>2783</v>
      </c>
      <c r="B60" s="263" t="e">
        <f t="shared" si="17"/>
        <v>#DIV/0!</v>
      </c>
      <c r="C60" s="201">
        <f t="shared" si="16"/>
        <v>0</v>
      </c>
      <c r="D60" s="1167">
        <v>0.25</v>
      </c>
      <c r="E60" s="262">
        <f>'数据-汇总表'!E15</f>
        <v>0</v>
      </c>
      <c r="F60" s="692" t="e">
        <f t="shared" si="15"/>
        <v>#DIV/0!</v>
      </c>
      <c r="G60" s="2711" t="s">
        <v>2777</v>
      </c>
      <c r="H60" s="1118">
        <f>项目基本情况!C37</f>
        <v>0</v>
      </c>
      <c r="I60" s="946">
        <f>SUMIF(修正!A45:A56,H60,修正!H45:H56)</f>
        <v>0</v>
      </c>
      <c r="J60" s="947"/>
      <c r="K60" s="1147"/>
      <c r="L60" s="945"/>
      <c r="M60" s="945"/>
      <c r="N60" s="945"/>
      <c r="O60" s="945"/>
    </row>
    <row r="61" spans="1:17" s="693" customFormat="1" ht="15" thickBot="1">
      <c r="A61" s="696" t="s">
        <v>2784</v>
      </c>
      <c r="B61" s="697" t="s">
        <v>28</v>
      </c>
      <c r="C61" s="697" t="s">
        <v>29</v>
      </c>
      <c r="D61" s="697" t="s">
        <v>1029</v>
      </c>
      <c r="E61" s="697">
        <f>IF(B41="楼面地价",SUM(E51:E60),'数据-汇总表'!D3)</f>
        <v>0</v>
      </c>
      <c r="F61" s="698" t="e">
        <f>IF(B41="楼面地价",SUM(F51:F60),ROUND(C43*E61/10000,0))</f>
        <v>#DIV/0!</v>
      </c>
      <c r="G61" s="1161"/>
      <c r="H61" s="1161"/>
      <c r="I61" s="1161"/>
      <c r="J61" s="1161"/>
      <c r="K61" s="1109"/>
      <c r="L61" s="945"/>
      <c r="M61" s="945"/>
      <c r="N61" s="945"/>
      <c r="O61" s="945"/>
    </row>
    <row r="62" spans="1:17">
      <c r="A62" s="1147"/>
      <c r="B62" s="1149"/>
      <c r="C62" s="1153"/>
      <c r="D62" s="1147"/>
      <c r="E62" s="1147"/>
      <c r="F62" s="1147"/>
      <c r="G62" s="1147"/>
      <c r="H62" s="1147"/>
      <c r="I62" s="1147"/>
      <c r="J62" s="1147"/>
      <c r="K62" s="1109"/>
      <c r="L62" s="1110"/>
      <c r="M62" s="1147"/>
      <c r="N62" s="1147"/>
      <c r="O62" s="1147"/>
    </row>
    <row r="63" spans="1:17">
      <c r="A63" s="1147"/>
      <c r="B63" s="1149"/>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2677</v>
      </c>
      <c r="B64" s="760"/>
      <c r="C64" s="765"/>
      <c r="D64" s="765"/>
      <c r="E64" s="765"/>
      <c r="F64" s="766"/>
      <c r="G64" s="766"/>
      <c r="H64" s="765"/>
      <c r="I64" s="765"/>
      <c r="J64" s="765"/>
      <c r="K64" s="767"/>
      <c r="L64" s="768"/>
      <c r="M64" s="765"/>
      <c r="N64" s="765"/>
      <c r="O64" s="1162"/>
      <c r="P64" s="504"/>
      <c r="Q64" s="505"/>
    </row>
    <row r="65" spans="1:17" s="509" customFormat="1" ht="15">
      <c r="A65" s="2712"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17" t="s">
        <v>2805</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2591</v>
      </c>
      <c r="B70" s="529" t="s">
        <v>2557</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2560</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2694</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2753</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2795</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2797</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2798</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1" t="s">
        <v>2807</v>
      </c>
      <c r="B1" s="242"/>
      <c r="C1" s="246" t="s">
        <v>2808</v>
      </c>
      <c r="D1" s="389">
        <f>SUM(D29:D30,D33:D39)</f>
        <v>0</v>
      </c>
      <c r="E1" s="2718"/>
      <c r="F1" s="2718"/>
      <c r="G1" s="2718"/>
      <c r="H1" s="2718"/>
      <c r="I1" s="2718"/>
      <c r="J1" s="2718"/>
      <c r="K1" s="1373"/>
      <c r="L1" s="2719" t="s">
        <v>2809</v>
      </c>
      <c r="M1" s="1084">
        <f>SUMPRODUCT((区片价!B5:B9=I2)*(区片价!C3:F3=E2)*(区片价!C5:F9))</f>
        <v>0</v>
      </c>
      <c r="N1" s="1087">
        <f>SUMPRODUCT((因素修正幅度!B5:B9=I2)*(因素修正幅度!C3:F3=E2)*(因素修正幅度!C5:F9))</f>
        <v>0</v>
      </c>
      <c r="O1" s="2720"/>
      <c r="P1" s="2720"/>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6" t="s">
        <v>2815</v>
      </c>
      <c r="B2" s="249" t="e">
        <f>C26</f>
        <v>#DIV/0!</v>
      </c>
      <c r="C2" s="2722" t="s">
        <v>2816</v>
      </c>
      <c r="D2" s="2723" t="s">
        <v>2817</v>
      </c>
      <c r="E2" s="2724"/>
      <c r="F2" s="2723" t="s">
        <v>2818</v>
      </c>
      <c r="G2" s="2725">
        <f>IF(E2="商业",项目基本情况!B37,IF(E2="办公",项目基本情况!C37,IF(E2="住宅",项目基本情况!D37,项目基本情况!E37)))</f>
        <v>0</v>
      </c>
      <c r="H2" s="2723" t="s">
        <v>2819</v>
      </c>
      <c r="I2" s="2725">
        <f>IF(E2="商业",项目基本情况!B38,IF(E2="办公",项目基本情况!C38,IF(E2="住宅",项目基本情况!D38,项目基本情况!E38)))</f>
        <v>0</v>
      </c>
      <c r="J2" s="2726"/>
      <c r="K2" s="1373"/>
      <c r="L2" s="2727" t="s">
        <v>2820</v>
      </c>
      <c r="M2" s="1085">
        <f>SUMPRODUCT((区片价!B10:B28=I2)*(区片价!C3:F3=E2)*(区片价!C10:F28))</f>
        <v>0</v>
      </c>
      <c r="N2" s="1087">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2821</v>
      </c>
      <c r="B3" s="249" t="e">
        <f>ROUND(B2*10000/D1,0)</f>
        <v>#DIV/0!</v>
      </c>
      <c r="C3" s="2722" t="s">
        <v>2822</v>
      </c>
      <c r="D3" s="2723" t="s">
        <v>2823</v>
      </c>
      <c r="E3" s="2728"/>
      <c r="F3" s="2729" t="s">
        <v>2824</v>
      </c>
      <c r="G3" s="917" t="e">
        <f>IF(F3="宗地容积率",'数据-汇总表'!I4,IF(F3="估价对象容积率",'数据-汇总表'!I6,'数据-汇总表'!I7))</f>
        <v>#DIV/0!</v>
      </c>
      <c r="H3" s="199" t="s">
        <v>2825</v>
      </c>
      <c r="I3" s="948"/>
      <c r="J3" s="2726" t="s">
        <v>2826</v>
      </c>
      <c r="K3" s="1373"/>
      <c r="L3" s="2727" t="s">
        <v>2827</v>
      </c>
      <c r="M3" s="1085">
        <f>SUMPRODUCT((区片价!B29:B48=I2)*(区片价!C3:F3=E2)*(区片价!C29:F48))</f>
        <v>0</v>
      </c>
      <c r="N3" s="1087">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71"/>
      <c r="B4" s="3272"/>
      <c r="C4" s="3272"/>
      <c r="D4" s="3273"/>
      <c r="E4" s="3273"/>
      <c r="F4" s="3273"/>
      <c r="G4" s="3273"/>
      <c r="H4" s="3273"/>
      <c r="I4" s="3273"/>
      <c r="J4" s="3274"/>
      <c r="K4" s="1373"/>
      <c r="L4" s="2727" t="s">
        <v>2828</v>
      </c>
      <c r="M4" s="1085">
        <f>SUMPRODUCT((区片价!B49:B75=I2)*(区片价!C3:F3=E2)*(区片价!C49:F75))</f>
        <v>0</v>
      </c>
      <c r="N4" s="1087">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9" customFormat="1" ht="15.75" thickBot="1">
      <c r="A5" s="2730" t="s">
        <v>807</v>
      </c>
      <c r="B5" s="2731" t="s">
        <v>2829</v>
      </c>
      <c r="C5" s="918" t="e">
        <f>ROUND(IF(E2="商业",IF(F16="增加",C6*C7+C16,C6*C7-C16),IF(E2="住宅",IF(F16="增加",C6*C12+C16,C6*C12-C16),IF(F16="增加",C6+C16,C6-C16))),0)</f>
        <v>#DIV/0!</v>
      </c>
      <c r="D5" s="1790">
        <f>ROUND(IF(E2="商业",IF(F16="增加",C6+C16,C6-C16)),0)</f>
        <v>0</v>
      </c>
      <c r="E5" s="2732"/>
      <c r="F5" s="2732"/>
      <c r="G5" s="2733"/>
      <c r="H5" s="2733"/>
      <c r="I5" s="2733"/>
      <c r="J5" s="2734"/>
      <c r="K5" s="2735"/>
      <c r="L5" s="2727" t="s">
        <v>2830</v>
      </c>
      <c r="M5" s="1085">
        <f>SUMPRODUCT((区片价!B76:B109=I2)*(区片价!C3:F3=E2)*(区片价!C76:F109))</f>
        <v>0</v>
      </c>
      <c r="N5" s="1087">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6"/>
      <c r="AD5" s="2737"/>
      <c r="AE5" s="2737"/>
      <c r="AF5" s="2737"/>
      <c r="AG5" s="2737"/>
      <c r="AH5" s="2737"/>
      <c r="AI5" s="2737"/>
      <c r="AJ5" s="2738"/>
    </row>
    <row r="6" spans="1:36" ht="15.75" thickBot="1">
      <c r="A6" s="2740" t="s">
        <v>2831</v>
      </c>
      <c r="B6" s="2741" t="s">
        <v>2832</v>
      </c>
      <c r="C6" s="919">
        <f>SUMIF(L1:L12,G2,M1:M12)</f>
        <v>0</v>
      </c>
      <c r="D6" s="2742" t="s">
        <v>2833</v>
      </c>
      <c r="E6" s="2743"/>
      <c r="F6" s="2743"/>
      <c r="G6" s="2744"/>
      <c r="H6" s="2744"/>
      <c r="I6" s="2744"/>
      <c r="J6" s="2745"/>
      <c r="K6" s="1845"/>
      <c r="L6" s="2727" t="s">
        <v>2834</v>
      </c>
      <c r="M6" s="1085">
        <f>SUMPRODUCT((区片价!B110:B157=I2)*(区片价!C3:F3=E2)*(区片价!C110:F157))</f>
        <v>0</v>
      </c>
      <c r="N6" s="1087">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6"/>
      <c r="AD6" s="2737"/>
      <c r="AE6" s="2737"/>
      <c r="AF6" s="2737"/>
      <c r="AG6" s="2737"/>
      <c r="AH6" s="2737"/>
      <c r="AI6" s="2737"/>
      <c r="AJ6" s="2738"/>
    </row>
    <row r="7" spans="1:36" ht="24">
      <c r="A7" s="3257" t="str">
        <f>IF(E2="商业",IF(C8="不临58条商业街","",2),"")</f>
        <v/>
      </c>
      <c r="B7" s="2746" t="s">
        <v>2835</v>
      </c>
      <c r="C7" s="920" t="e">
        <f>IF(C8="不临58条商业街",1,ROUND(1+(1.6*E8+1.2*E9+0.8*E10+0.4*E11)*C9,4))</f>
        <v>#DIV/0!</v>
      </c>
      <c r="D7" s="2747" t="s">
        <v>2836</v>
      </c>
      <c r="E7" s="949"/>
      <c r="F7" s="2748"/>
      <c r="G7" s="2749"/>
      <c r="H7" s="2749"/>
      <c r="I7" s="2749"/>
      <c r="J7" s="2750"/>
      <c r="K7" s="1845"/>
      <c r="L7" s="2727" t="s">
        <v>2837</v>
      </c>
      <c r="M7" s="1085">
        <f>SUMPRODUCT((区片价!B158:B205=I2)*(区片价!C3:F3=E2)*(区片价!C158:F205))</f>
        <v>0</v>
      </c>
      <c r="N7" s="1087">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19" t="s">
        <v>2838</v>
      </c>
      <c r="X7" s="1608">
        <f>G2</f>
        <v>0</v>
      </c>
      <c r="Y7" s="1608" t="s">
        <v>2839</v>
      </c>
      <c r="Z7" s="1609" t="e">
        <f>G3</f>
        <v>#DIV/0!</v>
      </c>
      <c r="AA7" s="1610"/>
      <c r="AB7" s="1610"/>
      <c r="AC7" s="1611"/>
      <c r="AD7" s="1612"/>
      <c r="AE7" s="1612"/>
      <c r="AF7" s="1612"/>
      <c r="AG7" s="1612"/>
      <c r="AH7" s="1612"/>
      <c r="AI7" s="1612"/>
      <c r="AJ7" s="1613"/>
    </row>
    <row r="8" spans="1:36" ht="15">
      <c r="A8" s="3258"/>
      <c r="B8" s="199" t="s">
        <v>2840</v>
      </c>
      <c r="C8" s="2751"/>
      <c r="D8" s="921" t="s">
        <v>139</v>
      </c>
      <c r="E8" s="922" t="e">
        <f>ROUND(C11/E7,4)</f>
        <v>#DIV/0!</v>
      </c>
      <c r="F8" s="2752" t="s">
        <v>2841</v>
      </c>
      <c r="G8" s="2753"/>
      <c r="H8" s="2753"/>
      <c r="I8" s="2753"/>
      <c r="J8" s="2754"/>
      <c r="K8" s="1373"/>
      <c r="L8" s="2727" t="s">
        <v>2842</v>
      </c>
      <c r="M8" s="1085">
        <f>SUMPRODUCT((区片价!B206:B244=I2)*(区片价!C3:F3=E2)*(区片价!C206:F244))</f>
        <v>0</v>
      </c>
      <c r="N8" s="1087">
        <f>SUMPRODUCT((因素修正幅度!B206:B244=I2)*(因素修正幅度!C3:F3=E2)*(因素修正幅度!C206:F244))</f>
        <v>0</v>
      </c>
      <c r="O8" s="1373"/>
      <c r="P8" s="1373"/>
      <c r="Q8" s="1373"/>
      <c r="R8" s="1606">
        <v>7</v>
      </c>
      <c r="S8" s="1607"/>
      <c r="T8" s="1606" t="e">
        <f t="shared" si="0"/>
        <v>#DIV/0!</v>
      </c>
      <c r="U8" s="1607"/>
      <c r="V8" s="1606" t="e">
        <f t="shared" si="1"/>
        <v>#DIV/0!</v>
      </c>
      <c r="W8" s="3268" t="s">
        <v>2843</v>
      </c>
      <c r="X8" s="3269"/>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58"/>
      <c r="B9" s="199" t="s">
        <v>2856</v>
      </c>
      <c r="C9" s="923">
        <f>SUMIF(修正!C59:C119,C8,修正!E59:E119)</f>
        <v>0</v>
      </c>
      <c r="D9" s="201" t="s">
        <v>140</v>
      </c>
      <c r="E9" s="201" t="e">
        <f>ROUND(C11/E7,4)</f>
        <v>#DIV/0!</v>
      </c>
      <c r="F9" s="2752" t="s">
        <v>2857</v>
      </c>
      <c r="G9" s="2753"/>
      <c r="H9" s="2753"/>
      <c r="I9" s="2753"/>
      <c r="J9" s="2754"/>
      <c r="K9" s="1373"/>
      <c r="L9" s="2727" t="s">
        <v>2858</v>
      </c>
      <c r="M9" s="1085">
        <f>SUMPRODUCT((区片价!B245:B289=I2)*(区片价!C3:F3=E2)*(区片价!C245:F289))</f>
        <v>0</v>
      </c>
      <c r="N9" s="1087">
        <f>SUMPRODUCT((因素修正幅度!B245:B289=I2)*(因素修正幅度!C3:F3=E2)*(因素修正幅度!C245:F289))</f>
        <v>0</v>
      </c>
      <c r="O9" s="1373"/>
      <c r="P9" s="1373"/>
      <c r="Q9" s="1373"/>
      <c r="R9" s="1606">
        <v>8</v>
      </c>
      <c r="S9" s="1607"/>
      <c r="T9" s="1606" t="e">
        <f t="shared" si="0"/>
        <v>#DIV/0!</v>
      </c>
      <c r="U9" s="1607"/>
      <c r="V9" s="1606" t="e">
        <f t="shared" si="1"/>
        <v>#DIV/0!</v>
      </c>
      <c r="W9" s="3270" t="s">
        <v>2859</v>
      </c>
      <c r="X9" s="1615" t="s">
        <v>2860</v>
      </c>
      <c r="Y9" s="1775"/>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58"/>
      <c r="B10" s="199" t="s">
        <v>2861</v>
      </c>
      <c r="C10" s="201">
        <f>SUMIF(修正!C59:C119,C8,修正!F59:F119)</f>
        <v>0</v>
      </c>
      <c r="D10" s="201" t="s">
        <v>141</v>
      </c>
      <c r="E10" s="201" t="e">
        <f>ROUND(C11/E7,4)</f>
        <v>#DIV/0!</v>
      </c>
      <c r="F10" s="2752" t="s">
        <v>2862</v>
      </c>
      <c r="G10" s="2753"/>
      <c r="H10" s="2753"/>
      <c r="I10" s="2753"/>
      <c r="J10" s="2754"/>
      <c r="K10" s="1373"/>
      <c r="L10" s="2727" t="s">
        <v>2863</v>
      </c>
      <c r="M10" s="1085">
        <f>SUMPRODUCT((区片价!B290:B316=I2)*(区片价!C3:F3=E2)*(区片价!C290:F316))</f>
        <v>0</v>
      </c>
      <c r="N10" s="1087">
        <f>SUMPRODUCT((因素修正幅度!B290:B316=I2)*(因素修正幅度!C3:F3=E2)*(因素修正幅度!C290:F316))</f>
        <v>0</v>
      </c>
      <c r="O10" s="1373"/>
      <c r="P10" s="1373"/>
      <c r="Q10" s="1373"/>
      <c r="R10" s="1606">
        <v>9</v>
      </c>
      <c r="S10" s="1607"/>
      <c r="T10" s="1606" t="e">
        <f t="shared" si="0"/>
        <v>#DIV/0!</v>
      </c>
      <c r="U10" s="1607"/>
      <c r="V10" s="1606" t="e">
        <f t="shared" si="1"/>
        <v>#DIV/0!</v>
      </c>
      <c r="W10" s="3270"/>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58"/>
      <c r="B11" s="2755" t="s">
        <v>2864</v>
      </c>
      <c r="C11" s="924">
        <f>C10/4</f>
        <v>0</v>
      </c>
      <c r="D11" s="924" t="s">
        <v>142</v>
      </c>
      <c r="E11" s="924" t="e">
        <f>ROUND(C11/E7,4)</f>
        <v>#DIV/0!</v>
      </c>
      <c r="F11" s="2756" t="s">
        <v>2865</v>
      </c>
      <c r="G11" s="2757"/>
      <c r="H11" s="2757"/>
      <c r="I11" s="2757"/>
      <c r="J11" s="2758"/>
      <c r="K11" s="1373"/>
      <c r="L11" s="2727" t="s">
        <v>2866</v>
      </c>
      <c r="M11" s="1085">
        <f>SUMPRODUCT((区片价!B317:B337=I2)*(区片价!C3:F3=E2)*(区片价!C317:F337))</f>
        <v>0</v>
      </c>
      <c r="N11" s="1087">
        <f>SUMPRODUCT((因素修正幅度!B317:B337=I2)*(因素修正幅度!C3:F3=E2)*(因素修正幅度!C317:F337))</f>
        <v>0</v>
      </c>
      <c r="O11" s="1373"/>
      <c r="P11" s="1373"/>
      <c r="Q11" s="1373"/>
      <c r="R11" s="1606">
        <v>10</v>
      </c>
      <c r="S11" s="1607"/>
      <c r="T11" s="1606" t="e">
        <f t="shared" si="0"/>
        <v>#DIV/0!</v>
      </c>
      <c r="U11" s="1607"/>
      <c r="V11" s="1606" t="e">
        <f t="shared" si="1"/>
        <v>#DIV/0!</v>
      </c>
      <c r="W11" s="3270" t="s">
        <v>2867</v>
      </c>
      <c r="X11" s="1618" t="s">
        <v>2868</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57" t="s">
        <v>2869</v>
      </c>
      <c r="B12" s="2759" t="s">
        <v>2870</v>
      </c>
      <c r="C12" s="920">
        <f>ROUND(C15*D15*E15*F15*G15*H15*I15*J15,4)</f>
        <v>1</v>
      </c>
      <c r="D12" s="2760" t="s">
        <v>2871</v>
      </c>
      <c r="E12" s="2761"/>
      <c r="F12" s="2761"/>
      <c r="G12" s="2762"/>
      <c r="H12" s="2762"/>
      <c r="I12" s="2762"/>
      <c r="J12" s="2763"/>
      <c r="K12" s="1373"/>
      <c r="L12" s="2764" t="s">
        <v>2872</v>
      </c>
      <c r="M12" s="1086">
        <f>SUMPRODUCT((区片价!B338:B344=I2)*(区片价!C3:F3=E2)*(区片价!C338:F344))</f>
        <v>0</v>
      </c>
      <c r="N12" s="1087">
        <f>SUMPRODUCT((因素修正幅度!B338:B344=I2)*(因素修正幅度!C3:F3=E2)*(因素修正幅度!C338:F344))</f>
        <v>0</v>
      </c>
      <c r="O12" s="1373"/>
      <c r="P12" s="1373"/>
      <c r="Q12" s="1373"/>
      <c r="R12" s="1606">
        <v>11</v>
      </c>
      <c r="S12" s="1607"/>
      <c r="T12" s="1606" t="e">
        <f t="shared" si="0"/>
        <v>#DIV/0!</v>
      </c>
      <c r="U12" s="1607"/>
      <c r="V12" s="1606" t="e">
        <f t="shared" si="1"/>
        <v>#DIV/0!</v>
      </c>
      <c r="W12" s="3270"/>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75"/>
      <c r="B13" s="2765" t="s">
        <v>2874</v>
      </c>
      <c r="C13" s="2766" t="s">
        <v>2875</v>
      </c>
      <c r="D13" s="1811" t="s">
        <v>2876</v>
      </c>
      <c r="E13" s="1811" t="s">
        <v>2877</v>
      </c>
      <c r="F13" s="30" t="s">
        <v>2878</v>
      </c>
      <c r="G13" s="2767" t="s">
        <v>2879</v>
      </c>
      <c r="H13" s="2767" t="s">
        <v>2879</v>
      </c>
      <c r="I13" s="2767" t="s">
        <v>2879</v>
      </c>
      <c r="J13" s="2768" t="s">
        <v>2879</v>
      </c>
      <c r="K13" s="1373"/>
      <c r="L13" s="1373"/>
      <c r="M13" s="1373"/>
      <c r="N13" s="1373"/>
      <c r="O13" s="1373"/>
      <c r="P13" s="1373"/>
      <c r="Q13" s="1373"/>
      <c r="R13" s="1606">
        <v>12</v>
      </c>
      <c r="S13" s="1607"/>
      <c r="T13" s="1606" t="e">
        <f t="shared" si="0"/>
        <v>#DIV/0!</v>
      </c>
      <c r="U13" s="1607"/>
      <c r="V13" s="1606" t="e">
        <f t="shared" si="1"/>
        <v>#DIV/0!</v>
      </c>
      <c r="W13" s="3270"/>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75"/>
      <c r="B14" s="2769"/>
      <c r="C14" s="2770"/>
      <c r="D14" s="2771"/>
      <c r="E14" s="2771"/>
      <c r="F14" s="2772"/>
      <c r="G14" s="2773" t="s">
        <v>2880</v>
      </c>
      <c r="H14" s="2774"/>
      <c r="I14" s="2775"/>
      <c r="J14" s="2776"/>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76"/>
      <c r="B15" s="2777" t="s">
        <v>2881</v>
      </c>
      <c r="C15" s="230">
        <f>IF(C14="有",1.1,1)</f>
        <v>1</v>
      </c>
      <c r="D15" s="230">
        <f>IF(D14="有",1.1,1)</f>
        <v>1</v>
      </c>
      <c r="E15" s="230">
        <f>IF(E14="有",1.1,1)</f>
        <v>1</v>
      </c>
      <c r="F15" s="230">
        <f>IF(F14="500米范围内",1.2,IF(F14="500-1000米",1.1,1))</f>
        <v>1</v>
      </c>
      <c r="G15" s="950">
        <v>1</v>
      </c>
      <c r="H15" s="950">
        <v>1</v>
      </c>
      <c r="I15" s="950">
        <v>1</v>
      </c>
      <c r="J15" s="951">
        <v>1</v>
      </c>
      <c r="K15" s="1373"/>
      <c r="L15" s="2778" t="s">
        <v>2817</v>
      </c>
      <c r="M15" s="921" t="s">
        <v>2882</v>
      </c>
      <c r="N15" s="921" t="s">
        <v>2883</v>
      </c>
      <c r="O15" s="921" t="s">
        <v>2884</v>
      </c>
      <c r="P15" s="2779" t="s">
        <v>2885</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57" t="s">
        <v>2886</v>
      </c>
      <c r="B16" s="2746" t="s">
        <v>2887</v>
      </c>
      <c r="C16" s="1804" t="e">
        <f>ROUND(SUM(G17:J17)/C17,0)</f>
        <v>#DIV/0!</v>
      </c>
      <c r="D16" s="2780" t="s">
        <v>2888</v>
      </c>
      <c r="E16" s="2781"/>
      <c r="F16" s="2782"/>
      <c r="G16" s="2783"/>
      <c r="H16" s="2783"/>
      <c r="I16" s="2783"/>
      <c r="J16" s="2784"/>
      <c r="K16" s="1373"/>
      <c r="L16" s="2785" t="s">
        <v>2889</v>
      </c>
      <c r="M16" s="923">
        <v>0.25</v>
      </c>
      <c r="N16" s="923">
        <v>0.2</v>
      </c>
      <c r="O16" s="923">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58"/>
      <c r="B17" s="2786" t="s">
        <v>2890</v>
      </c>
      <c r="C17" s="925">
        <f>SUMPRODUCT((修正!A2:A5=E2)*(修正!B1:M1=G2)*(修正!B2:M5))</f>
        <v>0</v>
      </c>
      <c r="D17" s="2787" t="s">
        <v>2891</v>
      </c>
      <c r="E17" s="924" t="str">
        <f>IF(OR(G2="八级",G2="九级",G2="十级",G2="十一级",G2="十二级"),"五通一平","七通一平")</f>
        <v>七通一平</v>
      </c>
      <c r="F17" s="925" t="s">
        <v>2892</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3"/>
      <c r="L17" s="2788" t="s">
        <v>2893</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2894</v>
      </c>
      <c r="C18" s="927">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2895</v>
      </c>
      <c r="C19" s="928" t="e">
        <f>ROUND(IF(H19="按公示增长率计算",SUMPRODUCT((地价!A3:A20=YEAR(G19)&amp;"-"&amp;ROUNDUP(MONTH(G19)/3,0))*(地价!X2:AB2=E2)*(地价!X3:AB20)),IF(H19="地价指数",M20/M19,(1+I19)^O19)),4)</f>
        <v>#DIV/0!</v>
      </c>
      <c r="D19" s="2798" t="s">
        <v>2896</v>
      </c>
      <c r="E19" s="929">
        <v>41640</v>
      </c>
      <c r="F19" s="2798" t="s">
        <v>2897</v>
      </c>
      <c r="G19" s="930">
        <f>'数据-取费表'!B2</f>
        <v>43017</v>
      </c>
      <c r="H19" s="2799" t="s">
        <v>2898</v>
      </c>
      <c r="I19" s="931" t="str">
        <f>IF(H19="季度增幅（自定义）",SUMIF(N21:N24,E2,O21:O24),"")</f>
        <v/>
      </c>
      <c r="J19" s="2796"/>
      <c r="K19" s="1380"/>
      <c r="L19" s="2800" t="s">
        <v>2899</v>
      </c>
      <c r="M19" s="1738">
        <f>ROUND(SUMIF(地价!B2:F2,E2,地价!B20:F20),0)</f>
        <v>0</v>
      </c>
      <c r="N19" s="2801" t="s">
        <v>2900</v>
      </c>
      <c r="O19" s="932">
        <f>ROUNDDOWN(DATEDIF(E19,G19,"M")/3,0)</f>
        <v>15</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2901</v>
      </c>
      <c r="C20" s="933" t="e">
        <f>ROUND(POWER(1+G20,J20-I20)*(POWER(1+G20,I20)-1)/(POWER(1+G20,J20)-1),4)</f>
        <v>#DIV/0!</v>
      </c>
      <c r="D20" s="2807" t="s">
        <v>2902</v>
      </c>
      <c r="E20" s="1772">
        <f ca="1">存贷款利率!D4/100</f>
        <v>4.3499999999999997E-2</v>
      </c>
      <c r="F20" s="2807" t="s">
        <v>2893</v>
      </c>
      <c r="G20" s="938">
        <f>SUMIF(M15:P15,E2,M17:P17)</f>
        <v>0</v>
      </c>
      <c r="H20" s="2807" t="s">
        <v>2903</v>
      </c>
      <c r="I20" s="939" t="e">
        <f>SUMIF('数据-取费表'!C6:C15,E2,'数据-取费表'!F6:F15)/COUNTIF('数据-取费表'!C6:C15,E2)</f>
        <v>#DIV/0!</v>
      </c>
      <c r="J20" s="940">
        <f>IF(E2="住宅",70,IF(E2="商业",40,50))</f>
        <v>50</v>
      </c>
      <c r="K20" s="1380"/>
      <c r="L20" s="2808" t="s">
        <v>2904</v>
      </c>
      <c r="M20" s="1739">
        <f>ROUND(SUMPRODUCT((地价!A5:A20=YEAR(G19)&amp;"-"&amp;ROUNDUP(MONTH(G19)/3,0))*(地价!B2:F2=E2)*(地价!B5:F20)),0)</f>
        <v>0</v>
      </c>
      <c r="N20" s="2809" t="s">
        <v>2905</v>
      </c>
      <c r="O20" s="2810" t="s">
        <v>2906</v>
      </c>
      <c r="P20" s="2811" t="s">
        <v>2907</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2908</v>
      </c>
      <c r="C21" s="941" t="e">
        <f>IF(B21="容积率修正",IF(G3&lt;=10,D22,J22),C23)</f>
        <v>#DIV/0!</v>
      </c>
      <c r="D21" s="2814"/>
      <c r="E21" s="2814"/>
      <c r="F21" s="2814"/>
      <c r="G21" s="2814"/>
      <c r="H21" s="2814"/>
      <c r="I21" s="2814"/>
      <c r="J21" s="2815"/>
      <c r="K21" s="1380"/>
      <c r="N21" s="2816" t="s">
        <v>2909</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2910</v>
      </c>
      <c r="B22" s="2817" t="s">
        <v>2911</v>
      </c>
      <c r="C22" s="1813" t="s">
        <v>2912</v>
      </c>
      <c r="D22" s="1813" t="e">
        <f>IF(E22=G22,F22,IF(G3&lt;=10,ROUND(F22+(H22-F22)*(G3-E22)/(G22-E22),4),"——"))</f>
        <v>#DIV/0!</v>
      </c>
      <c r="E22" s="917"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2" t="e">
        <f>IF(G3&gt;10,D113,"——")</f>
        <v>#DIV/0!</v>
      </c>
      <c r="K22" s="1380"/>
      <c r="N22" s="2816" t="s">
        <v>2913</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5" t="s">
        <v>2914</v>
      </c>
      <c r="B23" s="2818" t="s">
        <v>2915</v>
      </c>
      <c r="C23" s="1017" t="e">
        <f>ROUND(IF(G3&gt;1,IF(I3&lt;7,SUMPRODUCT((B93:B98=I3)*(C92:N92=G2)*(C93:N98)),SUMIF(C92:N92,G2,C100:N100)),IF(I3&lt;7,SUMPRODUCT((B102:B107=I3)*(C92:N92=G2)*(C102:N107)),SUMIF(C92:N92,G2,C109:N109))),4)</f>
        <v>#DIV/0!</v>
      </c>
      <c r="D23" s="2774"/>
      <c r="E23" s="2774"/>
      <c r="F23" s="2819"/>
      <c r="G23" s="2820"/>
      <c r="H23" s="2821"/>
      <c r="I23" s="2822"/>
      <c r="J23" s="2823"/>
      <c r="K23" s="1373"/>
      <c r="N23" s="2816" t="s">
        <v>2916</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2917</v>
      </c>
      <c r="C24" s="928">
        <f>SUMIF(A45:A88,E2,B45:B88)</f>
        <v>0</v>
      </c>
      <c r="D24" s="2794"/>
      <c r="E24" s="2824"/>
      <c r="F24" s="2824"/>
      <c r="G24" s="2824"/>
      <c r="H24" s="2824"/>
      <c r="I24" s="2824"/>
      <c r="J24" s="2825"/>
      <c r="K24" s="1380"/>
      <c r="N24" s="2826" t="s">
        <v>2918</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2919</v>
      </c>
      <c r="C25" s="934"/>
      <c r="D25" s="2749"/>
      <c r="E25" s="2749"/>
      <c r="F25" s="2828"/>
      <c r="G25" s="2749"/>
      <c r="H25" s="2749"/>
      <c r="I25" s="2749"/>
      <c r="J25" s="2750"/>
      <c r="K25" s="1373"/>
      <c r="N25" s="2829" t="s">
        <v>2920</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0"/>
      <c r="B26" s="2817" t="s">
        <v>2921</v>
      </c>
      <c r="C26" s="207"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2922</v>
      </c>
      <c r="C27" s="935"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2923</v>
      </c>
      <c r="C28" s="2841" t="s">
        <v>2924</v>
      </c>
      <c r="D28" s="2841" t="s">
        <v>2925</v>
      </c>
      <c r="E28" s="2842" t="s">
        <v>2926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2927</v>
      </c>
      <c r="C29" s="207" t="e">
        <f>ROUND(C5*C18*C19*C20*C21*C24,0)</f>
        <v>#DIV/0!</v>
      </c>
      <c r="D29" s="2846"/>
      <c r="E29" s="946" t="e">
        <f>ROUND(C29*D29/10000,0)</f>
        <v>#DIV/0!</v>
      </c>
      <c r="F29" s="2847" t="s">
        <v>2928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2929</v>
      </c>
      <c r="C30" s="230" t="e">
        <f>ROUND(IF(E2="工业",C29*M39,C29*M38),0)</f>
        <v>#DIV/0!</v>
      </c>
      <c r="D30" s="2852"/>
      <c r="E30" s="946" t="e">
        <f>ROUND(C30*D30/10000,0)</f>
        <v>#DIV/0!</v>
      </c>
      <c r="F30" s="2853" t="s">
        <v>2930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2931</v>
      </c>
      <c r="C31" s="2858" t="s">
        <v>2932</v>
      </c>
      <c r="D31" s="2762"/>
      <c r="E31" s="2858"/>
      <c r="F31" s="2858"/>
      <c r="G31" s="2760" t="s">
        <v>2933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2" t="s">
        <v>2924</v>
      </c>
      <c r="D32" s="499" t="s">
        <v>2925</v>
      </c>
      <c r="E32" s="499" t="s">
        <v>2926</v>
      </c>
      <c r="F32" s="389" t="s">
        <v>2934</v>
      </c>
      <c r="G32" s="2861" t="s">
        <v>2924</v>
      </c>
      <c r="H32" s="2861" t="s">
        <v>2925</v>
      </c>
      <c r="I32" s="2861" t="s">
        <v>2926</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65" t="s">
        <v>2935</v>
      </c>
      <c r="B33" s="2862" t="s">
        <v>2936</v>
      </c>
      <c r="C33" s="207" t="e">
        <f>ROUND(D5*C19*C20*C24*F33,0)</f>
        <v>#DIV/0!</v>
      </c>
      <c r="D33" s="2846"/>
      <c r="E33" s="201" t="e">
        <f>ROUND(C33*D33/10000,0)</f>
        <v>#DIV/0!</v>
      </c>
      <c r="F33" s="201">
        <f>SUMIF(修正!A45:A56,G2,修正!B45:B56)</f>
        <v>0</v>
      </c>
      <c r="G33" s="201" t="e">
        <f t="shared" ref="G33:G39" si="6">ROUND(IF(E2="工业",C33*$M$39,C33*$M$38),0)</f>
        <v>#DIV/0!</v>
      </c>
      <c r="H33" s="201">
        <f>D33</f>
        <v>0</v>
      </c>
      <c r="I33" s="201"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6"/>
      <c r="B34" s="2766" t="s">
        <v>2937</v>
      </c>
      <c r="C34" s="207" t="e">
        <f>ROUND(D5*C19*C20*C24*F34,0)</f>
        <v>#DIV/0!</v>
      </c>
      <c r="D34" s="284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6"/>
      <c r="B35" s="2766" t="s">
        <v>2938</v>
      </c>
      <c r="C35" s="207" t="e">
        <f>ROUND(D5*C19*C20*C24*F35,0)</f>
        <v>#DIV/0!</v>
      </c>
      <c r="D35" s="2846"/>
      <c r="E35" s="201" t="e">
        <f t="shared" si="7"/>
        <v>#DIV/0!</v>
      </c>
      <c r="F35" s="201">
        <f>SUMIF(修正!A45:A56,G2,修正!D45:D56)</f>
        <v>0</v>
      </c>
      <c r="G35" s="201" t="e">
        <f t="shared" si="6"/>
        <v>#DIV/0!</v>
      </c>
      <c r="H35" s="201">
        <f t="shared" si="8"/>
        <v>0</v>
      </c>
      <c r="I35" s="201"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67"/>
      <c r="B36" s="2766" t="s">
        <v>2939</v>
      </c>
      <c r="C36" s="207" t="e">
        <f>ROUND(D5*C19*C20*C24*F36,0)</f>
        <v>#DIV/0!</v>
      </c>
      <c r="D36" s="2846"/>
      <c r="E36" s="201" t="e">
        <f t="shared" si="7"/>
        <v>#DIV/0!</v>
      </c>
      <c r="F36" s="201">
        <f>SUMIF(修正!A45:A56,G2,修正!E45:E56)</f>
        <v>0</v>
      </c>
      <c r="G36" s="201" t="e">
        <f t="shared" si="6"/>
        <v>#DIV/0!</v>
      </c>
      <c r="H36" s="201">
        <f t="shared" si="8"/>
        <v>0</v>
      </c>
      <c r="I36" s="201"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2940</v>
      </c>
      <c r="C37" s="201" t="e">
        <f>ROUND(C5*C19*C20*C24*F37,0)</f>
        <v>#DIV/0!</v>
      </c>
      <c r="D37" s="2846"/>
      <c r="E37" s="201" t="e">
        <f t="shared" si="7"/>
        <v>#DIV/0!</v>
      </c>
      <c r="F37" s="207">
        <f>SUMIF(修正!A45:A56,G2,修正!F45:F56)</f>
        <v>0</v>
      </c>
      <c r="G37" s="201" t="e">
        <f t="shared" si="6"/>
        <v>#DIV/0!</v>
      </c>
      <c r="H37" s="201">
        <f t="shared" si="8"/>
        <v>0</v>
      </c>
      <c r="I37" s="201" t="e">
        <f t="shared" si="9"/>
        <v>#DIV/0!</v>
      </c>
      <c r="J37" s="2863"/>
      <c r="K37" s="1373"/>
      <c r="L37" s="2865" t="s">
        <v>2941</v>
      </c>
      <c r="M37" s="2866"/>
      <c r="N37" s="1373"/>
      <c r="O37" s="1373"/>
      <c r="P37" s="1373"/>
      <c r="Q37" s="1373"/>
      <c r="R37" s="1373"/>
      <c r="S37" s="1373"/>
      <c r="T37" s="1373"/>
      <c r="U37" s="1373"/>
      <c r="V37" s="1373"/>
      <c r="W37" s="1373"/>
      <c r="X37" s="1373"/>
      <c r="Y37" s="1373"/>
      <c r="Z37" s="1374"/>
    </row>
    <row r="38" spans="1:37">
      <c r="A38" s="2864"/>
      <c r="B38" s="2766" t="s">
        <v>2942</v>
      </c>
      <c r="C38" s="201" t="e">
        <f>ROUND(C5*C19*C20*C24*F38,0)</f>
        <v>#DIV/0!</v>
      </c>
      <c r="D38" s="2846"/>
      <c r="E38" s="201" t="e">
        <f t="shared" si="7"/>
        <v>#DIV/0!</v>
      </c>
      <c r="F38" s="207">
        <f>SUMIF(修正!A45:A56,G2,修正!G45:G56)</f>
        <v>0</v>
      </c>
      <c r="G38" s="201" t="e">
        <f t="shared" si="6"/>
        <v>#DIV/0!</v>
      </c>
      <c r="H38" s="201">
        <f t="shared" si="8"/>
        <v>0</v>
      </c>
      <c r="I38" s="201" t="e">
        <f t="shared" si="9"/>
        <v>#DIV/0!</v>
      </c>
      <c r="J38" s="2863"/>
      <c r="K38" s="1373"/>
      <c r="L38" s="1890" t="s">
        <v>2943</v>
      </c>
      <c r="M38" s="2867">
        <v>0.25</v>
      </c>
      <c r="N38" s="1373"/>
      <c r="O38" s="1373"/>
      <c r="P38" s="1373"/>
      <c r="Q38" s="1373"/>
      <c r="R38" s="1373"/>
      <c r="S38" s="1373"/>
      <c r="T38" s="1373"/>
      <c r="U38" s="1373"/>
      <c r="V38" s="1373"/>
      <c r="W38" s="1373"/>
      <c r="X38" s="1373"/>
      <c r="Y38" s="1373"/>
      <c r="Z38" s="1374"/>
    </row>
    <row r="39" spans="1:37" ht="13.5" thickBot="1">
      <c r="A39" s="2850"/>
      <c r="B39" s="2868" t="s">
        <v>2944</v>
      </c>
      <c r="C39" s="230" t="e">
        <f>ROUND(C5*C19*C20*C24*F39,0)</f>
        <v>#DIV/0!</v>
      </c>
      <c r="D39" s="2852"/>
      <c r="E39" s="230" t="e">
        <f t="shared" si="7"/>
        <v>#DIV/0!</v>
      </c>
      <c r="F39" s="936">
        <f>SUMIF(修正!A45:A56,G2,修正!H45:H56)</f>
        <v>0</v>
      </c>
      <c r="G39" s="230" t="e">
        <f t="shared" si="6"/>
        <v>#DIV/0!</v>
      </c>
      <c r="H39" s="230">
        <f t="shared" si="8"/>
        <v>0</v>
      </c>
      <c r="I39" s="230" t="e">
        <f t="shared" si="9"/>
        <v>#DIV/0!</v>
      </c>
      <c r="J39" s="2869"/>
      <c r="K39" s="1373"/>
      <c r="L39" s="2870" t="s">
        <v>2885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2946</v>
      </c>
      <c r="B46" s="2876">
        <f>1+E48</f>
        <v>1</v>
      </c>
      <c r="C46" s="2877"/>
      <c r="D46" s="815"/>
      <c r="E46" s="816"/>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2947</v>
      </c>
      <c r="B47" s="1812" t="s">
        <v>2948</v>
      </c>
      <c r="C47" s="1812" t="s">
        <v>2949</v>
      </c>
      <c r="D47" s="1812" t="s">
        <v>2950</v>
      </c>
      <c r="E47" s="820" t="s">
        <v>2951</v>
      </c>
      <c r="F47" s="2880" t="s">
        <v>2952</v>
      </c>
      <c r="G47" s="1812" t="s">
        <v>754</v>
      </c>
      <c r="H47" s="2881" t="s">
        <v>2953</v>
      </c>
      <c r="I47" s="1812" t="s">
        <v>2954</v>
      </c>
      <c r="J47" s="604" t="s">
        <v>2600</v>
      </c>
      <c r="K47" s="604" t="s">
        <v>2601</v>
      </c>
      <c r="L47" s="604" t="s">
        <v>2602</v>
      </c>
      <c r="M47" s="604" t="s">
        <v>2603</v>
      </c>
      <c r="N47" s="604" t="s">
        <v>2604</v>
      </c>
      <c r="AA47" s="1374"/>
      <c r="AB47" s="1374"/>
      <c r="AC47" s="1374"/>
      <c r="AD47" s="1374"/>
      <c r="AE47" s="1374"/>
      <c r="AF47" s="1374"/>
      <c r="AG47" s="1374"/>
      <c r="AH47" s="1374"/>
      <c r="AI47" s="1374"/>
      <c r="AJ47" s="1374"/>
      <c r="AK47" s="1374"/>
    </row>
    <row r="48" spans="1:37" s="1373" customFormat="1" ht="38.25">
      <c r="A48" s="2879" t="s">
        <v>2955</v>
      </c>
      <c r="B48" s="2882" t="str">
        <f>估价对象房地状况!C4</f>
        <v>估价对象位于XX商圈，周边商业氛围成熟，人流量大，商业繁华度好</v>
      </c>
      <c r="C48" s="2771"/>
      <c r="D48" s="1289">
        <f t="shared" ref="D48:D56" si="10">SUMIF($J$47:$N$47,C48,J48:N48)</f>
        <v>0</v>
      </c>
      <c r="E48" s="822">
        <f>ROUND(SUM(D48:D56),4)</f>
        <v>0</v>
      </c>
      <c r="F48" s="2504" t="str">
        <f>IF(E2="商业",SUMIF(L1:L12,G2,N1:N12),"——")</f>
        <v>——</v>
      </c>
      <c r="G48" s="1287"/>
      <c r="H48" s="1291" t="str">
        <f t="shared" ref="H48:H56" si="11">IFERROR(ROUNDDOWN($F$48*I48/2,4),"——")</f>
        <v>——</v>
      </c>
      <c r="I48" s="821">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2956</v>
      </c>
      <c r="B49" s="2883" t="str">
        <f>估价对象房地状况!C18</f>
        <v>估价对象周边道路状况、公共交通通达情况、停车便捷程度，综合评价交通便捷度较好</v>
      </c>
      <c r="C49" s="2771"/>
      <c r="D49" s="1289">
        <f t="shared" si="10"/>
        <v>0</v>
      </c>
      <c r="E49" s="823"/>
      <c r="F49" s="2504"/>
      <c r="G49" s="1287"/>
      <c r="H49" s="1291" t="str">
        <f t="shared" si="11"/>
        <v>——</v>
      </c>
      <c r="I49" s="821">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2957</v>
      </c>
      <c r="B50" s="2883">
        <f>估价对象房地状况!C19</f>
        <v>0</v>
      </c>
      <c r="C50" s="2771"/>
      <c r="D50" s="1289">
        <f t="shared" si="10"/>
        <v>0</v>
      </c>
      <c r="E50" s="823"/>
      <c r="F50" s="2504"/>
      <c r="G50" s="1287"/>
      <c r="H50" s="1291" t="str">
        <f t="shared" si="11"/>
        <v>——</v>
      </c>
      <c r="I50" s="821">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2958</v>
      </c>
      <c r="B51" s="2884" t="s">
        <v>2959</v>
      </c>
      <c r="C51" s="2771"/>
      <c r="D51" s="1289">
        <f t="shared" si="10"/>
        <v>0</v>
      </c>
      <c r="E51" s="823"/>
      <c r="F51" s="2504"/>
      <c r="G51" s="1287"/>
      <c r="H51" s="1291" t="str">
        <f t="shared" si="11"/>
        <v>——</v>
      </c>
      <c r="I51" s="821">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2960</v>
      </c>
      <c r="B52" s="2883">
        <f>估价对象房地状况!C24</f>
        <v>0</v>
      </c>
      <c r="C52" s="2771"/>
      <c r="D52" s="1289">
        <f t="shared" si="10"/>
        <v>0</v>
      </c>
      <c r="E52" s="823"/>
      <c r="F52" s="2504"/>
      <c r="G52" s="1287"/>
      <c r="H52" s="1291" t="str">
        <f t="shared" si="11"/>
        <v>——</v>
      </c>
      <c r="I52" s="821">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2961</v>
      </c>
      <c r="B53" s="2885" t="s">
        <v>2962</v>
      </c>
      <c r="C53" s="2771"/>
      <c r="D53" s="1289">
        <f t="shared" si="10"/>
        <v>0</v>
      </c>
      <c r="E53" s="823"/>
      <c r="F53" s="2504"/>
      <c r="G53" s="1287"/>
      <c r="H53" s="1291" t="str">
        <f t="shared" si="11"/>
        <v>——</v>
      </c>
      <c r="I53" s="821">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2963</v>
      </c>
      <c r="B54" s="1729" t="str">
        <f>估价对象房地状况!C21</f>
        <v>估价对象所在区域公共配套设施齐备情况</v>
      </c>
      <c r="C54" s="2771"/>
      <c r="D54" s="1289">
        <f t="shared" si="10"/>
        <v>0</v>
      </c>
      <c r="E54" s="823"/>
      <c r="F54" s="2504"/>
      <c r="G54" s="1287"/>
      <c r="H54" s="1291" t="str">
        <f t="shared" si="11"/>
        <v>——</v>
      </c>
      <c r="I54" s="821">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2964</v>
      </c>
      <c r="B55" s="2883" t="str">
        <f>估价对象房地状况!C22</f>
        <v>估价对象所在区域基础设施水平</v>
      </c>
      <c r="C55" s="2771"/>
      <c r="D55" s="1289">
        <f t="shared" si="10"/>
        <v>0</v>
      </c>
      <c r="E55" s="823"/>
      <c r="F55" s="2504"/>
      <c r="G55" s="1287"/>
      <c r="H55" s="1291" t="str">
        <f t="shared" si="11"/>
        <v>——</v>
      </c>
      <c r="I55" s="821">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2965</v>
      </c>
      <c r="B56" s="2888" t="str">
        <f>估价对象房地状况!C20</f>
        <v>区域自然环境：；人文环境；综合评价环境状况一般</v>
      </c>
      <c r="C56" s="2771"/>
      <c r="D56" s="1289">
        <f t="shared" si="10"/>
        <v>0</v>
      </c>
      <c r="E56" s="826"/>
      <c r="F56" s="2504"/>
      <c r="G56" s="1287"/>
      <c r="H56" s="1291" t="str">
        <f t="shared" si="11"/>
        <v>——</v>
      </c>
      <c r="I56" s="825">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2966</v>
      </c>
      <c r="B57" s="2876">
        <f>1+E59</f>
        <v>1</v>
      </c>
      <c r="C57" s="815"/>
      <c r="D57" s="815"/>
      <c r="E57" s="816"/>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2947</v>
      </c>
      <c r="B58" s="1812"/>
      <c r="C58" s="1812" t="s">
        <v>2949</v>
      </c>
      <c r="D58" s="1812" t="s">
        <v>2950</v>
      </c>
      <c r="E58" s="820" t="s">
        <v>2951</v>
      </c>
      <c r="F58" s="2880" t="s">
        <v>2967</v>
      </c>
      <c r="G58" s="1812" t="s">
        <v>754</v>
      </c>
      <c r="H58" s="2881" t="s">
        <v>2953</v>
      </c>
      <c r="I58" s="1812" t="s">
        <v>2954</v>
      </c>
      <c r="J58" s="604" t="s">
        <v>2600</v>
      </c>
      <c r="K58" s="604" t="s">
        <v>2601</v>
      </c>
      <c r="L58" s="604" t="s">
        <v>2602</v>
      </c>
      <c r="M58" s="604" t="s">
        <v>2603</v>
      </c>
      <c r="N58" s="604" t="s">
        <v>2604</v>
      </c>
      <c r="AA58" s="1374"/>
      <c r="AB58" s="1374"/>
      <c r="AC58" s="1374"/>
      <c r="AD58" s="1374"/>
      <c r="AE58" s="1374"/>
      <c r="AF58" s="1374"/>
      <c r="AG58" s="1374"/>
      <c r="AH58" s="1374"/>
      <c r="AI58" s="1374"/>
      <c r="AJ58" s="1374"/>
      <c r="AK58" s="1374"/>
    </row>
    <row r="59" spans="1:37" s="1373" customFormat="1" ht="38.25">
      <c r="A59" s="2879" t="s">
        <v>2968</v>
      </c>
      <c r="B59" s="2882" t="str">
        <f>估价对象房地状况!C17</f>
        <v>估价对象位于XX商圈，周边办公楼项目较多，入驻率高，办公集聚程度较好</v>
      </c>
      <c r="C59" s="2771"/>
      <c r="D59" s="1289">
        <f t="shared" ref="D59:D67" si="15">SUMIF($J$58:$N$58,C59,J59:N59)</f>
        <v>0</v>
      </c>
      <c r="E59" s="822">
        <f>ROUND(SUM(D59:D67),4)</f>
        <v>0</v>
      </c>
      <c r="F59" s="2504" t="str">
        <f>IF(E2="办公",SUMIF(L1:L12,G2,N1:N12),"——")</f>
        <v>——</v>
      </c>
      <c r="G59" s="1287"/>
      <c r="H59" s="1291" t="str">
        <f t="shared" ref="H59:H67" si="16">IFERROR(ROUNDDOWN($F$59*I59/2,4),"——")</f>
        <v>——</v>
      </c>
      <c r="I59" s="821">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2956</v>
      </c>
      <c r="B60" s="2883" t="str">
        <f>估价对象房地状况!C18</f>
        <v>估价对象周边道路状况、公共交通通达情况、停车便捷程度，综合评价交通便捷度较好</v>
      </c>
      <c r="C60" s="2771"/>
      <c r="D60" s="1289">
        <f t="shared" si="15"/>
        <v>0</v>
      </c>
      <c r="E60" s="823"/>
      <c r="F60" s="2504"/>
      <c r="G60" s="1287"/>
      <c r="H60" s="1291" t="str">
        <f t="shared" si="16"/>
        <v>——</v>
      </c>
      <c r="I60" s="821">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2957</v>
      </c>
      <c r="B61" s="2883">
        <f>估价对象房地状况!C19</f>
        <v>0</v>
      </c>
      <c r="C61" s="2771"/>
      <c r="D61" s="1289">
        <f t="shared" si="15"/>
        <v>0</v>
      </c>
      <c r="E61" s="823"/>
      <c r="F61" s="2504"/>
      <c r="G61" s="1287"/>
      <c r="H61" s="1291" t="str">
        <f t="shared" si="16"/>
        <v>——</v>
      </c>
      <c r="I61" s="821">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2958</v>
      </c>
      <c r="B62" s="2884" t="s">
        <v>2959</v>
      </c>
      <c r="C62" s="2771"/>
      <c r="D62" s="1289">
        <f t="shared" si="15"/>
        <v>0</v>
      </c>
      <c r="E62" s="823"/>
      <c r="F62" s="2504"/>
      <c r="G62" s="1287"/>
      <c r="H62" s="1291" t="str">
        <f t="shared" si="16"/>
        <v>——</v>
      </c>
      <c r="I62" s="821">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2960</v>
      </c>
      <c r="B63" s="2883">
        <f>估价对象房地状况!C24</f>
        <v>0</v>
      </c>
      <c r="C63" s="2771"/>
      <c r="D63" s="1289">
        <f t="shared" si="15"/>
        <v>0</v>
      </c>
      <c r="E63" s="823"/>
      <c r="F63" s="2504"/>
      <c r="G63" s="1287"/>
      <c r="H63" s="1291" t="str">
        <f t="shared" si="16"/>
        <v>——</v>
      </c>
      <c r="I63" s="821">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2961</v>
      </c>
      <c r="B64" s="2885" t="s">
        <v>2962</v>
      </c>
      <c r="C64" s="2771"/>
      <c r="D64" s="1289">
        <f t="shared" si="15"/>
        <v>0</v>
      </c>
      <c r="E64" s="823"/>
      <c r="F64" s="2504"/>
      <c r="G64" s="1287"/>
      <c r="H64" s="1291" t="str">
        <f t="shared" si="16"/>
        <v>——</v>
      </c>
      <c r="I64" s="821">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2963</v>
      </c>
      <c r="B65" s="1729" t="str">
        <f>估价对象房地状况!C21</f>
        <v>估价对象所在区域公共配套设施齐备情况</v>
      </c>
      <c r="C65" s="2771"/>
      <c r="D65" s="1289">
        <f t="shared" si="15"/>
        <v>0</v>
      </c>
      <c r="E65" s="823"/>
      <c r="F65" s="2504"/>
      <c r="G65" s="1287"/>
      <c r="H65" s="1291" t="str">
        <f t="shared" si="16"/>
        <v>——</v>
      </c>
      <c r="I65" s="821">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2964</v>
      </c>
      <c r="B66" s="1729" t="str">
        <f>估价对象房地状况!C22</f>
        <v>估价对象所在区域基础设施水平</v>
      </c>
      <c r="C66" s="2771"/>
      <c r="D66" s="1289">
        <f t="shared" si="15"/>
        <v>0</v>
      </c>
      <c r="E66" s="823"/>
      <c r="F66" s="2504"/>
      <c r="G66" s="1287"/>
      <c r="H66" s="1291" t="str">
        <f t="shared" si="16"/>
        <v>——</v>
      </c>
      <c r="I66" s="821">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2965</v>
      </c>
      <c r="B67" s="2889" t="str">
        <f>估价对象房地状况!C20</f>
        <v>区域自然环境：；人文环境；综合评价环境状况一般</v>
      </c>
      <c r="C67" s="2771"/>
      <c r="D67" s="1289">
        <f t="shared" si="15"/>
        <v>0</v>
      </c>
      <c r="E67" s="826"/>
      <c r="F67" s="2504"/>
      <c r="G67" s="1287"/>
      <c r="H67" s="1291" t="str">
        <f t="shared" si="16"/>
        <v>——</v>
      </c>
      <c r="I67" s="825">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2969</v>
      </c>
      <c r="B68" s="2876">
        <f>1+E70</f>
        <v>1</v>
      </c>
      <c r="C68" s="815"/>
      <c r="D68" s="815"/>
      <c r="E68" s="816"/>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2947</v>
      </c>
      <c r="B69" s="1812"/>
      <c r="C69" s="1812" t="s">
        <v>2949</v>
      </c>
      <c r="D69" s="1812" t="s">
        <v>2950</v>
      </c>
      <c r="E69" s="820" t="s">
        <v>2951</v>
      </c>
      <c r="F69" s="2880" t="s">
        <v>2967</v>
      </c>
      <c r="G69" s="1812" t="s">
        <v>754</v>
      </c>
      <c r="H69" s="2881" t="s">
        <v>2953</v>
      </c>
      <c r="I69" s="1812" t="s">
        <v>2954</v>
      </c>
      <c r="J69" s="604" t="s">
        <v>2600</v>
      </c>
      <c r="K69" s="604" t="s">
        <v>2601</v>
      </c>
      <c r="L69" s="604" t="s">
        <v>2602</v>
      </c>
      <c r="M69" s="604" t="s">
        <v>2603</v>
      </c>
      <c r="N69" s="604" t="s">
        <v>2604</v>
      </c>
      <c r="AA69" s="1374"/>
      <c r="AB69" s="1374"/>
      <c r="AC69" s="1374"/>
      <c r="AD69" s="1374"/>
      <c r="AE69" s="1374"/>
      <c r="AF69" s="1374"/>
      <c r="AG69" s="1374"/>
      <c r="AH69" s="1374"/>
      <c r="AI69" s="1374"/>
      <c r="AJ69" s="1374"/>
      <c r="AK69" s="1374"/>
    </row>
    <row r="70" spans="1:37" s="1373" customFormat="1" ht="51">
      <c r="A70" s="2879" t="s">
        <v>2970</v>
      </c>
      <c r="B70" s="2882" t="str">
        <f>估价对象房地状况!C15</f>
        <v>估价对象周边居住用地比例、居住小区规模和社区发展完善程度，综合评价居住社区成熟度一般</v>
      </c>
      <c r="C70" s="2771"/>
      <c r="D70" s="1289">
        <f t="shared" ref="D70:D78" si="20">SUMIF($J$69:$N$69,C70,J70:N70)</f>
        <v>0</v>
      </c>
      <c r="E70" s="822">
        <f>ROUND(SUM(D70:D78),4)</f>
        <v>0</v>
      </c>
      <c r="F70" s="2504" t="str">
        <f>IF(E2="住宅",SUMIF(L1:L12,G2,N1:N12),"——")</f>
        <v>——</v>
      </c>
      <c r="G70" s="1287"/>
      <c r="H70" s="1291" t="str">
        <f t="shared" ref="H70:H78" si="21">IFERROR(ROUNDDOWN($F$70*I70/2,4),"——")</f>
        <v>——</v>
      </c>
      <c r="I70" s="821">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2956</v>
      </c>
      <c r="B71" s="2883" t="str">
        <f>估价对象房地状况!C18</f>
        <v>估价对象周边道路状况、公共交通通达情况、停车便捷程度，综合评价交通便捷度较好</v>
      </c>
      <c r="C71" s="2771"/>
      <c r="D71" s="1289">
        <f t="shared" si="20"/>
        <v>0</v>
      </c>
      <c r="E71" s="827"/>
      <c r="F71" s="2504"/>
      <c r="G71" s="1287"/>
      <c r="H71" s="1291" t="str">
        <f t="shared" si="21"/>
        <v>——</v>
      </c>
      <c r="I71" s="821">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2957</v>
      </c>
      <c r="B72" s="2883">
        <f>估价对象房地状况!C19</f>
        <v>0</v>
      </c>
      <c r="C72" s="2771"/>
      <c r="D72" s="1289">
        <f t="shared" si="20"/>
        <v>0</v>
      </c>
      <c r="E72" s="827"/>
      <c r="F72" s="2504"/>
      <c r="G72" s="1287"/>
      <c r="H72" s="1291" t="str">
        <f t="shared" si="21"/>
        <v>——</v>
      </c>
      <c r="I72" s="821">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2971</v>
      </c>
      <c r="B73" s="2883">
        <f>估价对象房地状况!C24</f>
        <v>0</v>
      </c>
      <c r="C73" s="2771"/>
      <c r="D73" s="1289">
        <f t="shared" si="20"/>
        <v>0</v>
      </c>
      <c r="E73" s="827"/>
      <c r="F73" s="2504"/>
      <c r="G73" s="1287"/>
      <c r="H73" s="1291" t="str">
        <f t="shared" si="21"/>
        <v>——</v>
      </c>
      <c r="I73" s="821">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2963</v>
      </c>
      <c r="B74" s="1729" t="str">
        <f>估价对象房地状况!C21</f>
        <v>估价对象所在区域公共配套设施齐备情况</v>
      </c>
      <c r="C74" s="2771"/>
      <c r="D74" s="1289">
        <f t="shared" si="20"/>
        <v>0</v>
      </c>
      <c r="E74" s="827"/>
      <c r="F74" s="2504"/>
      <c r="G74" s="1287"/>
      <c r="H74" s="1291" t="str">
        <f t="shared" si="21"/>
        <v>——</v>
      </c>
      <c r="I74" s="821">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2964</v>
      </c>
      <c r="B75" s="1729" t="str">
        <f>估价对象房地状况!C22</f>
        <v>估价对象所在区域基础设施水平</v>
      </c>
      <c r="C75" s="2771"/>
      <c r="D75" s="1289">
        <f t="shared" si="20"/>
        <v>0</v>
      </c>
      <c r="E75" s="827"/>
      <c r="F75" s="2504"/>
      <c r="G75" s="1287"/>
      <c r="H75" s="1291" t="str">
        <f t="shared" si="21"/>
        <v>——</v>
      </c>
      <c r="I75" s="821">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2961</v>
      </c>
      <c r="B76" s="2885" t="s">
        <v>2962</v>
      </c>
      <c r="C76" s="2771"/>
      <c r="D76" s="1289">
        <f t="shared" si="20"/>
        <v>0</v>
      </c>
      <c r="E76" s="827"/>
      <c r="F76" s="2504"/>
      <c r="G76" s="1287"/>
      <c r="H76" s="1291" t="str">
        <f t="shared" si="21"/>
        <v>——</v>
      </c>
      <c r="I76" s="821">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2965</v>
      </c>
      <c r="B77" s="2882" t="str">
        <f>估价对象房地状况!C20</f>
        <v>区域自然环境：；人文环境；综合评价环境状况一般</v>
      </c>
      <c r="C77" s="2771"/>
      <c r="D77" s="1289">
        <f t="shared" si="20"/>
        <v>0</v>
      </c>
      <c r="E77" s="827"/>
      <c r="F77" s="2504"/>
      <c r="G77" s="1287"/>
      <c r="H77" s="1291" t="str">
        <f t="shared" si="21"/>
        <v>——</v>
      </c>
      <c r="I77" s="821">
        <v>0.15</v>
      </c>
      <c r="J77" s="1288">
        <f t="shared" si="22"/>
        <v>0</v>
      </c>
      <c r="K77" s="1288">
        <f t="shared" si="23"/>
        <v>0</v>
      </c>
      <c r="L77" s="1288">
        <v>0</v>
      </c>
      <c r="M77" s="1288">
        <f t="shared" si="24"/>
        <v>0</v>
      </c>
      <c r="N77" s="1288">
        <f t="shared" si="24"/>
        <v>0</v>
      </c>
      <c r="Z77" s="2721"/>
      <c r="AA77" s="2797"/>
      <c r="AG77" s="1375"/>
      <c r="AK77" s="2797"/>
    </row>
    <row r="78" spans="1:37" ht="24.75" thickBot="1">
      <c r="A78" s="2887" t="s">
        <v>2972</v>
      </c>
      <c r="B78" s="2891"/>
      <c r="C78" s="2771"/>
      <c r="D78" s="1289">
        <f t="shared" si="20"/>
        <v>0</v>
      </c>
      <c r="E78" s="828"/>
      <c r="F78" s="2504"/>
      <c r="G78" s="1287"/>
      <c r="H78" s="1291" t="str">
        <f t="shared" si="21"/>
        <v>——</v>
      </c>
      <c r="I78" s="825">
        <v>0.04</v>
      </c>
      <c r="J78" s="1288">
        <f t="shared" si="22"/>
        <v>0</v>
      </c>
      <c r="K78" s="1288">
        <f t="shared" si="23"/>
        <v>0</v>
      </c>
      <c r="L78" s="1288">
        <v>0</v>
      </c>
      <c r="M78" s="1288">
        <f t="shared" si="24"/>
        <v>0</v>
      </c>
      <c r="N78" s="1288">
        <f t="shared" si="24"/>
        <v>0</v>
      </c>
      <c r="Z78" s="2721"/>
      <c r="AA78" s="2797"/>
      <c r="AG78" s="1375"/>
      <c r="AK78" s="2797"/>
    </row>
    <row r="79" spans="1:37" ht="15">
      <c r="A79" s="2875" t="s">
        <v>2973</v>
      </c>
      <c r="B79" s="2876">
        <f>1+E81</f>
        <v>1</v>
      </c>
      <c r="C79" s="815"/>
      <c r="D79" s="815"/>
      <c r="E79" s="816"/>
      <c r="F79" s="2878"/>
      <c r="G79" s="6"/>
      <c r="H79" s="6"/>
      <c r="I79" s="6"/>
      <c r="J79" s="7"/>
      <c r="K79" s="7"/>
      <c r="L79" s="7"/>
      <c r="M79" s="7"/>
      <c r="N79" s="7"/>
      <c r="Z79" s="2721"/>
      <c r="AA79" s="2797"/>
      <c r="AG79" s="1375"/>
      <c r="AK79" s="2797"/>
    </row>
    <row r="80" spans="1:37" ht="24.75">
      <c r="A80" s="2879" t="s">
        <v>2947</v>
      </c>
      <c r="B80" s="1812"/>
      <c r="C80" s="1812" t="s">
        <v>2949</v>
      </c>
      <c r="D80" s="1812" t="s">
        <v>2950</v>
      </c>
      <c r="E80" s="820" t="s">
        <v>2951</v>
      </c>
      <c r="F80" s="2880" t="s">
        <v>2967</v>
      </c>
      <c r="G80" s="1812" t="s">
        <v>754</v>
      </c>
      <c r="H80" s="2881" t="s">
        <v>2953</v>
      </c>
      <c r="I80" s="1812" t="s">
        <v>2954</v>
      </c>
      <c r="J80" s="604" t="s">
        <v>2600</v>
      </c>
      <c r="K80" s="604" t="s">
        <v>2601</v>
      </c>
      <c r="L80" s="604" t="s">
        <v>2602</v>
      </c>
      <c r="M80" s="604" t="s">
        <v>2603</v>
      </c>
      <c r="N80" s="604" t="s">
        <v>2604</v>
      </c>
      <c r="Z80" s="2721"/>
      <c r="AA80" s="2797"/>
      <c r="AG80" s="1375"/>
      <c r="AK80" s="2797"/>
    </row>
    <row r="81" spans="1:37" ht="38.25">
      <c r="A81" s="2879" t="s">
        <v>2974</v>
      </c>
      <c r="B81" s="2883" t="str">
        <f>估价对象房地状况!G15</f>
        <v>估价对象位于XX开发区，园区建设成熟度XX，产业集聚程度XX</v>
      </c>
      <c r="C81" s="2771"/>
      <c r="D81" s="1289">
        <f t="shared" ref="D81:D88" si="25">SUMIF($J$80:$N$80,C81,J81:N81)</f>
        <v>0</v>
      </c>
      <c r="E81" s="822">
        <f>ROUND(SUM(D81:D88),4)</f>
        <v>0</v>
      </c>
      <c r="F81" s="2504" t="str">
        <f>IF(E2="工业",SUMIF(L1:L12,G2,N1:N12),"——")</f>
        <v>——</v>
      </c>
      <c r="G81" s="1287"/>
      <c r="H81" s="1291" t="str">
        <f t="shared" ref="H81:H88" si="26">IFERROR(ROUNDDOWN($F$81*I81/2,4),"——")</f>
        <v>——</v>
      </c>
      <c r="I81" s="821">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2956</v>
      </c>
      <c r="B82" s="2883" t="str">
        <f>估价对象房地状况!G16</f>
        <v>估价对象周边道路状况、公共交通通达情况、停车便捷程度，综合评价交通便捷度较好</v>
      </c>
      <c r="C82" s="2771"/>
      <c r="D82" s="1289">
        <f t="shared" si="25"/>
        <v>0</v>
      </c>
      <c r="E82" s="827"/>
      <c r="F82" s="2504"/>
      <c r="G82" s="1287"/>
      <c r="H82" s="1291" t="str">
        <f t="shared" si="26"/>
        <v>——</v>
      </c>
      <c r="I82" s="821">
        <v>0.33</v>
      </c>
      <c r="J82" s="1288">
        <f t="shared" si="27"/>
        <v>0</v>
      </c>
      <c r="K82" s="1288">
        <f t="shared" si="28"/>
        <v>0</v>
      </c>
      <c r="L82" s="1288">
        <v>0</v>
      </c>
      <c r="M82" s="1288">
        <f t="shared" si="29"/>
        <v>0</v>
      </c>
      <c r="N82" s="1288">
        <f t="shared" si="29"/>
        <v>0</v>
      </c>
      <c r="Z82" s="2721"/>
      <c r="AA82" s="2797"/>
      <c r="AG82" s="1375"/>
      <c r="AK82" s="2797"/>
    </row>
    <row r="83" spans="1:37" ht="24">
      <c r="A83" s="2879" t="s">
        <v>2957</v>
      </c>
      <c r="B83" s="2883">
        <f>估价对象房地状况!G17</f>
        <v>0</v>
      </c>
      <c r="C83" s="2771"/>
      <c r="D83" s="1289">
        <f t="shared" si="25"/>
        <v>0</v>
      </c>
      <c r="E83" s="827"/>
      <c r="F83" s="2504"/>
      <c r="G83" s="1287"/>
      <c r="H83" s="1291" t="str">
        <f t="shared" si="26"/>
        <v>——</v>
      </c>
      <c r="I83" s="821">
        <v>0.05</v>
      </c>
      <c r="J83" s="1288">
        <f t="shared" si="27"/>
        <v>0</v>
      </c>
      <c r="K83" s="1288">
        <f t="shared" si="28"/>
        <v>0</v>
      </c>
      <c r="L83" s="1288">
        <v>0</v>
      </c>
      <c r="M83" s="1288">
        <f t="shared" si="29"/>
        <v>0</v>
      </c>
      <c r="N83" s="1288">
        <f t="shared" si="29"/>
        <v>0</v>
      </c>
      <c r="Z83" s="2721"/>
      <c r="AA83" s="2797"/>
      <c r="AG83" s="1375"/>
      <c r="AK83" s="2797"/>
    </row>
    <row r="84" spans="1:37" ht="14.25">
      <c r="A84" s="2879" t="s">
        <v>2971</v>
      </c>
      <c r="B84" s="2883">
        <f>估价对象房地状况!G22</f>
        <v>0</v>
      </c>
      <c r="C84" s="2771"/>
      <c r="D84" s="1289">
        <f t="shared" si="25"/>
        <v>0</v>
      </c>
      <c r="E84" s="827"/>
      <c r="F84" s="2504"/>
      <c r="G84" s="1287"/>
      <c r="H84" s="1291" t="str">
        <f t="shared" si="26"/>
        <v>——</v>
      </c>
      <c r="I84" s="821">
        <v>0.04</v>
      </c>
      <c r="J84" s="1288">
        <f t="shared" si="27"/>
        <v>0</v>
      </c>
      <c r="K84" s="1288">
        <f t="shared" si="28"/>
        <v>0</v>
      </c>
      <c r="L84" s="1288">
        <v>0</v>
      </c>
      <c r="M84" s="1288">
        <f t="shared" si="29"/>
        <v>0</v>
      </c>
      <c r="N84" s="1288">
        <f t="shared" si="29"/>
        <v>0</v>
      </c>
      <c r="Z84" s="2721"/>
      <c r="AA84" s="2797"/>
      <c r="AG84" s="1375"/>
      <c r="AK84" s="2797"/>
    </row>
    <row r="85" spans="1:37" ht="25.5">
      <c r="A85" s="2879" t="s">
        <v>2963</v>
      </c>
      <c r="B85" s="1729" t="str">
        <f>估价对象房地状况!G19</f>
        <v>估价对象所在区域公共配套设施齐备情况</v>
      </c>
      <c r="C85" s="2771"/>
      <c r="D85" s="1289">
        <f t="shared" si="25"/>
        <v>0</v>
      </c>
      <c r="E85" s="827"/>
      <c r="F85" s="2504"/>
      <c r="G85" s="1287"/>
      <c r="H85" s="1291" t="str">
        <f t="shared" si="26"/>
        <v>——</v>
      </c>
      <c r="I85" s="821">
        <v>0.06</v>
      </c>
      <c r="J85" s="1288">
        <f t="shared" si="27"/>
        <v>0</v>
      </c>
      <c r="K85" s="1288">
        <f t="shared" si="28"/>
        <v>0</v>
      </c>
      <c r="L85" s="1288">
        <v>0</v>
      </c>
      <c r="M85" s="1288">
        <f t="shared" si="29"/>
        <v>0</v>
      </c>
      <c r="N85" s="1288">
        <f t="shared" si="29"/>
        <v>0</v>
      </c>
      <c r="Z85" s="2721"/>
      <c r="AA85" s="2797"/>
      <c r="AG85" s="1375"/>
      <c r="AK85" s="2797"/>
    </row>
    <row r="86" spans="1:37" ht="25.5">
      <c r="A86" s="2879" t="s">
        <v>2964</v>
      </c>
      <c r="B86" s="1729" t="str">
        <f>估价对象房地状况!G20</f>
        <v>估价对象所在区域基础设施水平</v>
      </c>
      <c r="C86" s="2771"/>
      <c r="D86" s="1289">
        <f t="shared" si="25"/>
        <v>0</v>
      </c>
      <c r="E86" s="827"/>
      <c r="F86" s="2504"/>
      <c r="G86" s="1287"/>
      <c r="H86" s="1291" t="str">
        <f t="shared" si="26"/>
        <v>——</v>
      </c>
      <c r="I86" s="821">
        <v>0.15</v>
      </c>
      <c r="J86" s="1288">
        <f t="shared" si="27"/>
        <v>0</v>
      </c>
      <c r="K86" s="1288">
        <f t="shared" si="28"/>
        <v>0</v>
      </c>
      <c r="L86" s="1288">
        <v>0</v>
      </c>
      <c r="M86" s="1288">
        <f t="shared" si="29"/>
        <v>0</v>
      </c>
      <c r="N86" s="1288">
        <f t="shared" si="29"/>
        <v>0</v>
      </c>
      <c r="Z86" s="2721"/>
      <c r="AA86" s="2797"/>
      <c r="AG86" s="1375"/>
      <c r="AK86" s="2797"/>
    </row>
    <row r="87" spans="1:37" ht="24">
      <c r="A87" s="2879" t="s">
        <v>2961</v>
      </c>
      <c r="B87" s="2885" t="s">
        <v>2975</v>
      </c>
      <c r="C87" s="2771"/>
      <c r="D87" s="1289">
        <f t="shared" si="25"/>
        <v>0</v>
      </c>
      <c r="E87" s="827"/>
      <c r="F87" s="2504"/>
      <c r="G87" s="1287"/>
      <c r="H87" s="1291" t="str">
        <f t="shared" si="26"/>
        <v>——</v>
      </c>
      <c r="I87" s="821">
        <v>0.05</v>
      </c>
      <c r="J87" s="1288">
        <f t="shared" si="27"/>
        <v>0</v>
      </c>
      <c r="K87" s="1288">
        <f t="shared" si="28"/>
        <v>0</v>
      </c>
      <c r="L87" s="1288">
        <v>0</v>
      </c>
      <c r="M87" s="1288">
        <f t="shared" si="29"/>
        <v>0</v>
      </c>
      <c r="N87" s="1288">
        <f t="shared" si="29"/>
        <v>0</v>
      </c>
      <c r="Z87" s="2721"/>
      <c r="AA87" s="2797"/>
      <c r="AG87" s="1375"/>
      <c r="AK87" s="2797"/>
    </row>
    <row r="88" spans="1:37" ht="39" thickBot="1">
      <c r="A88" s="2887" t="s">
        <v>2976</v>
      </c>
      <c r="B88" s="2892" t="str">
        <f>估价对象房地状况!G18</f>
        <v>该园区内是否有污染型企业，绿化情况，卫生条件，整体环境状况判断</v>
      </c>
      <c r="C88" s="2771"/>
      <c r="D88" s="1289">
        <f t="shared" si="25"/>
        <v>0</v>
      </c>
      <c r="E88" s="828"/>
      <c r="F88" s="2504"/>
      <c r="G88" s="1287"/>
      <c r="H88" s="1291" t="str">
        <f t="shared" si="26"/>
        <v>——</v>
      </c>
      <c r="I88" s="825">
        <v>0.06</v>
      </c>
      <c r="J88" s="1288">
        <f t="shared" si="27"/>
        <v>0</v>
      </c>
      <c r="K88" s="1288">
        <f t="shared" si="28"/>
        <v>0</v>
      </c>
      <c r="L88" s="1288">
        <v>0</v>
      </c>
      <c r="M88" s="1288">
        <f t="shared" si="29"/>
        <v>0</v>
      </c>
      <c r="N88" s="1288">
        <f t="shared" si="29"/>
        <v>0</v>
      </c>
      <c r="Z88" s="2721"/>
      <c r="AA88" s="2797"/>
      <c r="AG88" s="1375"/>
      <c r="AK88" s="2797"/>
    </row>
    <row r="90" spans="1:37">
      <c r="A90" s="3259" t="s">
        <v>2977</v>
      </c>
      <c r="B90" s="3259"/>
      <c r="C90" s="3259"/>
      <c r="D90" s="3259"/>
      <c r="E90" s="3259"/>
      <c r="F90" s="3259"/>
      <c r="G90" s="3259"/>
      <c r="H90" s="3259"/>
      <c r="I90" s="3259"/>
      <c r="J90" s="3259"/>
      <c r="K90" s="2893"/>
      <c r="L90" s="2893"/>
      <c r="M90" s="2893"/>
      <c r="N90" s="2893"/>
    </row>
    <row r="91" spans="1:37">
      <c r="A91" s="3261" t="s">
        <v>2978</v>
      </c>
      <c r="B91" s="3261" t="s">
        <v>2979</v>
      </c>
      <c r="C91" s="2847" t="s">
        <v>2980</v>
      </c>
      <c r="D91" s="2848"/>
      <c r="E91" s="2848"/>
      <c r="F91" s="2848"/>
      <c r="G91" s="2848"/>
      <c r="H91" s="2848"/>
      <c r="I91" s="2848"/>
      <c r="J91" s="2894"/>
      <c r="K91" s="2895"/>
      <c r="L91" s="2895"/>
      <c r="M91" s="2895"/>
      <c r="N91" s="2895"/>
    </row>
    <row r="92" spans="1:37">
      <c r="A92" s="3261"/>
      <c r="B92" s="3261"/>
      <c r="C92" s="946" t="s">
        <v>2844</v>
      </c>
      <c r="D92" s="946" t="s">
        <v>2845</v>
      </c>
      <c r="E92" s="946" t="s">
        <v>2846</v>
      </c>
      <c r="F92" s="946" t="s">
        <v>2847</v>
      </c>
      <c r="G92" s="946" t="s">
        <v>2848</v>
      </c>
      <c r="H92" s="946" t="s">
        <v>2849</v>
      </c>
      <c r="I92" s="946" t="s">
        <v>2850</v>
      </c>
      <c r="J92" s="946" t="s">
        <v>2851</v>
      </c>
      <c r="K92" s="946" t="s">
        <v>2852</v>
      </c>
      <c r="L92" s="946" t="s">
        <v>2853</v>
      </c>
      <c r="M92" s="946" t="s">
        <v>2854</v>
      </c>
      <c r="N92" s="946" t="s">
        <v>2855</v>
      </c>
    </row>
    <row r="93" spans="1:37">
      <c r="A93" s="3262" t="s">
        <v>2981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3"/>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3"/>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3"/>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3"/>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3"/>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3"/>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4"/>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2" t="s">
        <v>2982</v>
      </c>
      <c r="B101" s="2900" t="s">
        <v>2983</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63"/>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63"/>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63"/>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63"/>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63"/>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63"/>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63"/>
      <c r="B108" s="3089" t="s">
        <v>2984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4"/>
      <c r="B109" s="3090"/>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60" t="s">
        <v>2985</v>
      </c>
      <c r="B110" s="3260"/>
      <c r="C110" s="3260"/>
      <c r="D110" s="3260"/>
      <c r="E110" s="3260"/>
      <c r="F110" s="3260"/>
      <c r="G110" s="3260"/>
      <c r="H110" s="3260"/>
      <c r="I110" s="3260"/>
      <c r="J110" s="3260"/>
      <c r="K110" s="2902"/>
      <c r="L110" s="2902"/>
      <c r="M110" s="2902"/>
      <c r="N110" s="2902"/>
    </row>
    <row r="112" spans="1:14" ht="13.5" thickBot="1"/>
    <row r="113" spans="1:13" ht="25.5" thickBot="1">
      <c r="A113" s="904" t="s">
        <v>2986</v>
      </c>
      <c r="B113" s="1290" t="e">
        <f>G3</f>
        <v>#DIV/0!</v>
      </c>
      <c r="C113" s="905" t="s">
        <v>2987</v>
      </c>
      <c r="D113" s="906" t="e">
        <f>SUMPRODUCT((A115:A118=F113)*(B114:M114=H113)*B115:M118)</f>
        <v>#DIV/0!</v>
      </c>
      <c r="E113" s="2725" t="s">
        <v>2817</v>
      </c>
      <c r="F113" s="2904">
        <f>E2</f>
        <v>0</v>
      </c>
      <c r="G113" s="2725" t="s">
        <v>2818</v>
      </c>
      <c r="H113" s="2904">
        <f>G2</f>
        <v>0</v>
      </c>
      <c r="I113" s="2725"/>
      <c r="J113" s="2905"/>
      <c r="K113" s="2905"/>
      <c r="L113" s="2905"/>
      <c r="M113" s="2905"/>
    </row>
    <row r="114" spans="1:13">
      <c r="A114" s="909"/>
      <c r="B114" s="2906" t="s">
        <v>2988</v>
      </c>
      <c r="C114" s="2906" t="s">
        <v>2989</v>
      </c>
      <c r="D114" s="2906" t="s">
        <v>2990</v>
      </c>
      <c r="E114" s="2907" t="s">
        <v>2991</v>
      </c>
      <c r="F114" s="2907" t="s">
        <v>2992</v>
      </c>
      <c r="G114" s="2907" t="s">
        <v>2993</v>
      </c>
      <c r="H114" s="2908" t="s">
        <v>2994</v>
      </c>
      <c r="I114" s="2908" t="s">
        <v>2995</v>
      </c>
      <c r="J114" s="2909" t="s">
        <v>2996</v>
      </c>
      <c r="K114" s="2909" t="s">
        <v>2997</v>
      </c>
      <c r="L114" s="2909" t="s">
        <v>2998</v>
      </c>
      <c r="M114" s="2910" t="s">
        <v>2999</v>
      </c>
    </row>
    <row r="115" spans="1:13">
      <c r="A115" s="910" t="s">
        <v>2882</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2883</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2884</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2885</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77" t="s">
        <v>183</v>
      </c>
      <c r="B18" s="883" t="s">
        <v>560</v>
      </c>
      <c r="C18" s="884" t="s">
        <v>561</v>
      </c>
      <c r="D18" s="885"/>
      <c r="E18" s="883">
        <v>1</v>
      </c>
      <c r="F18" s="886" t="s">
        <v>562</v>
      </c>
      <c r="G18" s="887"/>
      <c r="H18" s="879"/>
      <c r="I18" s="879"/>
    </row>
    <row r="19" spans="1:9" s="888" customFormat="1" ht="19.5" customHeight="1">
      <c r="A19" s="3277"/>
      <c r="B19" s="3277" t="s">
        <v>563</v>
      </c>
      <c r="C19" s="884" t="s">
        <v>564</v>
      </c>
      <c r="D19" s="885"/>
      <c r="E19" s="883">
        <v>0.9</v>
      </c>
      <c r="F19" s="886" t="s">
        <v>565</v>
      </c>
      <c r="G19" s="887"/>
      <c r="H19" s="879"/>
      <c r="I19" s="879"/>
    </row>
    <row r="20" spans="1:9" s="888" customFormat="1" ht="19.5" customHeight="1">
      <c r="A20" s="3277"/>
      <c r="B20" s="3277"/>
      <c r="C20" s="884" t="s">
        <v>566</v>
      </c>
      <c r="D20" s="885"/>
      <c r="E20" s="883">
        <v>1.1000000000000001</v>
      </c>
      <c r="F20" s="886" t="s">
        <v>567</v>
      </c>
      <c r="G20" s="887"/>
      <c r="H20" s="879"/>
      <c r="I20" s="879"/>
    </row>
    <row r="21" spans="1:9" s="888" customFormat="1" ht="19.5" customHeight="1">
      <c r="A21" s="3277"/>
      <c r="B21" s="3277"/>
      <c r="C21" s="884" t="s">
        <v>568</v>
      </c>
      <c r="D21" s="885"/>
      <c r="E21" s="883">
        <v>0.8</v>
      </c>
      <c r="F21" s="886" t="s">
        <v>569</v>
      </c>
      <c r="G21" s="887"/>
      <c r="H21" s="879"/>
      <c r="I21" s="879"/>
    </row>
    <row r="22" spans="1:9" s="888" customFormat="1" ht="19.5" customHeight="1">
      <c r="A22" s="3277"/>
      <c r="B22" s="3277"/>
      <c r="C22" s="884" t="s">
        <v>570</v>
      </c>
      <c r="D22" s="885"/>
      <c r="E22" s="883">
        <v>0.5</v>
      </c>
      <c r="F22" s="886"/>
      <c r="G22" s="887"/>
      <c r="H22" s="879"/>
      <c r="I22" s="879"/>
    </row>
    <row r="23" spans="1:9" s="888" customFormat="1" ht="19.5" customHeight="1">
      <c r="A23" s="3277" t="s">
        <v>184</v>
      </c>
      <c r="B23" s="883" t="s">
        <v>560</v>
      </c>
      <c r="C23" s="884" t="s">
        <v>571</v>
      </c>
      <c r="D23" s="885"/>
      <c r="E23" s="883">
        <v>1</v>
      </c>
      <c r="F23" s="886" t="s">
        <v>572</v>
      </c>
      <c r="G23" s="887"/>
      <c r="H23" s="879"/>
      <c r="I23" s="879"/>
    </row>
    <row r="24" spans="1:9" s="888" customFormat="1" ht="19.5" customHeight="1">
      <c r="A24" s="3277"/>
      <c r="B24" s="3277" t="s">
        <v>563</v>
      </c>
      <c r="C24" s="884" t="s">
        <v>573</v>
      </c>
      <c r="D24" s="885"/>
      <c r="E24" s="883">
        <v>0.5</v>
      </c>
      <c r="F24" s="886"/>
      <c r="G24" s="887"/>
      <c r="H24" s="879"/>
      <c r="I24" s="879"/>
    </row>
    <row r="25" spans="1:9" s="888" customFormat="1" ht="19.5" customHeight="1">
      <c r="A25" s="3277"/>
      <c r="B25" s="3277"/>
      <c r="C25" s="884" t="s">
        <v>574</v>
      </c>
      <c r="D25" s="885"/>
      <c r="E25" s="883">
        <v>1.1000000000000001</v>
      </c>
      <c r="F25" s="886"/>
      <c r="G25" s="887"/>
      <c r="H25" s="879"/>
      <c r="I25" s="879"/>
    </row>
    <row r="26" spans="1:9" s="888" customFormat="1" ht="19.5" customHeight="1">
      <c r="A26" s="3277"/>
      <c r="B26" s="3277"/>
      <c r="C26" s="884" t="s">
        <v>575</v>
      </c>
      <c r="D26" s="885"/>
      <c r="E26" s="883">
        <v>1.1000000000000001</v>
      </c>
      <c r="F26" s="886"/>
      <c r="G26" s="887"/>
      <c r="H26" s="879"/>
      <c r="I26" s="879"/>
    </row>
    <row r="27" spans="1:9" s="888" customFormat="1" ht="19.5" customHeight="1">
      <c r="A27" s="3277"/>
      <c r="B27" s="3277"/>
      <c r="C27" s="884" t="s">
        <v>576</v>
      </c>
      <c r="D27" s="885"/>
      <c r="E27" s="883">
        <v>0.9</v>
      </c>
      <c r="F27" s="886" t="s">
        <v>577</v>
      </c>
      <c r="G27" s="887"/>
      <c r="H27" s="879"/>
      <c r="I27" s="879"/>
    </row>
    <row r="28" spans="1:9" s="888" customFormat="1" ht="19.5" customHeight="1">
      <c r="A28" s="3277"/>
      <c r="B28" s="3277"/>
      <c r="C28" s="884" t="s">
        <v>578</v>
      </c>
      <c r="D28" s="885"/>
      <c r="E28" s="883">
        <v>0.9</v>
      </c>
      <c r="F28" s="886" t="s">
        <v>579</v>
      </c>
      <c r="G28" s="887"/>
      <c r="H28" s="879"/>
      <c r="I28" s="879"/>
    </row>
    <row r="29" spans="1:9" s="888" customFormat="1" ht="19.5" customHeight="1">
      <c r="A29" s="3277"/>
      <c r="B29" s="3277"/>
      <c r="C29" s="884" t="s">
        <v>580</v>
      </c>
      <c r="D29" s="885"/>
      <c r="E29" s="883">
        <v>0.9</v>
      </c>
      <c r="F29" s="886" t="s">
        <v>581</v>
      </c>
      <c r="G29" s="887"/>
      <c r="H29" s="879"/>
      <c r="I29" s="879"/>
    </row>
    <row r="30" spans="1:9" s="888" customFormat="1" ht="19.5" customHeight="1">
      <c r="A30" s="3277"/>
      <c r="B30" s="3277"/>
      <c r="C30" s="884" t="s">
        <v>582</v>
      </c>
      <c r="D30" s="885"/>
      <c r="E30" s="883">
        <v>0.9</v>
      </c>
      <c r="F30" s="886" t="s">
        <v>583</v>
      </c>
      <c r="G30" s="887"/>
      <c r="H30" s="879"/>
      <c r="I30" s="879"/>
    </row>
    <row r="31" spans="1:9" s="888" customFormat="1" ht="19.5" customHeight="1">
      <c r="A31" s="3277"/>
      <c r="B31" s="3277"/>
      <c r="C31" s="884" t="s">
        <v>584</v>
      </c>
      <c r="D31" s="885"/>
      <c r="E31" s="883">
        <v>0.8</v>
      </c>
      <c r="F31" s="886" t="s">
        <v>585</v>
      </c>
      <c r="G31" s="887"/>
      <c r="H31" s="879"/>
      <c r="I31" s="879"/>
    </row>
    <row r="32" spans="1:9" s="888" customFormat="1" ht="19.5" customHeight="1">
      <c r="A32" s="3277"/>
      <c r="B32" s="3277"/>
      <c r="C32" s="884" t="s">
        <v>586</v>
      </c>
      <c r="D32" s="885"/>
      <c r="E32" s="883">
        <v>0.8</v>
      </c>
      <c r="F32" s="886" t="s">
        <v>587</v>
      </c>
      <c r="G32" s="887"/>
      <c r="H32" s="879"/>
      <c r="I32" s="879"/>
    </row>
    <row r="33" spans="1:9" s="888" customFormat="1" ht="19.5" customHeight="1">
      <c r="A33" s="3277" t="s">
        <v>185</v>
      </c>
      <c r="B33" s="883" t="s">
        <v>560</v>
      </c>
      <c r="C33" s="884" t="s">
        <v>588</v>
      </c>
      <c r="D33" s="885"/>
      <c r="E33" s="883">
        <v>1</v>
      </c>
      <c r="F33" s="886" t="s">
        <v>589</v>
      </c>
      <c r="G33" s="887"/>
      <c r="H33" s="879"/>
      <c r="I33" s="879"/>
    </row>
    <row r="34" spans="1:9" s="888" customFormat="1" ht="19.5" customHeight="1">
      <c r="A34" s="3277"/>
      <c r="B34" s="883" t="s">
        <v>563</v>
      </c>
      <c r="C34" s="884" t="s">
        <v>590</v>
      </c>
      <c r="D34" s="885"/>
      <c r="E34" s="883">
        <v>1.5</v>
      </c>
      <c r="F34" s="886" t="s">
        <v>591</v>
      </c>
      <c r="G34" s="887"/>
      <c r="H34" s="879"/>
      <c r="I34" s="879"/>
    </row>
    <row r="35" spans="1:9" s="888" customFormat="1" ht="19.5" customHeight="1">
      <c r="A35" s="3277" t="s">
        <v>186</v>
      </c>
      <c r="B35" s="883" t="s">
        <v>560</v>
      </c>
      <c r="C35" s="884" t="s">
        <v>592</v>
      </c>
      <c r="D35" s="885"/>
      <c r="E35" s="883">
        <v>1</v>
      </c>
      <c r="F35" s="886" t="s">
        <v>593</v>
      </c>
      <c r="G35" s="887"/>
      <c r="H35" s="879"/>
      <c r="I35" s="879"/>
    </row>
    <row r="36" spans="1:9" s="888" customFormat="1" ht="19.5" customHeight="1">
      <c r="A36" s="3277"/>
      <c r="B36" s="3277" t="s">
        <v>563</v>
      </c>
      <c r="C36" s="884" t="s">
        <v>594</v>
      </c>
      <c r="D36" s="885"/>
      <c r="E36" s="883">
        <v>1</v>
      </c>
      <c r="F36" s="886" t="s">
        <v>595</v>
      </c>
      <c r="G36" s="887"/>
      <c r="H36" s="879"/>
      <c r="I36" s="879"/>
    </row>
    <row r="37" spans="1:9" s="888" customFormat="1" ht="19.5" customHeight="1">
      <c r="A37" s="3277"/>
      <c r="B37" s="3277"/>
      <c r="C37" s="884" t="s">
        <v>596</v>
      </c>
      <c r="D37" s="885"/>
      <c r="E37" s="883">
        <v>1.5</v>
      </c>
      <c r="F37" s="886" t="s">
        <v>597</v>
      </c>
      <c r="G37" s="887"/>
      <c r="H37" s="879"/>
      <c r="I37" s="879"/>
    </row>
    <row r="38" spans="1:9" s="888" customFormat="1" ht="19.5" customHeight="1">
      <c r="A38" s="3277"/>
      <c r="B38" s="3277"/>
      <c r="C38" s="884" t="s">
        <v>598</v>
      </c>
      <c r="D38" s="885"/>
      <c r="E38" s="883">
        <v>1</v>
      </c>
      <c r="F38" s="886" t="s">
        <v>599</v>
      </c>
      <c r="G38" s="887"/>
      <c r="H38" s="879"/>
      <c r="I38" s="879"/>
    </row>
    <row r="39" spans="1:9" s="888" customFormat="1" ht="19.5" customHeight="1">
      <c r="A39" s="3277"/>
      <c r="B39" s="3277"/>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77" t="s">
        <v>614</v>
      </c>
      <c r="C61" s="819" t="s">
        <v>615</v>
      </c>
      <c r="D61" s="819" t="s">
        <v>616</v>
      </c>
      <c r="E61" s="896">
        <v>0.5</v>
      </c>
      <c r="F61" s="883">
        <v>80</v>
      </c>
    </row>
    <row r="62" spans="1:8" s="879" customFormat="1" ht="24">
      <c r="A62" s="883">
        <v>2</v>
      </c>
      <c r="B62" s="3277"/>
      <c r="C62" s="819" t="s">
        <v>617</v>
      </c>
      <c r="D62" s="819" t="s">
        <v>618</v>
      </c>
      <c r="E62" s="896">
        <v>0.5</v>
      </c>
      <c r="F62" s="883">
        <v>80</v>
      </c>
    </row>
    <row r="63" spans="1:8" s="879" customFormat="1" ht="36">
      <c r="A63" s="883">
        <v>3</v>
      </c>
      <c r="B63" s="3277"/>
      <c r="C63" s="819" t="s">
        <v>619</v>
      </c>
      <c r="D63" s="819" t="s">
        <v>620</v>
      </c>
      <c r="E63" s="896">
        <v>0.5</v>
      </c>
      <c r="F63" s="883">
        <v>80</v>
      </c>
    </row>
    <row r="64" spans="1:8" s="879" customFormat="1" ht="36">
      <c r="A64" s="883">
        <v>4</v>
      </c>
      <c r="B64" s="3277"/>
      <c r="C64" s="819" t="s">
        <v>621</v>
      </c>
      <c r="D64" s="819" t="s">
        <v>622</v>
      </c>
      <c r="E64" s="896">
        <v>0.4</v>
      </c>
      <c r="F64" s="883">
        <v>60</v>
      </c>
    </row>
    <row r="65" spans="1:6" s="879" customFormat="1" ht="36">
      <c r="A65" s="883">
        <v>5</v>
      </c>
      <c r="B65" s="3277"/>
      <c r="C65" s="819" t="s">
        <v>623</v>
      </c>
      <c r="D65" s="819" t="s">
        <v>624</v>
      </c>
      <c r="E65" s="896">
        <v>0.2</v>
      </c>
      <c r="F65" s="883">
        <v>30</v>
      </c>
    </row>
    <row r="66" spans="1:6" s="879" customFormat="1" ht="36">
      <c r="A66" s="883">
        <v>6</v>
      </c>
      <c r="B66" s="3277"/>
      <c r="C66" s="819" t="s">
        <v>625</v>
      </c>
      <c r="D66" s="819" t="s">
        <v>626</v>
      </c>
      <c r="E66" s="896">
        <v>0.3</v>
      </c>
      <c r="F66" s="883">
        <v>50</v>
      </c>
    </row>
    <row r="67" spans="1:6" s="879" customFormat="1" ht="36">
      <c r="A67" s="883">
        <v>7</v>
      </c>
      <c r="B67" s="3277"/>
      <c r="C67" s="819" t="s">
        <v>627</v>
      </c>
      <c r="D67" s="819" t="s">
        <v>628</v>
      </c>
      <c r="E67" s="896">
        <v>0.2</v>
      </c>
      <c r="F67" s="883">
        <v>30</v>
      </c>
    </row>
    <row r="68" spans="1:6" s="879" customFormat="1" ht="36">
      <c r="A68" s="883">
        <v>8</v>
      </c>
      <c r="B68" s="3277"/>
      <c r="C68" s="819" t="s">
        <v>629</v>
      </c>
      <c r="D68" s="819" t="s">
        <v>630</v>
      </c>
      <c r="E68" s="896">
        <v>0.2</v>
      </c>
      <c r="F68" s="883">
        <v>30</v>
      </c>
    </row>
    <row r="69" spans="1:6" s="879" customFormat="1" ht="36">
      <c r="A69" s="883">
        <v>9</v>
      </c>
      <c r="B69" s="3277"/>
      <c r="C69" s="819" t="s">
        <v>631</v>
      </c>
      <c r="D69" s="819" t="s">
        <v>632</v>
      </c>
      <c r="E69" s="896">
        <v>0.2</v>
      </c>
      <c r="F69" s="883">
        <v>30</v>
      </c>
    </row>
    <row r="70" spans="1:6" s="879" customFormat="1" ht="48">
      <c r="A70" s="883">
        <v>10</v>
      </c>
      <c r="B70" s="3277"/>
      <c r="C70" s="819" t="s">
        <v>633</v>
      </c>
      <c r="D70" s="819" t="s">
        <v>634</v>
      </c>
      <c r="E70" s="896">
        <v>0.2</v>
      </c>
      <c r="F70" s="883">
        <v>30</v>
      </c>
    </row>
    <row r="71" spans="1:6" s="879" customFormat="1" ht="48">
      <c r="A71" s="883">
        <v>11</v>
      </c>
      <c r="B71" s="3277"/>
      <c r="C71" s="819" t="s">
        <v>635</v>
      </c>
      <c r="D71" s="819" t="s">
        <v>636</v>
      </c>
      <c r="E71" s="896">
        <v>0.2</v>
      </c>
      <c r="F71" s="883">
        <v>30</v>
      </c>
    </row>
    <row r="72" spans="1:6" s="879" customFormat="1" ht="36">
      <c r="A72" s="883">
        <v>12</v>
      </c>
      <c r="B72" s="3277"/>
      <c r="C72" s="819" t="s">
        <v>637</v>
      </c>
      <c r="D72" s="819" t="s">
        <v>638</v>
      </c>
      <c r="E72" s="896">
        <v>0.5</v>
      </c>
      <c r="F72" s="883">
        <v>80</v>
      </c>
    </row>
    <row r="73" spans="1:6" s="879" customFormat="1" ht="24">
      <c r="A73" s="883">
        <v>13</v>
      </c>
      <c r="B73" s="3277"/>
      <c r="C73" s="819" t="s">
        <v>639</v>
      </c>
      <c r="D73" s="819" t="s">
        <v>640</v>
      </c>
      <c r="E73" s="896">
        <v>0.4</v>
      </c>
      <c r="F73" s="883">
        <v>60</v>
      </c>
    </row>
    <row r="74" spans="1:6" s="879" customFormat="1" ht="24">
      <c r="A74" s="883">
        <v>14</v>
      </c>
      <c r="B74" s="3277"/>
      <c r="C74" s="819" t="s">
        <v>641</v>
      </c>
      <c r="D74" s="819" t="s">
        <v>642</v>
      </c>
      <c r="E74" s="896">
        <v>0.2</v>
      </c>
      <c r="F74" s="883">
        <v>30</v>
      </c>
    </row>
    <row r="75" spans="1:6" s="879" customFormat="1" ht="24">
      <c r="A75" s="883">
        <v>15</v>
      </c>
      <c r="B75" s="3277"/>
      <c r="C75" s="819" t="s">
        <v>643</v>
      </c>
      <c r="D75" s="819" t="s">
        <v>644</v>
      </c>
      <c r="E75" s="896">
        <v>0.2</v>
      </c>
      <c r="F75" s="883">
        <v>30</v>
      </c>
    </row>
    <row r="76" spans="1:6" s="879" customFormat="1" ht="24">
      <c r="A76" s="883">
        <v>16</v>
      </c>
      <c r="B76" s="3277" t="s">
        <v>645</v>
      </c>
      <c r="C76" s="819" t="s">
        <v>646</v>
      </c>
      <c r="D76" s="819" t="s">
        <v>647</v>
      </c>
      <c r="E76" s="896">
        <v>0.5</v>
      </c>
      <c r="F76" s="883">
        <v>80</v>
      </c>
    </row>
    <row r="77" spans="1:6" s="879" customFormat="1" ht="24">
      <c r="A77" s="883">
        <v>17</v>
      </c>
      <c r="B77" s="3277"/>
      <c r="C77" s="819" t="s">
        <v>648</v>
      </c>
      <c r="D77" s="819" t="s">
        <v>649</v>
      </c>
      <c r="E77" s="896">
        <v>0.5</v>
      </c>
      <c r="F77" s="883">
        <v>80</v>
      </c>
    </row>
    <row r="78" spans="1:6" s="879" customFormat="1" ht="24">
      <c r="A78" s="883">
        <v>18</v>
      </c>
      <c r="B78" s="3277"/>
      <c r="C78" s="819" t="s">
        <v>650</v>
      </c>
      <c r="D78" s="819" t="s">
        <v>651</v>
      </c>
      <c r="E78" s="896">
        <v>0.2</v>
      </c>
      <c r="F78" s="883">
        <v>30</v>
      </c>
    </row>
    <row r="79" spans="1:6" s="879" customFormat="1" ht="24">
      <c r="A79" s="883">
        <v>19</v>
      </c>
      <c r="B79" s="3277"/>
      <c r="C79" s="819" t="s">
        <v>652</v>
      </c>
      <c r="D79" s="819" t="s">
        <v>653</v>
      </c>
      <c r="E79" s="896">
        <v>0.5</v>
      </c>
      <c r="F79" s="883">
        <v>80</v>
      </c>
    </row>
    <row r="80" spans="1:6" s="879" customFormat="1" ht="36">
      <c r="A80" s="883">
        <v>20</v>
      </c>
      <c r="B80" s="3277"/>
      <c r="C80" s="819" t="s">
        <v>654</v>
      </c>
      <c r="D80" s="819" t="s">
        <v>655</v>
      </c>
      <c r="E80" s="896">
        <v>0.2</v>
      </c>
      <c r="F80" s="883">
        <v>30</v>
      </c>
    </row>
    <row r="81" spans="1:6" s="879" customFormat="1" ht="36">
      <c r="A81" s="883">
        <v>21</v>
      </c>
      <c r="B81" s="3277"/>
      <c r="C81" s="819" t="s">
        <v>656</v>
      </c>
      <c r="D81" s="819" t="s">
        <v>657</v>
      </c>
      <c r="E81" s="896">
        <v>0.2</v>
      </c>
      <c r="F81" s="883">
        <v>30</v>
      </c>
    </row>
    <row r="82" spans="1:6" s="879" customFormat="1" ht="48">
      <c r="A82" s="883">
        <v>22</v>
      </c>
      <c r="B82" s="3277"/>
      <c r="C82" s="819" t="s">
        <v>658</v>
      </c>
      <c r="D82" s="819" t="s">
        <v>659</v>
      </c>
      <c r="E82" s="896">
        <v>0.2</v>
      </c>
      <c r="F82" s="883">
        <v>30</v>
      </c>
    </row>
    <row r="83" spans="1:6" s="879" customFormat="1" ht="48">
      <c r="A83" s="883">
        <v>23</v>
      </c>
      <c r="B83" s="3277"/>
      <c r="C83" s="819" t="s">
        <v>660</v>
      </c>
      <c r="D83" s="819" t="s">
        <v>661</v>
      </c>
      <c r="E83" s="896">
        <v>0.2</v>
      </c>
      <c r="F83" s="883">
        <v>30</v>
      </c>
    </row>
    <row r="84" spans="1:6" s="879" customFormat="1" ht="36">
      <c r="A84" s="883">
        <v>24</v>
      </c>
      <c r="B84" s="3277"/>
      <c r="C84" s="819" t="s">
        <v>662</v>
      </c>
      <c r="D84" s="819" t="s">
        <v>663</v>
      </c>
      <c r="E84" s="896">
        <v>0.2</v>
      </c>
      <c r="F84" s="883">
        <v>30</v>
      </c>
    </row>
    <row r="85" spans="1:6" s="879" customFormat="1" ht="36">
      <c r="A85" s="883">
        <v>25</v>
      </c>
      <c r="B85" s="3277"/>
      <c r="C85" s="819" t="s">
        <v>664</v>
      </c>
      <c r="D85" s="819" t="s">
        <v>665</v>
      </c>
      <c r="E85" s="896">
        <v>0.5</v>
      </c>
      <c r="F85" s="883">
        <v>80</v>
      </c>
    </row>
    <row r="86" spans="1:6" s="879" customFormat="1" ht="36">
      <c r="A86" s="883">
        <v>26</v>
      </c>
      <c r="B86" s="3277"/>
      <c r="C86" s="819" t="s">
        <v>666</v>
      </c>
      <c r="D86" s="819" t="s">
        <v>667</v>
      </c>
      <c r="E86" s="896">
        <v>0.2</v>
      </c>
      <c r="F86" s="883">
        <v>30</v>
      </c>
    </row>
    <row r="87" spans="1:6" s="879" customFormat="1" ht="36">
      <c r="A87" s="883">
        <v>27</v>
      </c>
      <c r="B87" s="3277"/>
      <c r="C87" s="819" t="s">
        <v>668</v>
      </c>
      <c r="D87" s="819" t="s">
        <v>669</v>
      </c>
      <c r="E87" s="896">
        <v>0.2</v>
      </c>
      <c r="F87" s="883">
        <v>30</v>
      </c>
    </row>
    <row r="88" spans="1:6" s="879" customFormat="1" ht="36">
      <c r="A88" s="883">
        <v>28</v>
      </c>
      <c r="B88" s="3277"/>
      <c r="C88" s="819" t="s">
        <v>670</v>
      </c>
      <c r="D88" s="819" t="s">
        <v>671</v>
      </c>
      <c r="E88" s="896">
        <v>0.2</v>
      </c>
      <c r="F88" s="883">
        <v>30</v>
      </c>
    </row>
    <row r="89" spans="1:6" s="879" customFormat="1" ht="24">
      <c r="A89" s="883">
        <v>29</v>
      </c>
      <c r="B89" s="3277"/>
      <c r="C89" s="819" t="s">
        <v>672</v>
      </c>
      <c r="D89" s="819" t="s">
        <v>673</v>
      </c>
      <c r="E89" s="896">
        <v>0.2</v>
      </c>
      <c r="F89" s="883">
        <v>30</v>
      </c>
    </row>
    <row r="90" spans="1:6" s="879" customFormat="1" ht="24">
      <c r="A90" s="883">
        <v>30</v>
      </c>
      <c r="B90" s="3277"/>
      <c r="C90" s="819" t="s">
        <v>674</v>
      </c>
      <c r="D90" s="819" t="s">
        <v>675</v>
      </c>
      <c r="E90" s="896">
        <v>0.2</v>
      </c>
      <c r="F90" s="883">
        <v>30</v>
      </c>
    </row>
    <row r="91" spans="1:6" s="879" customFormat="1" ht="36">
      <c r="A91" s="883">
        <v>31</v>
      </c>
      <c r="B91" s="3277"/>
      <c r="C91" s="819" t="s">
        <v>676</v>
      </c>
      <c r="D91" s="819" t="s">
        <v>677</v>
      </c>
      <c r="E91" s="896">
        <v>0.2</v>
      </c>
      <c r="F91" s="883">
        <v>30</v>
      </c>
    </row>
    <row r="92" spans="1:6" s="879" customFormat="1" ht="24">
      <c r="A92" s="883">
        <v>32</v>
      </c>
      <c r="B92" s="3277" t="s">
        <v>678</v>
      </c>
      <c r="C92" s="883" t="s">
        <v>679</v>
      </c>
      <c r="D92" s="819" t="s">
        <v>680</v>
      </c>
      <c r="E92" s="896">
        <v>0.2</v>
      </c>
      <c r="F92" s="883">
        <v>30</v>
      </c>
    </row>
    <row r="93" spans="1:6" s="879" customFormat="1" ht="36">
      <c r="A93" s="883">
        <v>33</v>
      </c>
      <c r="B93" s="3277"/>
      <c r="C93" s="883" t="s">
        <v>681</v>
      </c>
      <c r="D93" s="819" t="s">
        <v>682</v>
      </c>
      <c r="E93" s="896">
        <v>0.2</v>
      </c>
      <c r="F93" s="883">
        <v>30</v>
      </c>
    </row>
    <row r="94" spans="1:6" s="879" customFormat="1" ht="48">
      <c r="A94" s="883">
        <v>34</v>
      </c>
      <c r="B94" s="3277"/>
      <c r="C94" s="883" t="s">
        <v>683</v>
      </c>
      <c r="D94" s="819" t="s">
        <v>684</v>
      </c>
      <c r="E94" s="896">
        <v>0.2</v>
      </c>
      <c r="F94" s="883">
        <v>30</v>
      </c>
    </row>
    <row r="95" spans="1:6" s="879" customFormat="1" ht="36">
      <c r="A95" s="883">
        <v>35</v>
      </c>
      <c r="B95" s="3277"/>
      <c r="C95" s="883" t="s">
        <v>685</v>
      </c>
      <c r="D95" s="819" t="s">
        <v>686</v>
      </c>
      <c r="E95" s="896">
        <v>0.2</v>
      </c>
      <c r="F95" s="883">
        <v>30</v>
      </c>
    </row>
    <row r="96" spans="1:6" s="879" customFormat="1" ht="48">
      <c r="A96" s="883">
        <v>36</v>
      </c>
      <c r="B96" s="3277"/>
      <c r="C96" s="819" t="s">
        <v>687</v>
      </c>
      <c r="D96" s="819" t="s">
        <v>688</v>
      </c>
      <c r="E96" s="896">
        <v>0.2</v>
      </c>
      <c r="F96" s="883">
        <v>30</v>
      </c>
    </row>
    <row r="97" spans="1:6" s="879" customFormat="1" ht="36">
      <c r="A97" s="883">
        <v>37</v>
      </c>
      <c r="B97" s="3277"/>
      <c r="C97" s="883" t="s">
        <v>689</v>
      </c>
      <c r="D97" s="819" t="s">
        <v>690</v>
      </c>
      <c r="E97" s="896">
        <v>0.2</v>
      </c>
      <c r="F97" s="883">
        <v>30</v>
      </c>
    </row>
    <row r="98" spans="1:6" s="879" customFormat="1" ht="36">
      <c r="A98" s="883">
        <v>38</v>
      </c>
      <c r="B98" s="3277"/>
      <c r="C98" s="883" t="s">
        <v>691</v>
      </c>
      <c r="D98" s="819" t="s">
        <v>692</v>
      </c>
      <c r="E98" s="896">
        <v>0.2</v>
      </c>
      <c r="F98" s="883">
        <v>30</v>
      </c>
    </row>
    <row r="99" spans="1:6" s="879" customFormat="1" ht="36">
      <c r="A99" s="883">
        <v>39</v>
      </c>
      <c r="B99" s="3277" t="s">
        <v>693</v>
      </c>
      <c r="C99" s="883" t="s">
        <v>694</v>
      </c>
      <c r="D99" s="819" t="s">
        <v>695</v>
      </c>
      <c r="E99" s="896">
        <v>0.3</v>
      </c>
      <c r="F99" s="883">
        <v>50</v>
      </c>
    </row>
    <row r="100" spans="1:6" s="879" customFormat="1" ht="24">
      <c r="A100" s="883">
        <v>40</v>
      </c>
      <c r="B100" s="3277"/>
      <c r="C100" s="883" t="s">
        <v>696</v>
      </c>
      <c r="D100" s="819" t="s">
        <v>697</v>
      </c>
      <c r="E100" s="896">
        <v>0.2</v>
      </c>
      <c r="F100" s="883">
        <v>30</v>
      </c>
    </row>
    <row r="101" spans="1:6" s="879" customFormat="1" ht="36">
      <c r="A101" s="883">
        <v>41</v>
      </c>
      <c r="B101" s="3277"/>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77" t="s">
        <v>708</v>
      </c>
      <c r="C105" s="883" t="s">
        <v>709</v>
      </c>
      <c r="D105" s="819" t="s">
        <v>710</v>
      </c>
      <c r="E105" s="896">
        <v>0.2</v>
      </c>
      <c r="F105" s="883">
        <v>30</v>
      </c>
    </row>
    <row r="106" spans="1:6" s="879" customFormat="1" ht="36">
      <c r="A106" s="883">
        <v>46</v>
      </c>
      <c r="B106" s="3277"/>
      <c r="C106" s="883" t="s">
        <v>711</v>
      </c>
      <c r="D106" s="819" t="s">
        <v>712</v>
      </c>
      <c r="E106" s="896">
        <v>0.2</v>
      </c>
      <c r="F106" s="883">
        <v>30</v>
      </c>
    </row>
    <row r="107" spans="1:6" s="879" customFormat="1" ht="36">
      <c r="A107" s="883">
        <v>47</v>
      </c>
      <c r="B107" s="3277" t="s">
        <v>713</v>
      </c>
      <c r="C107" s="883" t="s">
        <v>714</v>
      </c>
      <c r="D107" s="819" t="s">
        <v>715</v>
      </c>
      <c r="E107" s="896">
        <v>0.3</v>
      </c>
      <c r="F107" s="883">
        <v>50</v>
      </c>
    </row>
    <row r="108" spans="1:6" s="879" customFormat="1" ht="36">
      <c r="A108" s="883">
        <v>48</v>
      </c>
      <c r="B108" s="3277"/>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77" t="s">
        <v>724</v>
      </c>
      <c r="C111" s="883" t="s">
        <v>725</v>
      </c>
      <c r="D111" s="819" t="s">
        <v>726</v>
      </c>
      <c r="E111" s="896">
        <v>0.2</v>
      </c>
      <c r="F111" s="883">
        <v>30</v>
      </c>
    </row>
    <row r="112" spans="1:6" s="879" customFormat="1" ht="24">
      <c r="A112" s="883">
        <v>52</v>
      </c>
      <c r="B112" s="3277"/>
      <c r="C112" s="883" t="s">
        <v>727</v>
      </c>
      <c r="D112" s="819" t="s">
        <v>728</v>
      </c>
      <c r="E112" s="896">
        <v>0.2</v>
      </c>
      <c r="F112" s="883">
        <v>30</v>
      </c>
    </row>
    <row r="113" spans="1:6" s="879" customFormat="1" ht="24">
      <c r="A113" s="883">
        <v>53</v>
      </c>
      <c r="B113" s="3277"/>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77" t="s">
        <v>737</v>
      </c>
      <c r="C116" s="883" t="s">
        <v>738</v>
      </c>
      <c r="D116" s="819" t="s">
        <v>739</v>
      </c>
      <c r="E116" s="896">
        <v>0.2</v>
      </c>
      <c r="F116" s="883">
        <v>30</v>
      </c>
    </row>
    <row r="117" spans="1:6" ht="36">
      <c r="A117" s="883">
        <v>57</v>
      </c>
      <c r="B117" s="3277"/>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3008</v>
      </c>
    </row>
    <row r="2" spans="1:5" ht="15.75">
      <c r="A2" s="2911" t="s">
        <v>3000</v>
      </c>
      <c r="B2" s="2912" t="e">
        <f ca="1">SUMIF(B6:B13,"&lt;&gt;#ref!",B6:B13)</f>
        <v>#DIV/0!</v>
      </c>
      <c r="C2" s="2911" t="s">
        <v>3001</v>
      </c>
      <c r="D2" s="2911" t="s">
        <v>3002</v>
      </c>
      <c r="E2" s="2912" t="e">
        <f ca="1">SUM(E6:E13)</f>
        <v>#REF!</v>
      </c>
    </row>
    <row r="3" spans="1:5" ht="15.75">
      <c r="A3" s="2911" t="s">
        <v>3003</v>
      </c>
      <c r="B3" s="2912" t="e">
        <f ca="1">ROUND(B2*10000/E2,0)</f>
        <v>#DIV/0!</v>
      </c>
      <c r="C3" s="2911" t="s">
        <v>3009</v>
      </c>
      <c r="D3" s="2913"/>
      <c r="E3" s="2913"/>
    </row>
    <row r="4" spans="1:5" ht="15.75">
      <c r="A4" s="2914"/>
      <c r="B4" s="2913"/>
      <c r="C4" s="2913"/>
      <c r="D4" s="2913"/>
      <c r="E4" s="2913"/>
    </row>
    <row r="5" spans="1:5" ht="28.5">
      <c r="A5" s="2915" t="s">
        <v>3004</v>
      </c>
      <c r="B5" s="2911" t="s">
        <v>3005</v>
      </c>
      <c r="C5" s="2912"/>
      <c r="D5" s="2913"/>
      <c r="E5" s="2911" t="s">
        <v>3006</v>
      </c>
    </row>
    <row r="6" spans="1:5" ht="15.75">
      <c r="A6" s="2916" t="s">
        <v>3007</v>
      </c>
      <c r="B6" s="2912" t="e">
        <f ca="1">SUMIF(INDIRECT("'"&amp;A6&amp;"'"&amp;"!A:A"),"总价",INDIRECT("'"&amp;A6&amp;"'"&amp;"!B:B"))</f>
        <v>#DIV/0!</v>
      </c>
      <c r="C6" s="2911" t="s">
        <v>3001</v>
      </c>
      <c r="D6" s="2913"/>
      <c r="E6" s="2578">
        <f ca="1">SUMIF(INDIRECT("'"&amp;A6&amp;"'"&amp;"!C:C"),"建筑面积",INDIRECT("'"&amp;A6&amp;"'"&amp;"!D:D"))</f>
        <v>0</v>
      </c>
    </row>
    <row r="7" spans="1:5" ht="15.75">
      <c r="A7" s="2916"/>
      <c r="B7" s="2912" t="e">
        <f ca="1">SUMIF(INDIRECT("'"&amp;A7&amp;"'"&amp;"!A:A"),"总价",INDIRECT("'"&amp;A7&amp;"'"&amp;"!B:B"))</f>
        <v>#REF!</v>
      </c>
      <c r="C7" s="2911" t="s">
        <v>3001</v>
      </c>
      <c r="D7" s="2913"/>
      <c r="E7" s="2578" t="e">
        <f t="shared" ref="E7:E13" ca="1" si="0">SUMIF(INDIRECT("'"&amp;A7&amp;"'"&amp;"!C:C"),"建筑面积",INDIRECT("'"&amp;A7&amp;"'"&amp;"!D:D"))</f>
        <v>#REF!</v>
      </c>
    </row>
    <row r="8" spans="1:5" ht="15.75">
      <c r="A8" s="2916"/>
      <c r="B8" s="2912" t="e">
        <f t="shared" ref="B8:B13" ca="1" si="1">SUMIF(INDIRECT("'"&amp;A8&amp;"'"&amp;"!A:A"),"总价",INDIRECT("'"&amp;A8&amp;"'"&amp;"!B:B"))</f>
        <v>#REF!</v>
      </c>
      <c r="C8" s="2911" t="s">
        <v>3001</v>
      </c>
      <c r="D8" s="2913"/>
      <c r="E8" s="2578" t="e">
        <f t="shared" ca="1" si="0"/>
        <v>#REF!</v>
      </c>
    </row>
    <row r="9" spans="1:5" ht="15.75">
      <c r="A9" s="2916"/>
      <c r="B9" s="2912" t="e">
        <f t="shared" ca="1" si="1"/>
        <v>#REF!</v>
      </c>
      <c r="C9" s="2911" t="s">
        <v>3001</v>
      </c>
      <c r="D9" s="2913"/>
      <c r="E9" s="2578" t="e">
        <f t="shared" ca="1" si="0"/>
        <v>#REF!</v>
      </c>
    </row>
    <row r="10" spans="1:5" ht="15.75">
      <c r="A10" s="2916"/>
      <c r="B10" s="2912" t="e">
        <f t="shared" ca="1" si="1"/>
        <v>#REF!</v>
      </c>
      <c r="C10" s="2911" t="s">
        <v>3001</v>
      </c>
      <c r="D10" s="2913"/>
      <c r="E10" s="2578" t="e">
        <f t="shared" ca="1" si="0"/>
        <v>#REF!</v>
      </c>
    </row>
    <row r="11" spans="1:5" ht="15.75">
      <c r="A11" s="2916"/>
      <c r="B11" s="2912" t="e">
        <f t="shared" ca="1" si="1"/>
        <v>#REF!</v>
      </c>
      <c r="C11" s="2911" t="s">
        <v>3001</v>
      </c>
      <c r="D11" s="2913"/>
      <c r="E11" s="2578" t="e">
        <f t="shared" ca="1" si="0"/>
        <v>#REF!</v>
      </c>
    </row>
    <row r="12" spans="1:5" ht="15.75">
      <c r="A12" s="2916"/>
      <c r="B12" s="2912" t="e">
        <f t="shared" ca="1" si="1"/>
        <v>#REF!</v>
      </c>
      <c r="C12" s="2911" t="s">
        <v>3001</v>
      </c>
      <c r="D12" s="2913"/>
      <c r="E12" s="2578" t="e">
        <f t="shared" ca="1" si="0"/>
        <v>#REF!</v>
      </c>
    </row>
    <row r="13" spans="1:5" ht="15.75">
      <c r="A13" s="2916"/>
      <c r="B13" s="2912" t="e">
        <f t="shared" ca="1" si="1"/>
        <v>#REF!</v>
      </c>
      <c r="C13" s="2911" t="s">
        <v>3001</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83" t="s">
        <v>1150</v>
      </c>
      <c r="C1" s="3283"/>
      <c r="D1" s="3283"/>
      <c r="E1" s="3283"/>
      <c r="F1" s="3283"/>
      <c r="G1" s="3279" t="s">
        <v>1151</v>
      </c>
      <c r="H1" s="3279"/>
      <c r="I1" s="3279"/>
      <c r="J1" s="3279"/>
      <c r="K1" s="3279"/>
      <c r="L1" s="3279"/>
      <c r="N1" s="3279" t="s">
        <v>1152</v>
      </c>
      <c r="O1" s="3279"/>
      <c r="P1" s="3279"/>
      <c r="Q1" s="3279"/>
      <c r="R1" s="1449"/>
      <c r="S1" s="3279" t="s">
        <v>1153</v>
      </c>
      <c r="T1" s="3279"/>
      <c r="U1" s="3279"/>
      <c r="V1" s="3279"/>
      <c r="X1" s="3278" t="s">
        <v>1154</v>
      </c>
      <c r="Y1" s="3279"/>
      <c r="Z1" s="3279"/>
      <c r="AA1" s="3279"/>
      <c r="AB1" s="3279"/>
      <c r="AD1" s="3278" t="s">
        <v>1155</v>
      </c>
      <c r="AE1" s="3279"/>
      <c r="AF1" s="3279"/>
      <c r="AG1" s="3279"/>
      <c r="AH1" s="3279"/>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5"/>
      <c r="J3" s="2925"/>
      <c r="K3" s="2925"/>
      <c r="L3" s="2925"/>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3042</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5">
        <f>ROUND(AVERAGE(I5:I20),2)</f>
        <v>2.4900000000000002</v>
      </c>
      <c r="J4" s="2925">
        <f t="shared" ref="J4:L4" si="7">ROUND(AVERAGE(J5:J20),2)</f>
        <v>1.64</v>
      </c>
      <c r="K4" s="2925">
        <f t="shared" si="7"/>
        <v>2.78</v>
      </c>
      <c r="L4" s="2925">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4">
        <v>4</v>
      </c>
      <c r="I5" s="2926">
        <f>ROUND(AVERAGE(I6:I20),2)</f>
        <v>2.4900000000000002</v>
      </c>
      <c r="J5" s="2926">
        <f>ROUND(AVERAGE(J6:J20),2)</f>
        <v>1.64</v>
      </c>
      <c r="K5" s="2926">
        <f>ROUND(AVERAGE(K6:K20),2)</f>
        <v>2.78</v>
      </c>
      <c r="L5" s="2926">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3041</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4"/>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3"/>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6"/>
      <c r="AD7" s="1792">
        <f>ROUND(AVERAGE(I7:I$20)/100,4)</f>
        <v>2.46E-2</v>
      </c>
      <c r="AE7" s="1792">
        <f>ROUND(AVERAGE(J7:J$20)/100,4)</f>
        <v>1.6E-2</v>
      </c>
      <c r="AF7" s="1792">
        <f t="shared" si="1"/>
        <v>1.6E-2</v>
      </c>
      <c r="AG7" s="1792">
        <f>ROUND(AVERAGE(K7:K$20)/100,4)</f>
        <v>2.75E-2</v>
      </c>
      <c r="AH7" s="1792">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4"/>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4" t="s">
        <v>154</v>
      </c>
      <c r="B9" s="1473">
        <v>392</v>
      </c>
      <c r="C9" s="1473">
        <v>302</v>
      </c>
      <c r="D9" s="1473">
        <f>C9</f>
        <v>302</v>
      </c>
      <c r="E9" s="1473">
        <v>553</v>
      </c>
      <c r="F9" s="1474">
        <v>266</v>
      </c>
      <c r="G9" s="3284">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81"/>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81"/>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82"/>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80">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81"/>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81"/>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82"/>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80">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81"/>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81"/>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82"/>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85">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86"/>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86"/>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87"/>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80">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81"/>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81"/>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82"/>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80">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81">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81">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82">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80">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81">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81">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82">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80">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81">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81">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82">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80">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81">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81">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82">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80">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81">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81">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82">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80">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81">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81">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82">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80">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81">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81">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82">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80">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81">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81">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82">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80">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81">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81">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82">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80">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81">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81">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82">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4"/>
      <c r="C2" s="2974"/>
      <c r="D2" s="2974"/>
      <c r="E2" s="2974"/>
    </row>
    <row r="3" spans="1:5" ht="18">
      <c r="A3" s="2975" t="str">
        <f>IF(项目基本情况!B9="房地产市场价值","估价结果一览表（市场价值不需“结果表-1”）","估价结果一览表")</f>
        <v>估价结果一览表</v>
      </c>
      <c r="B3" s="2975"/>
      <c r="C3" s="2975"/>
      <c r="D3" s="2975"/>
      <c r="E3" s="2975"/>
    </row>
    <row r="4" spans="1:5" ht="19.5" thickBot="1">
      <c r="A4" s="1964"/>
      <c r="B4" s="2973" t="s">
        <v>1632</v>
      </c>
      <c r="C4" s="2973"/>
      <c r="D4" s="2973"/>
      <c r="E4" s="1964"/>
    </row>
    <row r="5" spans="1:5" ht="16.5" thickTop="1">
      <c r="A5" s="1962"/>
      <c r="B5" s="2971" t="s">
        <v>1624</v>
      </c>
      <c r="C5" s="1965" t="s">
        <v>1625</v>
      </c>
      <c r="D5" s="1044">
        <f ca="1">结果表!H101</f>
        <v>3548</v>
      </c>
      <c r="E5" s="1962"/>
    </row>
    <row r="6" spans="1:5" ht="15.75">
      <c r="A6" s="1962"/>
      <c r="B6" s="2971"/>
      <c r="C6" s="1965" t="s">
        <v>1626</v>
      </c>
      <c r="D6" s="1044" t="str">
        <f ca="1">NUMBERSTRING(INT(D5*10000),2)&amp;"元整"</f>
        <v>叁仟伍佰肆拾捌万元整</v>
      </c>
      <c r="E6" s="1962"/>
    </row>
    <row r="7" spans="1:5" ht="15.75">
      <c r="A7" s="1962"/>
      <c r="B7" s="2976"/>
      <c r="C7" s="1966" t="s">
        <v>1627</v>
      </c>
      <c r="D7" s="1045">
        <f ca="1">结果表!H102</f>
        <v>79621</v>
      </c>
      <c r="E7" s="1962"/>
    </row>
    <row r="8" spans="1:5" ht="15.75">
      <c r="A8" s="1962"/>
      <c r="B8" s="2977" t="str">
        <f>结果表!E103</f>
        <v>2.估价师知悉的法定优先受偿款</v>
      </c>
      <c r="C8" s="1967" t="s">
        <v>1628</v>
      </c>
      <c r="D8" s="1045">
        <f>结果表!H103</f>
        <v>0</v>
      </c>
      <c r="E8" s="1962"/>
    </row>
    <row r="9" spans="1:5" ht="15.75">
      <c r="A9" s="1962"/>
      <c r="B9" s="2979"/>
      <c r="C9" s="1965" t="s">
        <v>1626</v>
      </c>
      <c r="D9" s="1044" t="str">
        <f>NUMBERSTRING(INT(D8*10000),2)&amp;"元整"</f>
        <v>零元整</v>
      </c>
      <c r="E9" s="1962"/>
    </row>
    <row r="10" spans="1:5" ht="15">
      <c r="A10" s="1962"/>
      <c r="B10" s="1968" t="s">
        <v>1631</v>
      </c>
      <c r="C10" s="1969" t="s">
        <v>1629</v>
      </c>
      <c r="D10" s="1046">
        <f>结果表!H104</f>
        <v>0</v>
      </c>
      <c r="E10" s="1962"/>
    </row>
    <row r="11" spans="1:5" ht="15">
      <c r="A11" s="1962"/>
      <c r="B11" s="1968" t="s">
        <v>1633</v>
      </c>
      <c r="C11" s="1969" t="s">
        <v>1634</v>
      </c>
      <c r="D11" s="1046">
        <f>结果表!H105</f>
        <v>0</v>
      </c>
      <c r="E11" s="1962"/>
    </row>
    <row r="12" spans="1:5" ht="15">
      <c r="A12" s="1962"/>
      <c r="B12" s="1968" t="s">
        <v>1635</v>
      </c>
      <c r="C12" s="1969" t="s">
        <v>1634</v>
      </c>
      <c r="D12" s="1046">
        <f>结果表!H106</f>
        <v>0</v>
      </c>
      <c r="E12" s="1962"/>
    </row>
    <row r="13" spans="1:5" ht="15.75">
      <c r="A13" s="1962"/>
      <c r="B13" s="2970" t="str">
        <f>结果表!E107</f>
        <v>——</v>
      </c>
      <c r="C13" s="1970" t="s">
        <v>1625</v>
      </c>
      <c r="D13" s="1047" t="str">
        <f>结果表!H107</f>
        <v>——</v>
      </c>
      <c r="E13" s="1962"/>
    </row>
    <row r="14" spans="1:5" ht="15.75">
      <c r="A14" s="1962"/>
      <c r="B14" s="2971"/>
      <c r="C14" s="1965" t="s">
        <v>1626</v>
      </c>
      <c r="D14" s="1044" t="e">
        <f>NUMBERSTRING(INT(D13*10000),2)&amp;"元整"</f>
        <v>#VALUE!</v>
      </c>
      <c r="E14" s="1962"/>
    </row>
    <row r="15" spans="1:5" ht="15">
      <c r="A15" s="1962"/>
      <c r="B15" s="2976"/>
      <c r="C15" s="1966" t="s">
        <v>1636</v>
      </c>
      <c r="D15" s="1056" t="e">
        <f>结果表!H108</f>
        <v>#VALUE!</v>
      </c>
      <c r="E15" s="1962"/>
    </row>
    <row r="16" spans="1:5" ht="15">
      <c r="A16" s="1962"/>
      <c r="B16" s="2977" t="str">
        <f>结果表!E109</f>
        <v>3.抵押担保权已注销时的房地产抵押价值</v>
      </c>
      <c r="C16" s="1970" t="s">
        <v>1637</v>
      </c>
      <c r="D16" s="1971">
        <f ca="1">结果表!H109</f>
        <v>3548</v>
      </c>
      <c r="E16" s="1962"/>
    </row>
    <row r="17" spans="1:5" ht="15.75">
      <c r="A17" s="1962"/>
      <c r="B17" s="2978"/>
      <c r="C17" s="1965" t="s">
        <v>1638</v>
      </c>
      <c r="D17" s="1044" t="str">
        <f ca="1">NUMBERSTRING(INT(D16*10000),2)&amp;"元整"</f>
        <v>叁仟伍佰肆拾捌万元整</v>
      </c>
      <c r="E17" s="1962"/>
    </row>
    <row r="18" spans="1:5" ht="15">
      <c r="A18" s="1962"/>
      <c r="B18" s="2979"/>
      <c r="C18" s="1966" t="s">
        <v>1627</v>
      </c>
      <c r="D18" s="1056">
        <f ca="1">结果表!H110</f>
        <v>79621</v>
      </c>
      <c r="E18" s="1962"/>
    </row>
    <row r="19" spans="1:5" ht="15.75">
      <c r="A19" s="1962"/>
      <c r="B19" s="2970" t="str">
        <f>结果表!E111</f>
        <v>——</v>
      </c>
      <c r="C19" s="1970" t="s">
        <v>1625</v>
      </c>
      <c r="D19" s="1045" t="str">
        <f>结果表!H111</f>
        <v>——</v>
      </c>
      <c r="E19" s="1962"/>
    </row>
    <row r="20" spans="1:5" ht="15.75">
      <c r="A20" s="1962"/>
      <c r="B20" s="2971"/>
      <c r="C20" s="1965" t="s">
        <v>1638</v>
      </c>
      <c r="D20" s="1044" t="e">
        <f>NUMBERSTRING(INT(D19*10000),2)&amp;"元整"</f>
        <v>#VALUE!</v>
      </c>
      <c r="E20" s="1962"/>
    </row>
    <row r="21" spans="1:5" ht="15.75" thickBot="1">
      <c r="A21" s="1962"/>
      <c r="B21" s="2972"/>
      <c r="C21" s="1972" t="s">
        <v>1636</v>
      </c>
      <c r="D21" s="1057"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04" activePane="bottomLeft" state="frozen"/>
      <selection activeCell="C50" sqref="C50"/>
      <selection pane="bottomLeft" activeCell="H104" sqref="H104:H106"/>
    </sheetView>
  </sheetViews>
  <sheetFormatPr defaultRowHeight="12.75"/>
  <cols>
    <col min="1" max="1" width="11.5" style="139" customWidth="1"/>
    <col min="2" max="2" width="9.25" style="27" customWidth="1"/>
    <col min="3" max="3" width="9.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7" t="s">
        <v>3010</v>
      </c>
      <c r="C1" s="3289" t="s">
        <v>3011</v>
      </c>
      <c r="D1" s="3290"/>
      <c r="E1" s="3290"/>
      <c r="F1" s="3290"/>
      <c r="G1" s="3290"/>
      <c r="H1" s="3290"/>
      <c r="I1" s="3290"/>
      <c r="J1" s="3290"/>
      <c r="K1" s="3290"/>
      <c r="L1" s="3290"/>
      <c r="M1" s="3290"/>
      <c r="N1" s="3290"/>
      <c r="O1" s="3290"/>
      <c r="P1" s="3290"/>
      <c r="Q1" s="3290"/>
      <c r="R1" s="3290"/>
      <c r="S1" s="3291"/>
      <c r="T1" s="1207" t="s">
        <v>3012</v>
      </c>
    </row>
    <row r="2" spans="1:45" s="708" customFormat="1" ht="38.25">
      <c r="A2" s="1208"/>
      <c r="B2" s="704" t="s">
        <v>3013</v>
      </c>
      <c r="C2" s="705" t="str">
        <f t="shared" ref="C2:L2" si="0">C3&amp;"(含)"&amp;"-"&amp;D3</f>
        <v>0(含)-600</v>
      </c>
      <c r="D2" s="706" t="str">
        <f t="shared" si="0"/>
        <v>600(含)-1200</v>
      </c>
      <c r="E2" s="706" t="str">
        <f t="shared" si="0"/>
        <v>1200(含)-1800</v>
      </c>
      <c r="F2" s="706" t="str">
        <f t="shared" si="0"/>
        <v>1800(含)-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0"/>
      <c r="B3" s="709"/>
      <c r="C3" s="710">
        <v>0</v>
      </c>
      <c r="D3" s="711">
        <v>600</v>
      </c>
      <c r="E3" s="711">
        <v>1200</v>
      </c>
      <c r="F3" s="1708">
        <v>1800</v>
      </c>
      <c r="G3" s="1708"/>
      <c r="H3" s="1708"/>
      <c r="I3" s="1708"/>
      <c r="J3" s="1708"/>
      <c r="K3" s="1708"/>
      <c r="L3" s="1709"/>
      <c r="M3" s="1710"/>
      <c r="N3" s="1710"/>
      <c r="O3" s="1708"/>
      <c r="P3" s="1708"/>
      <c r="Q3" s="1708"/>
      <c r="R3" s="1708"/>
      <c r="S3" s="1711"/>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1"/>
      <c r="B4" s="1212"/>
      <c r="C4" s="1213">
        <v>100</v>
      </c>
      <c r="D4" s="1214">
        <v>102</v>
      </c>
      <c r="E4" s="1214">
        <v>104</v>
      </c>
      <c r="F4" s="1712"/>
      <c r="G4" s="1712"/>
      <c r="H4" s="1712"/>
      <c r="I4" s="1712"/>
      <c r="J4" s="1712"/>
      <c r="K4" s="1712"/>
      <c r="L4" s="1712"/>
      <c r="M4" s="1713"/>
      <c r="N4" s="1713"/>
      <c r="O4" s="1712"/>
      <c r="P4" s="1712"/>
      <c r="Q4" s="1712"/>
      <c r="R4" s="1712"/>
      <c r="S4" s="1714"/>
      <c r="T4" s="1217"/>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8"/>
      <c r="B5" s="2950" t="s">
        <v>3169</v>
      </c>
      <c r="C5" s="2951" t="s">
        <v>3171</v>
      </c>
      <c r="D5" s="2952" t="s">
        <v>3172</v>
      </c>
      <c r="E5" s="2952" t="s">
        <v>3173</v>
      </c>
      <c r="F5" s="1715"/>
      <c r="G5" s="1715"/>
      <c r="H5" s="1715"/>
      <c r="I5" s="1715"/>
      <c r="J5" s="1715"/>
      <c r="K5" s="1715"/>
      <c r="L5" s="1716"/>
      <c r="M5" s="1717"/>
      <c r="N5" s="1717"/>
      <c r="O5" s="1715"/>
      <c r="P5" s="1715"/>
      <c r="Q5" s="1715"/>
      <c r="R5" s="1715"/>
      <c r="S5" s="1718"/>
      <c r="T5" s="1222">
        <v>5</v>
      </c>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8"/>
      <c r="B6" s="1120"/>
      <c r="C6" s="1125">
        <v>100</v>
      </c>
      <c r="D6" s="1123">
        <f>C6-$T5</f>
        <v>95</v>
      </c>
      <c r="E6" s="1123">
        <f t="shared" ref="E6:S6" si="7">D6-$T5</f>
        <v>90</v>
      </c>
      <c r="F6" s="1719">
        <f t="shared" si="7"/>
        <v>85</v>
      </c>
      <c r="G6" s="1719">
        <f t="shared" si="7"/>
        <v>80</v>
      </c>
      <c r="H6" s="1719">
        <f t="shared" si="7"/>
        <v>75</v>
      </c>
      <c r="I6" s="1719">
        <f t="shared" si="7"/>
        <v>70</v>
      </c>
      <c r="J6" s="1719">
        <f t="shared" si="7"/>
        <v>65</v>
      </c>
      <c r="K6" s="1719">
        <f t="shared" si="7"/>
        <v>60</v>
      </c>
      <c r="L6" s="1719">
        <f t="shared" si="7"/>
        <v>55</v>
      </c>
      <c r="M6" s="1719">
        <f t="shared" si="7"/>
        <v>50</v>
      </c>
      <c r="N6" s="1719">
        <f t="shared" si="7"/>
        <v>45</v>
      </c>
      <c r="O6" s="1719">
        <f t="shared" si="7"/>
        <v>40</v>
      </c>
      <c r="P6" s="1719">
        <f t="shared" si="7"/>
        <v>35</v>
      </c>
      <c r="Q6" s="1719">
        <f t="shared" si="7"/>
        <v>30</v>
      </c>
      <c r="R6" s="1719">
        <f t="shared" si="7"/>
        <v>25</v>
      </c>
      <c r="S6" s="1719">
        <f t="shared" si="7"/>
        <v>20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8"/>
      <c r="B7" s="2953" t="s">
        <v>3174</v>
      </c>
      <c r="C7" s="2954" t="s">
        <v>3176</v>
      </c>
      <c r="D7" s="2955" t="s">
        <v>3177</v>
      </c>
      <c r="E7" s="1119"/>
      <c r="F7" s="1720"/>
      <c r="G7" s="1720"/>
      <c r="H7" s="1720"/>
      <c r="I7" s="1720"/>
      <c r="J7" s="1720"/>
      <c r="K7" s="1720"/>
      <c r="L7" s="1720"/>
      <c r="M7" s="1721"/>
      <c r="N7" s="1722"/>
      <c r="O7" s="1723"/>
      <c r="P7" s="1724"/>
      <c r="Q7" s="1725"/>
      <c r="R7" s="1726"/>
      <c r="S7" s="1727"/>
      <c r="T7" s="714">
        <v>10</v>
      </c>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8"/>
      <c r="B8" s="1120"/>
      <c r="C8" s="1125">
        <v>100</v>
      </c>
      <c r="D8" s="1123">
        <f>C8-$T7</f>
        <v>90</v>
      </c>
      <c r="E8" s="1123">
        <f t="shared" ref="E8:S8" si="8">D8-$T7</f>
        <v>80</v>
      </c>
      <c r="F8" s="1719">
        <f t="shared" si="8"/>
        <v>70</v>
      </c>
      <c r="G8" s="1719">
        <f t="shared" si="8"/>
        <v>60</v>
      </c>
      <c r="H8" s="1719">
        <f t="shared" si="8"/>
        <v>50</v>
      </c>
      <c r="I8" s="1719">
        <f t="shared" si="8"/>
        <v>40</v>
      </c>
      <c r="J8" s="1719">
        <f t="shared" si="8"/>
        <v>30</v>
      </c>
      <c r="K8" s="1719">
        <f t="shared" si="8"/>
        <v>20</v>
      </c>
      <c r="L8" s="1719">
        <f t="shared" si="8"/>
        <v>10</v>
      </c>
      <c r="M8" s="1719">
        <f t="shared" si="8"/>
        <v>0</v>
      </c>
      <c r="N8" s="1719">
        <f t="shared" si="8"/>
        <v>-10</v>
      </c>
      <c r="O8" s="1719">
        <f t="shared" si="8"/>
        <v>-20</v>
      </c>
      <c r="P8" s="1719">
        <f t="shared" si="8"/>
        <v>-30</v>
      </c>
      <c r="Q8" s="1719">
        <f t="shared" si="8"/>
        <v>-40</v>
      </c>
      <c r="R8" s="1719">
        <f t="shared" si="8"/>
        <v>-50</v>
      </c>
      <c r="S8" s="1719">
        <f t="shared" si="8"/>
        <v>-60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8"/>
      <c r="B9" s="2953" t="s">
        <v>3178</v>
      </c>
      <c r="C9" s="2954" t="s">
        <v>3179</v>
      </c>
      <c r="D9" s="1119"/>
      <c r="E9" s="1119"/>
      <c r="F9" s="1720"/>
      <c r="G9" s="1720"/>
      <c r="H9" s="1720"/>
      <c r="I9" s="1720"/>
      <c r="J9" s="1720"/>
      <c r="K9" s="1720"/>
      <c r="L9" s="1728"/>
      <c r="M9" s="1721"/>
      <c r="N9" s="1722"/>
      <c r="O9" s="1723"/>
      <c r="P9" s="1724"/>
      <c r="Q9" s="1725"/>
      <c r="R9" s="1726"/>
      <c r="S9" s="1727"/>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8"/>
      <c r="B12" s="1120"/>
      <c r="C12" s="1125">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8"/>
      <c r="B14" s="1120"/>
      <c r="C14" s="1124"/>
      <c r="D14" s="1121"/>
      <c r="E14" s="1121"/>
      <c r="F14" s="1121"/>
      <c r="G14" s="1121"/>
      <c r="H14" s="1121"/>
      <c r="I14" s="1121"/>
      <c r="J14" s="1121"/>
      <c r="K14" s="1121"/>
      <c r="L14" s="1121"/>
      <c r="M14" s="1232"/>
      <c r="N14" s="1232"/>
      <c r="O14" s="1121"/>
      <c r="P14" s="1121"/>
      <c r="Q14" s="1121"/>
      <c r="R14" s="1121"/>
      <c r="S14" s="1233"/>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7" t="s">
        <v>3017</v>
      </c>
      <c r="B17" s="2918"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7"/>
      <c r="AS17" s="797"/>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7"/>
      <c r="AS18" s="797"/>
    </row>
    <row r="19" spans="1:45">
      <c r="A19" s="138"/>
      <c r="B19" s="169"/>
      <c r="C19" s="169"/>
      <c r="D19" s="2919" t="s">
        <v>3019</v>
      </c>
      <c r="E19" s="1795"/>
      <c r="F19" s="1795"/>
      <c r="G19" s="1795"/>
      <c r="H19" s="1283"/>
      <c r="I19" s="169"/>
      <c r="J19" s="169"/>
      <c r="K19" s="169"/>
      <c r="L19" s="169"/>
      <c r="M19" s="169"/>
      <c r="N19" s="169"/>
      <c r="O19" s="169"/>
      <c r="P19" s="169"/>
      <c r="Q19" s="169"/>
      <c r="R19" s="789"/>
      <c r="S19" s="138"/>
    </row>
    <row r="20" spans="1:45" ht="16.5" thickBot="1">
      <c r="A20" s="716" t="s">
        <v>3020</v>
      </c>
      <c r="B20" s="339" t="e">
        <f ca="1">IF(D20="——",S22,S22-F20)</f>
        <v>#REF!</v>
      </c>
      <c r="C20" s="169"/>
      <c r="D20" s="2920" t="s">
        <v>3021</v>
      </c>
      <c r="E20" s="1796"/>
      <c r="F20" s="1207" t="e">
        <f ca="1">SUMIF(INDIRECT("'"&amp;H20&amp;"'"&amp;"!A:A"),"承租人权益价值",INDIRECT("'"&amp;H20&amp;"'"&amp;"!c:c"))</f>
        <v>#REF!</v>
      </c>
      <c r="G20" s="1207" t="s">
        <v>3022</v>
      </c>
      <c r="H20" s="2921"/>
      <c r="I20" s="169"/>
      <c r="J20" s="169"/>
      <c r="K20" s="169"/>
      <c r="L20" s="169"/>
      <c r="M20" s="169"/>
      <c r="N20" s="169"/>
      <c r="O20" s="169"/>
      <c r="P20" s="169"/>
      <c r="Q20" s="169"/>
      <c r="R20" s="789"/>
      <c r="S20" s="138"/>
    </row>
    <row r="21" spans="1:45" ht="15.75">
      <c r="A21" s="716" t="s">
        <v>3023</v>
      </c>
      <c r="B21" s="339">
        <f ca="1">R22</f>
        <v>88138</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45728.799999999981</v>
      </c>
      <c r="C22" s="3070" t="s">
        <v>33</v>
      </c>
      <c r="D22" s="3071"/>
      <c r="E22" s="3071"/>
      <c r="F22" s="3071"/>
      <c r="G22" s="3071"/>
      <c r="H22" s="3071"/>
      <c r="I22" s="3071"/>
      <c r="J22" s="3071"/>
      <c r="K22" s="3071"/>
      <c r="L22" s="3071"/>
      <c r="M22" s="3071"/>
      <c r="N22" s="3071"/>
      <c r="O22" s="3071"/>
      <c r="P22" s="3071"/>
      <c r="Q22" s="3288"/>
      <c r="R22" s="717">
        <f ca="1">ROUND(S22*10000/B22,0)</f>
        <v>88138</v>
      </c>
      <c r="S22" s="24">
        <f ca="1">SUM(S24:S10000)</f>
        <v>403044</v>
      </c>
    </row>
    <row r="23" spans="1:45" s="12" customFormat="1" ht="24">
      <c r="A23" s="11" t="s">
        <v>3025</v>
      </c>
      <c r="B23" s="11" t="s">
        <v>3026</v>
      </c>
      <c r="C23" s="11" t="s">
        <v>3027</v>
      </c>
      <c r="D23" s="11" t="str">
        <f>B5</f>
        <v>楼层</v>
      </c>
      <c r="E23" s="11" t="s">
        <v>3027</v>
      </c>
      <c r="F23" s="11" t="str">
        <f>B7</f>
        <v>房型</v>
      </c>
      <c r="G23" s="11" t="s">
        <v>3027</v>
      </c>
      <c r="H23" s="11" t="str">
        <f>B9</f>
        <v>朝向</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2963" t="s">
        <v>3181</v>
      </c>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ht="13.5">
      <c r="A24" s="719" t="s">
        <v>3030</v>
      </c>
      <c r="B24" s="719">
        <f>'数据-汇总表'!F19</f>
        <v>445.61</v>
      </c>
      <c r="C24" s="720">
        <v>1</v>
      </c>
      <c r="D24" s="721" t="s">
        <v>3158</v>
      </c>
      <c r="E24" s="720">
        <v>1</v>
      </c>
      <c r="F24" s="721" t="s">
        <v>3133</v>
      </c>
      <c r="G24" s="720">
        <v>1</v>
      </c>
      <c r="H24" s="721" t="s">
        <v>3167</v>
      </c>
      <c r="I24" s="720">
        <v>1</v>
      </c>
      <c r="J24" s="721"/>
      <c r="K24" s="720">
        <v>1</v>
      </c>
      <c r="L24" s="721"/>
      <c r="M24" s="720">
        <v>1</v>
      </c>
      <c r="N24" s="721"/>
      <c r="O24" s="720">
        <v>1</v>
      </c>
      <c r="P24" s="721"/>
      <c r="Q24" s="720">
        <v>1</v>
      </c>
      <c r="R24" s="722">
        <f ca="1">结果表!G20</f>
        <v>79622</v>
      </c>
      <c r="S24" s="720">
        <f t="shared" ref="S24:S54" ca="1" si="11">ROUND(R24*B24/10000,0)</f>
        <v>3548</v>
      </c>
      <c r="T24" s="2964" t="s">
        <v>3182</v>
      </c>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ht="13.5">
      <c r="A25" s="2932" t="s">
        <v>3065</v>
      </c>
      <c r="B25" s="2932">
        <v>445.47</v>
      </c>
      <c r="C25" s="24">
        <f>IF(B25="",1,(LOOKUP(B25,$3:$3,$4:$4)-LOOKUP($B$24,$3:$3,$4:$4)+100)/100)</f>
        <v>1</v>
      </c>
      <c r="D25" s="721" t="s">
        <v>3158</v>
      </c>
      <c r="E25" s="24">
        <f>(SUMIF($5:$5,D25,$6:$6)-SUMIF($5:$5,$D$24,$6:$6)+100)/100</f>
        <v>1</v>
      </c>
      <c r="F25" s="721" t="s">
        <v>3133</v>
      </c>
      <c r="G25" s="24">
        <f>(SUMIF($7:$7,F25,$8:$8)-SUMIF($7:$7,$F$24,$8:$8)+100)/100</f>
        <v>1</v>
      </c>
      <c r="H25" s="721" t="s">
        <v>3167</v>
      </c>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79622</v>
      </c>
      <c r="S25" s="362">
        <f t="shared" ca="1" si="11"/>
        <v>3547</v>
      </c>
      <c r="T25" s="2964" t="s">
        <v>3182</v>
      </c>
    </row>
    <row r="26" spans="1:45" ht="13.5">
      <c r="A26" s="2932" t="s">
        <v>3066</v>
      </c>
      <c r="B26" s="2932">
        <v>913.64</v>
      </c>
      <c r="C26" s="24">
        <f t="shared" ref="C26:C89" si="12">IF(B26="",1,(LOOKUP(B26,$3:$3,$4:$4)-LOOKUP($B$24,$3:$3,$4:$4)+100)/100)</f>
        <v>1.02</v>
      </c>
      <c r="D26" s="721" t="s">
        <v>3170</v>
      </c>
      <c r="E26" s="24">
        <f t="shared" ref="E26:E89" si="13">(SUMIF($5:$5,D26,$6:$6)-SUMIF($5:$5,$D$24,$6:$6)+100)/100</f>
        <v>1.1000000000000001</v>
      </c>
      <c r="F26" s="721" t="s">
        <v>3175</v>
      </c>
      <c r="G26" s="24">
        <f t="shared" ref="G26:G89" si="14">(SUMIF($7:$7,F26,$8:$8)-SUMIF($7:$7,$F$24,$8:$8)+100)/100</f>
        <v>1.1000000000000001</v>
      </c>
      <c r="H26" s="721" t="s">
        <v>3167</v>
      </c>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98269</v>
      </c>
      <c r="S26" s="362">
        <f t="shared" ca="1" si="11"/>
        <v>8978</v>
      </c>
      <c r="T26" s="2964" t="s">
        <v>3182</v>
      </c>
    </row>
    <row r="27" spans="1:45" ht="13.5">
      <c r="A27" s="2932" t="s">
        <v>3067</v>
      </c>
      <c r="B27" s="2932">
        <v>912.44</v>
      </c>
      <c r="C27" s="24">
        <f t="shared" si="12"/>
        <v>1.02</v>
      </c>
      <c r="D27" s="721" t="s">
        <v>3170</v>
      </c>
      <c r="E27" s="24">
        <f t="shared" si="13"/>
        <v>1.1000000000000001</v>
      </c>
      <c r="F27" s="721" t="s">
        <v>3175</v>
      </c>
      <c r="G27" s="24">
        <f t="shared" si="14"/>
        <v>1.1000000000000001</v>
      </c>
      <c r="H27" s="721" t="s">
        <v>3167</v>
      </c>
      <c r="I27" s="24">
        <f t="shared" si="15"/>
        <v>1</v>
      </c>
      <c r="J27" s="721"/>
      <c r="K27" s="24">
        <f t="shared" si="16"/>
        <v>1</v>
      </c>
      <c r="L27" s="721"/>
      <c r="M27" s="24">
        <f t="shared" si="17"/>
        <v>1</v>
      </c>
      <c r="N27" s="721"/>
      <c r="O27" s="24">
        <f t="shared" si="18"/>
        <v>1</v>
      </c>
      <c r="P27" s="721"/>
      <c r="Q27" s="24">
        <f t="shared" si="19"/>
        <v>1</v>
      </c>
      <c r="R27" s="717">
        <f t="shared" ca="1" si="20"/>
        <v>98269</v>
      </c>
      <c r="S27" s="362">
        <f t="shared" ca="1" si="11"/>
        <v>8966</v>
      </c>
      <c r="T27" s="2964" t="s">
        <v>3182</v>
      </c>
    </row>
    <row r="28" spans="1:45" ht="13.5" hidden="1">
      <c r="A28" s="2932"/>
      <c r="B28" s="2932"/>
      <c r="C28" s="24">
        <f t="shared" si="12"/>
        <v>1</v>
      </c>
      <c r="D28" s="721"/>
      <c r="E28" s="24">
        <f t="shared" si="13"/>
        <v>0.1</v>
      </c>
      <c r="F28" s="721"/>
      <c r="G28" s="24">
        <f t="shared" si="14"/>
        <v>0.1</v>
      </c>
      <c r="H28" s="721"/>
      <c r="I28" s="24">
        <f t="shared" si="15"/>
        <v>0</v>
      </c>
      <c r="J28" s="721"/>
      <c r="K28" s="24">
        <f t="shared" si="16"/>
        <v>1</v>
      </c>
      <c r="L28" s="721"/>
      <c r="M28" s="24">
        <f t="shared" si="17"/>
        <v>1</v>
      </c>
      <c r="N28" s="721"/>
      <c r="O28" s="24">
        <f t="shared" si="18"/>
        <v>1</v>
      </c>
      <c r="P28" s="721"/>
      <c r="Q28" s="24">
        <f t="shared" si="19"/>
        <v>1</v>
      </c>
      <c r="R28" s="717">
        <f t="shared" si="20"/>
        <v>0</v>
      </c>
      <c r="S28" s="362">
        <f t="shared" si="11"/>
        <v>0</v>
      </c>
      <c r="T28" s="2964" t="s">
        <v>3182</v>
      </c>
    </row>
    <row r="29" spans="1:45" ht="13.5">
      <c r="A29" s="2932" t="s">
        <v>3069</v>
      </c>
      <c r="B29" s="2932">
        <v>445.47</v>
      </c>
      <c r="C29" s="24">
        <f t="shared" si="12"/>
        <v>1</v>
      </c>
      <c r="D29" s="721" t="s">
        <v>3158</v>
      </c>
      <c r="E29" s="24">
        <f t="shared" si="13"/>
        <v>1</v>
      </c>
      <c r="F29" s="721" t="s">
        <v>3133</v>
      </c>
      <c r="G29" s="24">
        <f t="shared" si="14"/>
        <v>1</v>
      </c>
      <c r="H29" s="721" t="s">
        <v>3167</v>
      </c>
      <c r="I29" s="24">
        <f t="shared" si="15"/>
        <v>1</v>
      </c>
      <c r="J29" s="721"/>
      <c r="K29" s="24">
        <f t="shared" si="16"/>
        <v>1</v>
      </c>
      <c r="L29" s="721"/>
      <c r="M29" s="24">
        <f t="shared" si="17"/>
        <v>1</v>
      </c>
      <c r="N29" s="721"/>
      <c r="O29" s="24">
        <f t="shared" si="18"/>
        <v>1</v>
      </c>
      <c r="P29" s="721"/>
      <c r="Q29" s="24">
        <f t="shared" si="19"/>
        <v>1</v>
      </c>
      <c r="R29" s="717">
        <f t="shared" ca="1" si="20"/>
        <v>79622</v>
      </c>
      <c r="S29" s="362">
        <f t="shared" ca="1" si="11"/>
        <v>3547</v>
      </c>
      <c r="T29" s="2964" t="s">
        <v>3182</v>
      </c>
    </row>
    <row r="30" spans="1:45" ht="13.5">
      <c r="A30" s="2932" t="s">
        <v>3070</v>
      </c>
      <c r="B30" s="2932">
        <v>912.44</v>
      </c>
      <c r="C30" s="24">
        <f t="shared" si="12"/>
        <v>1.02</v>
      </c>
      <c r="D30" s="721" t="s">
        <v>3170</v>
      </c>
      <c r="E30" s="24">
        <f t="shared" si="13"/>
        <v>1.1000000000000001</v>
      </c>
      <c r="F30" s="721" t="s">
        <v>3175</v>
      </c>
      <c r="G30" s="24">
        <f t="shared" si="14"/>
        <v>1.1000000000000001</v>
      </c>
      <c r="H30" s="721" t="s">
        <v>3167</v>
      </c>
      <c r="I30" s="24">
        <f t="shared" si="15"/>
        <v>1</v>
      </c>
      <c r="J30" s="721"/>
      <c r="K30" s="24">
        <f t="shared" si="16"/>
        <v>1</v>
      </c>
      <c r="L30" s="721"/>
      <c r="M30" s="24">
        <f t="shared" si="17"/>
        <v>1</v>
      </c>
      <c r="N30" s="721"/>
      <c r="O30" s="24">
        <f t="shared" si="18"/>
        <v>1</v>
      </c>
      <c r="P30" s="721"/>
      <c r="Q30" s="24">
        <f t="shared" si="19"/>
        <v>1</v>
      </c>
      <c r="R30" s="717">
        <f t="shared" ca="1" si="20"/>
        <v>98269</v>
      </c>
      <c r="S30" s="362">
        <f t="shared" ca="1" si="11"/>
        <v>8966</v>
      </c>
      <c r="T30" s="2964" t="s">
        <v>3182</v>
      </c>
    </row>
    <row r="31" spans="1:45" ht="13.5">
      <c r="A31" s="2932" t="s">
        <v>3071</v>
      </c>
      <c r="B31" s="2932">
        <v>913.64</v>
      </c>
      <c r="C31" s="24">
        <f t="shared" si="12"/>
        <v>1.02</v>
      </c>
      <c r="D31" s="721" t="s">
        <v>3170</v>
      </c>
      <c r="E31" s="24">
        <f t="shared" si="13"/>
        <v>1.1000000000000001</v>
      </c>
      <c r="F31" s="721" t="s">
        <v>3175</v>
      </c>
      <c r="G31" s="24">
        <f t="shared" si="14"/>
        <v>1.1000000000000001</v>
      </c>
      <c r="H31" s="721" t="s">
        <v>3167</v>
      </c>
      <c r="I31" s="24">
        <f t="shared" si="15"/>
        <v>1</v>
      </c>
      <c r="J31" s="721"/>
      <c r="K31" s="24">
        <f t="shared" si="16"/>
        <v>1</v>
      </c>
      <c r="L31" s="721"/>
      <c r="M31" s="24">
        <f t="shared" si="17"/>
        <v>1</v>
      </c>
      <c r="N31" s="721"/>
      <c r="O31" s="24">
        <f t="shared" si="18"/>
        <v>1</v>
      </c>
      <c r="P31" s="721"/>
      <c r="Q31" s="24">
        <f t="shared" si="19"/>
        <v>1</v>
      </c>
      <c r="R31" s="717">
        <f t="shared" ca="1" si="20"/>
        <v>98269</v>
      </c>
      <c r="S31" s="362">
        <f t="shared" ca="1" si="11"/>
        <v>8978</v>
      </c>
      <c r="T31" s="2964" t="s">
        <v>3182</v>
      </c>
    </row>
    <row r="32" spans="1:45" ht="13.5">
      <c r="A32" s="2933" t="s">
        <v>3072</v>
      </c>
      <c r="B32" s="2933">
        <v>439.34</v>
      </c>
      <c r="C32" s="24">
        <f t="shared" si="12"/>
        <v>1</v>
      </c>
      <c r="D32" s="721" t="s">
        <v>3158</v>
      </c>
      <c r="E32" s="24">
        <f t="shared" si="13"/>
        <v>1</v>
      </c>
      <c r="F32" s="721" t="s">
        <v>3133</v>
      </c>
      <c r="G32" s="24">
        <f t="shared" si="14"/>
        <v>1</v>
      </c>
      <c r="H32" s="721" t="s">
        <v>3167</v>
      </c>
      <c r="I32" s="24">
        <f t="shared" si="15"/>
        <v>1</v>
      </c>
      <c r="J32" s="721"/>
      <c r="K32" s="24">
        <f t="shared" si="16"/>
        <v>1</v>
      </c>
      <c r="L32" s="721"/>
      <c r="M32" s="24">
        <f t="shared" si="17"/>
        <v>1</v>
      </c>
      <c r="N32" s="721"/>
      <c r="O32" s="24">
        <f t="shared" si="18"/>
        <v>1</v>
      </c>
      <c r="P32" s="721"/>
      <c r="Q32" s="24">
        <f t="shared" si="19"/>
        <v>1</v>
      </c>
      <c r="R32" s="717">
        <f t="shared" ca="1" si="20"/>
        <v>79622</v>
      </c>
      <c r="S32" s="362">
        <f t="shared" ca="1" si="11"/>
        <v>3498</v>
      </c>
      <c r="T32" s="2964" t="s">
        <v>3183</v>
      </c>
    </row>
    <row r="33" spans="1:20" ht="13.5">
      <c r="A33" s="2933" t="s">
        <v>3065</v>
      </c>
      <c r="B33" s="2933">
        <v>439.34</v>
      </c>
      <c r="C33" s="24">
        <f t="shared" si="12"/>
        <v>1</v>
      </c>
      <c r="D33" s="721" t="s">
        <v>3158</v>
      </c>
      <c r="E33" s="24">
        <f t="shared" si="13"/>
        <v>1</v>
      </c>
      <c r="F33" s="721" t="s">
        <v>3133</v>
      </c>
      <c r="G33" s="24">
        <f t="shared" si="14"/>
        <v>1</v>
      </c>
      <c r="H33" s="721" t="s">
        <v>3167</v>
      </c>
      <c r="I33" s="24">
        <f t="shared" si="15"/>
        <v>1</v>
      </c>
      <c r="J33" s="721"/>
      <c r="K33" s="24">
        <f t="shared" si="16"/>
        <v>1</v>
      </c>
      <c r="L33" s="721"/>
      <c r="M33" s="24">
        <f t="shared" si="17"/>
        <v>1</v>
      </c>
      <c r="N33" s="721"/>
      <c r="O33" s="24">
        <f t="shared" si="18"/>
        <v>1</v>
      </c>
      <c r="P33" s="721"/>
      <c r="Q33" s="24">
        <f t="shared" si="19"/>
        <v>1</v>
      </c>
      <c r="R33" s="717">
        <f t="shared" ca="1" si="20"/>
        <v>79622</v>
      </c>
      <c r="S33" s="362">
        <f t="shared" ca="1" si="11"/>
        <v>3498</v>
      </c>
      <c r="T33" s="2964" t="s">
        <v>3183</v>
      </c>
    </row>
    <row r="34" spans="1:20" ht="13.5">
      <c r="A34" s="2933" t="s">
        <v>3066</v>
      </c>
      <c r="B34" s="2933">
        <v>906.27</v>
      </c>
      <c r="C34" s="24">
        <f t="shared" si="12"/>
        <v>1.02</v>
      </c>
      <c r="D34" s="721" t="s">
        <v>3170</v>
      </c>
      <c r="E34" s="24">
        <f t="shared" si="13"/>
        <v>1.1000000000000001</v>
      </c>
      <c r="F34" s="721" t="s">
        <v>3175</v>
      </c>
      <c r="G34" s="24">
        <f t="shared" si="14"/>
        <v>1.1000000000000001</v>
      </c>
      <c r="H34" s="721" t="s">
        <v>3167</v>
      </c>
      <c r="I34" s="24">
        <f t="shared" si="15"/>
        <v>1</v>
      </c>
      <c r="J34" s="721"/>
      <c r="K34" s="24">
        <f t="shared" si="16"/>
        <v>1</v>
      </c>
      <c r="L34" s="721"/>
      <c r="M34" s="24">
        <f t="shared" si="17"/>
        <v>1</v>
      </c>
      <c r="N34" s="721"/>
      <c r="O34" s="24">
        <f t="shared" si="18"/>
        <v>1</v>
      </c>
      <c r="P34" s="721"/>
      <c r="Q34" s="24">
        <f t="shared" si="19"/>
        <v>1</v>
      </c>
      <c r="R34" s="717">
        <f t="shared" ca="1" si="20"/>
        <v>98269</v>
      </c>
      <c r="S34" s="362">
        <f t="shared" ca="1" si="11"/>
        <v>8906</v>
      </c>
      <c r="T34" s="2964" t="s">
        <v>3183</v>
      </c>
    </row>
    <row r="35" spans="1:20" ht="13.5">
      <c r="A35" s="2933" t="s">
        <v>3067</v>
      </c>
      <c r="B35" s="2933">
        <v>900.43</v>
      </c>
      <c r="C35" s="24">
        <f t="shared" si="12"/>
        <v>1.02</v>
      </c>
      <c r="D35" s="721" t="s">
        <v>3170</v>
      </c>
      <c r="E35" s="24">
        <f t="shared" si="13"/>
        <v>1.1000000000000001</v>
      </c>
      <c r="F35" s="721" t="s">
        <v>3175</v>
      </c>
      <c r="G35" s="24">
        <f t="shared" si="14"/>
        <v>1.1000000000000001</v>
      </c>
      <c r="H35" s="721" t="s">
        <v>3167</v>
      </c>
      <c r="I35" s="24">
        <f t="shared" si="15"/>
        <v>1</v>
      </c>
      <c r="J35" s="721"/>
      <c r="K35" s="24">
        <f t="shared" si="16"/>
        <v>1</v>
      </c>
      <c r="L35" s="721"/>
      <c r="M35" s="24">
        <f t="shared" si="17"/>
        <v>1</v>
      </c>
      <c r="N35" s="721"/>
      <c r="O35" s="24">
        <f t="shared" si="18"/>
        <v>1</v>
      </c>
      <c r="P35" s="721"/>
      <c r="Q35" s="24">
        <f t="shared" si="19"/>
        <v>1</v>
      </c>
      <c r="R35" s="717">
        <f t="shared" ca="1" si="20"/>
        <v>98269</v>
      </c>
      <c r="S35" s="362">
        <f t="shared" ca="1" si="11"/>
        <v>8848</v>
      </c>
      <c r="T35" s="2964" t="s">
        <v>3183</v>
      </c>
    </row>
    <row r="36" spans="1:20" ht="13.5">
      <c r="A36" s="2933" t="s">
        <v>3068</v>
      </c>
      <c r="B36" s="2933">
        <v>439.34</v>
      </c>
      <c r="C36" s="24">
        <f t="shared" si="12"/>
        <v>1</v>
      </c>
      <c r="D36" s="721" t="s">
        <v>3158</v>
      </c>
      <c r="E36" s="24">
        <f t="shared" si="13"/>
        <v>1</v>
      </c>
      <c r="F36" s="721" t="s">
        <v>3133</v>
      </c>
      <c r="G36" s="24">
        <f t="shared" si="14"/>
        <v>1</v>
      </c>
      <c r="H36" s="721" t="s">
        <v>3167</v>
      </c>
      <c r="I36" s="24">
        <f t="shared" si="15"/>
        <v>1</v>
      </c>
      <c r="J36" s="721"/>
      <c r="K36" s="24">
        <f t="shared" si="16"/>
        <v>1</v>
      </c>
      <c r="L36" s="721"/>
      <c r="M36" s="24">
        <f t="shared" si="17"/>
        <v>1</v>
      </c>
      <c r="N36" s="721"/>
      <c r="O36" s="24">
        <f t="shared" si="18"/>
        <v>1</v>
      </c>
      <c r="P36" s="721"/>
      <c r="Q36" s="24">
        <f t="shared" si="19"/>
        <v>1</v>
      </c>
      <c r="R36" s="717">
        <f t="shared" ca="1" si="20"/>
        <v>79622</v>
      </c>
      <c r="S36" s="362">
        <f t="shared" ca="1" si="11"/>
        <v>3498</v>
      </c>
      <c r="T36" s="2964" t="s">
        <v>3183</v>
      </c>
    </row>
    <row r="37" spans="1:20" ht="13.5">
      <c r="A37" s="2933" t="s">
        <v>3069</v>
      </c>
      <c r="B37" s="2933">
        <v>439.34</v>
      </c>
      <c r="C37" s="24">
        <f t="shared" si="12"/>
        <v>1</v>
      </c>
      <c r="D37" s="721" t="s">
        <v>3170</v>
      </c>
      <c r="E37" s="24">
        <f t="shared" si="13"/>
        <v>1.1000000000000001</v>
      </c>
      <c r="F37" s="721" t="s">
        <v>3133</v>
      </c>
      <c r="G37" s="24">
        <f t="shared" si="14"/>
        <v>1</v>
      </c>
      <c r="H37" s="721" t="s">
        <v>3167</v>
      </c>
      <c r="I37" s="24">
        <f t="shared" si="15"/>
        <v>1</v>
      </c>
      <c r="J37" s="721"/>
      <c r="K37" s="24">
        <f t="shared" si="16"/>
        <v>1</v>
      </c>
      <c r="L37" s="721"/>
      <c r="M37" s="24">
        <f t="shared" si="17"/>
        <v>1</v>
      </c>
      <c r="N37" s="721"/>
      <c r="O37" s="24">
        <f t="shared" si="18"/>
        <v>1</v>
      </c>
      <c r="P37" s="721"/>
      <c r="Q37" s="24">
        <f t="shared" si="19"/>
        <v>1</v>
      </c>
      <c r="R37" s="717">
        <f t="shared" ca="1" si="20"/>
        <v>87584</v>
      </c>
      <c r="S37" s="362">
        <f t="shared" ca="1" si="11"/>
        <v>3848</v>
      </c>
      <c r="T37" s="2964" t="s">
        <v>3183</v>
      </c>
    </row>
    <row r="38" spans="1:20" ht="13.5">
      <c r="A38" s="2934" t="s">
        <v>3070</v>
      </c>
      <c r="B38" s="2934">
        <v>900.43</v>
      </c>
      <c r="C38" s="24">
        <f t="shared" si="12"/>
        <v>1.02</v>
      </c>
      <c r="D38" s="721" t="s">
        <v>3170</v>
      </c>
      <c r="E38" s="24">
        <f t="shared" si="13"/>
        <v>1.1000000000000001</v>
      </c>
      <c r="F38" s="721" t="s">
        <v>3175</v>
      </c>
      <c r="G38" s="24">
        <f t="shared" si="14"/>
        <v>1.1000000000000001</v>
      </c>
      <c r="H38" s="721" t="s">
        <v>3167</v>
      </c>
      <c r="I38" s="24">
        <f t="shared" si="15"/>
        <v>1</v>
      </c>
      <c r="J38" s="721"/>
      <c r="K38" s="24">
        <f t="shared" si="16"/>
        <v>1</v>
      </c>
      <c r="L38" s="721"/>
      <c r="M38" s="24">
        <f t="shared" si="17"/>
        <v>1</v>
      </c>
      <c r="N38" s="721"/>
      <c r="O38" s="24">
        <f t="shared" si="18"/>
        <v>1</v>
      </c>
      <c r="P38" s="721"/>
      <c r="Q38" s="24">
        <f t="shared" si="19"/>
        <v>1</v>
      </c>
      <c r="R38" s="717">
        <f t="shared" ca="1" si="20"/>
        <v>98269</v>
      </c>
      <c r="S38" s="362">
        <f t="shared" ca="1" si="11"/>
        <v>8848</v>
      </c>
      <c r="T38" s="2964" t="s">
        <v>3183</v>
      </c>
    </row>
    <row r="39" spans="1:20" ht="13.5">
      <c r="A39" s="2934" t="s">
        <v>3071</v>
      </c>
      <c r="B39" s="2934">
        <v>906.27</v>
      </c>
      <c r="C39" s="24">
        <f t="shared" si="12"/>
        <v>1.02</v>
      </c>
      <c r="D39" s="721" t="s">
        <v>3170</v>
      </c>
      <c r="E39" s="24">
        <f t="shared" si="13"/>
        <v>1.1000000000000001</v>
      </c>
      <c r="F39" s="721" t="s">
        <v>3175</v>
      </c>
      <c r="G39" s="24">
        <f t="shared" si="14"/>
        <v>1.1000000000000001</v>
      </c>
      <c r="H39" s="721" t="s">
        <v>3167</v>
      </c>
      <c r="I39" s="24">
        <f t="shared" si="15"/>
        <v>1</v>
      </c>
      <c r="J39" s="721"/>
      <c r="K39" s="24">
        <f t="shared" si="16"/>
        <v>1</v>
      </c>
      <c r="L39" s="721"/>
      <c r="M39" s="24">
        <f t="shared" si="17"/>
        <v>1</v>
      </c>
      <c r="N39" s="721"/>
      <c r="O39" s="24">
        <f t="shared" si="18"/>
        <v>1</v>
      </c>
      <c r="P39" s="721"/>
      <c r="Q39" s="24">
        <f t="shared" si="19"/>
        <v>1</v>
      </c>
      <c r="R39" s="717">
        <f t="shared" ca="1" si="20"/>
        <v>98269</v>
      </c>
      <c r="S39" s="362">
        <f t="shared" ca="1" si="11"/>
        <v>8906</v>
      </c>
      <c r="T39" s="2964" t="s">
        <v>3183</v>
      </c>
    </row>
    <row r="40" spans="1:20" ht="13.5">
      <c r="A40" s="2935" t="s">
        <v>3066</v>
      </c>
      <c r="B40" s="2936">
        <v>944.47</v>
      </c>
      <c r="C40" s="24">
        <f t="shared" si="12"/>
        <v>1.02</v>
      </c>
      <c r="D40" s="721" t="s">
        <v>3170</v>
      </c>
      <c r="E40" s="24">
        <f t="shared" si="13"/>
        <v>1.1000000000000001</v>
      </c>
      <c r="F40" s="721" t="s">
        <v>3175</v>
      </c>
      <c r="G40" s="24">
        <f t="shared" si="14"/>
        <v>1.1000000000000001</v>
      </c>
      <c r="H40" s="721" t="s">
        <v>3167</v>
      </c>
      <c r="I40" s="24">
        <f t="shared" si="15"/>
        <v>1</v>
      </c>
      <c r="J40" s="721"/>
      <c r="K40" s="24">
        <f t="shared" si="16"/>
        <v>1</v>
      </c>
      <c r="L40" s="721"/>
      <c r="M40" s="24">
        <f t="shared" si="17"/>
        <v>1</v>
      </c>
      <c r="N40" s="721"/>
      <c r="O40" s="24">
        <f t="shared" si="18"/>
        <v>1</v>
      </c>
      <c r="P40" s="721"/>
      <c r="Q40" s="24">
        <f t="shared" si="19"/>
        <v>1</v>
      </c>
      <c r="R40" s="717">
        <f t="shared" ca="1" si="20"/>
        <v>98269</v>
      </c>
      <c r="S40" s="362">
        <f t="shared" ca="1" si="11"/>
        <v>9281</v>
      </c>
      <c r="T40" s="2964" t="s">
        <v>3184</v>
      </c>
    </row>
    <row r="41" spans="1:20" ht="13.5">
      <c r="A41" s="2935" t="s">
        <v>3067</v>
      </c>
      <c r="B41" s="2935">
        <v>943.7</v>
      </c>
      <c r="C41" s="24">
        <f t="shared" si="12"/>
        <v>1.02</v>
      </c>
      <c r="D41" s="721" t="s">
        <v>3170</v>
      </c>
      <c r="E41" s="24">
        <f t="shared" si="13"/>
        <v>1.1000000000000001</v>
      </c>
      <c r="F41" s="721" t="s">
        <v>3175</v>
      </c>
      <c r="G41" s="24">
        <f t="shared" si="14"/>
        <v>1.1000000000000001</v>
      </c>
      <c r="H41" s="721" t="s">
        <v>3167</v>
      </c>
      <c r="I41" s="24">
        <f t="shared" si="15"/>
        <v>1</v>
      </c>
      <c r="J41" s="721"/>
      <c r="K41" s="24">
        <f t="shared" si="16"/>
        <v>1</v>
      </c>
      <c r="L41" s="721"/>
      <c r="M41" s="24">
        <f t="shared" si="17"/>
        <v>1</v>
      </c>
      <c r="N41" s="721"/>
      <c r="O41" s="24">
        <f t="shared" si="18"/>
        <v>1</v>
      </c>
      <c r="P41" s="721"/>
      <c r="Q41" s="24">
        <f t="shared" si="19"/>
        <v>1</v>
      </c>
      <c r="R41" s="717">
        <f t="shared" ca="1" si="20"/>
        <v>98269</v>
      </c>
      <c r="S41" s="362">
        <f t="shared" ca="1" si="11"/>
        <v>9274</v>
      </c>
      <c r="T41" s="2964" t="s">
        <v>3184</v>
      </c>
    </row>
    <row r="42" spans="1:20" ht="13.5">
      <c r="A42" s="2935" t="s">
        <v>3073</v>
      </c>
      <c r="B42" s="2935">
        <v>513.07000000000005</v>
      </c>
      <c r="C42" s="24">
        <f t="shared" si="12"/>
        <v>1</v>
      </c>
      <c r="D42" s="721" t="s">
        <v>3158</v>
      </c>
      <c r="E42" s="24">
        <f t="shared" si="13"/>
        <v>1</v>
      </c>
      <c r="F42" s="721" t="s">
        <v>3133</v>
      </c>
      <c r="G42" s="24">
        <f t="shared" si="14"/>
        <v>1</v>
      </c>
      <c r="H42" s="721" t="s">
        <v>3167</v>
      </c>
      <c r="I42" s="24">
        <f t="shared" si="15"/>
        <v>1</v>
      </c>
      <c r="J42" s="721"/>
      <c r="K42" s="24">
        <f t="shared" si="16"/>
        <v>1</v>
      </c>
      <c r="L42" s="721"/>
      <c r="M42" s="24">
        <f t="shared" si="17"/>
        <v>1</v>
      </c>
      <c r="N42" s="721"/>
      <c r="O42" s="24">
        <f t="shared" si="18"/>
        <v>1</v>
      </c>
      <c r="P42" s="721"/>
      <c r="Q42" s="24">
        <f t="shared" si="19"/>
        <v>1</v>
      </c>
      <c r="R42" s="717">
        <f t="shared" ca="1" si="20"/>
        <v>79622</v>
      </c>
      <c r="S42" s="362">
        <f t="shared" ca="1" si="11"/>
        <v>4085</v>
      </c>
      <c r="T42" s="2964" t="s">
        <v>3184</v>
      </c>
    </row>
    <row r="43" spans="1:20" ht="13.5">
      <c r="A43" s="2935" t="s">
        <v>3074</v>
      </c>
      <c r="B43" s="2935">
        <v>514.23</v>
      </c>
      <c r="C43" s="24">
        <f t="shared" si="12"/>
        <v>1</v>
      </c>
      <c r="D43" s="721" t="s">
        <v>3158</v>
      </c>
      <c r="E43" s="24">
        <f t="shared" si="13"/>
        <v>1</v>
      </c>
      <c r="F43" s="721" t="s">
        <v>3133</v>
      </c>
      <c r="G43" s="24">
        <f t="shared" si="14"/>
        <v>1</v>
      </c>
      <c r="H43" s="721" t="s">
        <v>3167</v>
      </c>
      <c r="I43" s="24">
        <f t="shared" si="15"/>
        <v>1</v>
      </c>
      <c r="J43" s="721"/>
      <c r="K43" s="24">
        <f t="shared" si="16"/>
        <v>1</v>
      </c>
      <c r="L43" s="721"/>
      <c r="M43" s="24">
        <f t="shared" si="17"/>
        <v>1</v>
      </c>
      <c r="N43" s="721"/>
      <c r="O43" s="24">
        <f t="shared" si="18"/>
        <v>1</v>
      </c>
      <c r="P43" s="721"/>
      <c r="Q43" s="24">
        <f t="shared" si="19"/>
        <v>1</v>
      </c>
      <c r="R43" s="717">
        <f t="shared" ca="1" si="20"/>
        <v>79622</v>
      </c>
      <c r="S43" s="362">
        <f t="shared" ca="1" si="11"/>
        <v>4094</v>
      </c>
      <c r="T43" s="2964" t="s">
        <v>3184</v>
      </c>
    </row>
    <row r="44" spans="1:20" ht="13.5">
      <c r="A44" s="2935" t="s">
        <v>3075</v>
      </c>
      <c r="B44" s="2936">
        <v>514.79999999999995</v>
      </c>
      <c r="C44" s="24">
        <f t="shared" si="12"/>
        <v>1</v>
      </c>
      <c r="D44" s="721" t="s">
        <v>3158</v>
      </c>
      <c r="E44" s="24">
        <f t="shared" si="13"/>
        <v>1</v>
      </c>
      <c r="F44" s="721" t="s">
        <v>3133</v>
      </c>
      <c r="G44" s="24">
        <f t="shared" si="14"/>
        <v>1</v>
      </c>
      <c r="H44" s="721" t="s">
        <v>3167</v>
      </c>
      <c r="I44" s="24">
        <f t="shared" si="15"/>
        <v>1</v>
      </c>
      <c r="J44" s="721"/>
      <c r="K44" s="24">
        <f t="shared" si="16"/>
        <v>1</v>
      </c>
      <c r="L44" s="721"/>
      <c r="M44" s="24">
        <f t="shared" si="17"/>
        <v>1</v>
      </c>
      <c r="N44" s="721"/>
      <c r="O44" s="24">
        <f t="shared" si="18"/>
        <v>1</v>
      </c>
      <c r="P44" s="721"/>
      <c r="Q44" s="24">
        <f t="shared" si="19"/>
        <v>1</v>
      </c>
      <c r="R44" s="717">
        <f t="shared" ca="1" si="20"/>
        <v>79622</v>
      </c>
      <c r="S44" s="362">
        <f t="shared" ca="1" si="11"/>
        <v>4099</v>
      </c>
      <c r="T44" s="2964" t="s">
        <v>3184</v>
      </c>
    </row>
    <row r="45" spans="1:20" ht="13.5">
      <c r="A45" s="2935" t="s">
        <v>3076</v>
      </c>
      <c r="B45" s="2936">
        <v>515.91</v>
      </c>
      <c r="C45" s="24">
        <f t="shared" si="12"/>
        <v>1</v>
      </c>
      <c r="D45" s="721" t="s">
        <v>3158</v>
      </c>
      <c r="E45" s="24">
        <f t="shared" si="13"/>
        <v>1</v>
      </c>
      <c r="F45" s="721" t="s">
        <v>3133</v>
      </c>
      <c r="G45" s="24">
        <f t="shared" si="14"/>
        <v>1</v>
      </c>
      <c r="H45" s="721" t="s">
        <v>3167</v>
      </c>
      <c r="I45" s="24">
        <f t="shared" si="15"/>
        <v>1</v>
      </c>
      <c r="J45" s="721"/>
      <c r="K45" s="24">
        <f t="shared" si="16"/>
        <v>1</v>
      </c>
      <c r="L45" s="721"/>
      <c r="M45" s="24">
        <f t="shared" si="17"/>
        <v>1</v>
      </c>
      <c r="N45" s="721"/>
      <c r="O45" s="24">
        <f t="shared" si="18"/>
        <v>1</v>
      </c>
      <c r="P45" s="721"/>
      <c r="Q45" s="24">
        <f t="shared" si="19"/>
        <v>1</v>
      </c>
      <c r="R45" s="717">
        <f t="shared" ca="1" si="20"/>
        <v>79622</v>
      </c>
      <c r="S45" s="362">
        <f t="shared" ca="1" si="11"/>
        <v>4108</v>
      </c>
      <c r="T45" s="2964" t="s">
        <v>3184</v>
      </c>
    </row>
    <row r="46" spans="1:20" ht="13.5">
      <c r="A46" s="2935" t="s">
        <v>3077</v>
      </c>
      <c r="B46" s="2936">
        <v>514.79999999999995</v>
      </c>
      <c r="C46" s="24">
        <f t="shared" si="12"/>
        <v>1</v>
      </c>
      <c r="D46" s="721" t="s">
        <v>3158</v>
      </c>
      <c r="E46" s="24">
        <f t="shared" si="13"/>
        <v>1</v>
      </c>
      <c r="F46" s="721" t="s">
        <v>3133</v>
      </c>
      <c r="G46" s="24">
        <f t="shared" si="14"/>
        <v>1</v>
      </c>
      <c r="H46" s="721" t="s">
        <v>3167</v>
      </c>
      <c r="I46" s="24">
        <f t="shared" si="15"/>
        <v>1</v>
      </c>
      <c r="J46" s="721"/>
      <c r="K46" s="24">
        <f t="shared" si="16"/>
        <v>1</v>
      </c>
      <c r="L46" s="721"/>
      <c r="M46" s="24">
        <f t="shared" si="17"/>
        <v>1</v>
      </c>
      <c r="N46" s="721"/>
      <c r="O46" s="24">
        <f t="shared" si="18"/>
        <v>1</v>
      </c>
      <c r="P46" s="721"/>
      <c r="Q46" s="24">
        <f t="shared" si="19"/>
        <v>1</v>
      </c>
      <c r="R46" s="717">
        <f t="shared" ca="1" si="20"/>
        <v>79622</v>
      </c>
      <c r="S46" s="362">
        <f t="shared" ca="1" si="11"/>
        <v>4099</v>
      </c>
      <c r="T46" s="2964" t="s">
        <v>3184</v>
      </c>
    </row>
    <row r="47" spans="1:20" ht="13.5">
      <c r="A47" s="2935" t="s">
        <v>3078</v>
      </c>
      <c r="B47" s="2936">
        <v>515.91</v>
      </c>
      <c r="C47" s="24">
        <f t="shared" si="12"/>
        <v>1</v>
      </c>
      <c r="D47" s="721" t="s">
        <v>3158</v>
      </c>
      <c r="E47" s="24">
        <f t="shared" si="13"/>
        <v>1</v>
      </c>
      <c r="F47" s="721" t="s">
        <v>3133</v>
      </c>
      <c r="G47" s="24">
        <f t="shared" si="14"/>
        <v>1</v>
      </c>
      <c r="H47" s="721" t="s">
        <v>3167</v>
      </c>
      <c r="I47" s="24">
        <f t="shared" si="15"/>
        <v>1</v>
      </c>
      <c r="J47" s="721"/>
      <c r="K47" s="24">
        <f t="shared" si="16"/>
        <v>1</v>
      </c>
      <c r="L47" s="721"/>
      <c r="M47" s="24">
        <f t="shared" si="17"/>
        <v>1</v>
      </c>
      <c r="N47" s="721"/>
      <c r="O47" s="24">
        <f t="shared" si="18"/>
        <v>1</v>
      </c>
      <c r="P47" s="721"/>
      <c r="Q47" s="24">
        <f t="shared" si="19"/>
        <v>1</v>
      </c>
      <c r="R47" s="717">
        <f t="shared" ca="1" si="20"/>
        <v>79622</v>
      </c>
      <c r="S47" s="362">
        <f t="shared" ca="1" si="11"/>
        <v>4108</v>
      </c>
      <c r="T47" s="2964" t="s">
        <v>3184</v>
      </c>
    </row>
    <row r="48" spans="1:20" ht="13.5">
      <c r="A48" s="2935" t="s">
        <v>3079</v>
      </c>
      <c r="B48" s="2936">
        <v>515.91</v>
      </c>
      <c r="C48" s="24">
        <f t="shared" si="12"/>
        <v>1</v>
      </c>
      <c r="D48" s="721" t="s">
        <v>3170</v>
      </c>
      <c r="E48" s="24">
        <f t="shared" si="13"/>
        <v>1.1000000000000001</v>
      </c>
      <c r="F48" s="721" t="s">
        <v>3133</v>
      </c>
      <c r="G48" s="24">
        <f t="shared" si="14"/>
        <v>1</v>
      </c>
      <c r="H48" s="721" t="s">
        <v>3167</v>
      </c>
      <c r="I48" s="24">
        <f t="shared" si="15"/>
        <v>1</v>
      </c>
      <c r="J48" s="721"/>
      <c r="K48" s="24">
        <f t="shared" si="16"/>
        <v>1</v>
      </c>
      <c r="L48" s="721"/>
      <c r="M48" s="24">
        <f t="shared" si="17"/>
        <v>1</v>
      </c>
      <c r="N48" s="721"/>
      <c r="O48" s="24">
        <f t="shared" si="18"/>
        <v>1</v>
      </c>
      <c r="P48" s="721"/>
      <c r="Q48" s="24">
        <f t="shared" si="19"/>
        <v>1</v>
      </c>
      <c r="R48" s="717">
        <f t="shared" ca="1" si="20"/>
        <v>87584</v>
      </c>
      <c r="S48" s="362">
        <f t="shared" ca="1" si="11"/>
        <v>4519</v>
      </c>
      <c r="T48" s="2964" t="s">
        <v>3184</v>
      </c>
    </row>
    <row r="49" spans="1:20" ht="13.5">
      <c r="A49" s="2935" t="s">
        <v>3080</v>
      </c>
      <c r="B49" s="2936">
        <v>514.79999999999995</v>
      </c>
      <c r="C49" s="24">
        <f t="shared" si="12"/>
        <v>1</v>
      </c>
      <c r="D49" s="721" t="s">
        <v>3170</v>
      </c>
      <c r="E49" s="24">
        <f t="shared" si="13"/>
        <v>1.1000000000000001</v>
      </c>
      <c r="F49" s="721" t="s">
        <v>3133</v>
      </c>
      <c r="G49" s="24">
        <f t="shared" si="14"/>
        <v>1</v>
      </c>
      <c r="H49" s="721" t="s">
        <v>3167</v>
      </c>
      <c r="I49" s="24">
        <f t="shared" si="15"/>
        <v>1</v>
      </c>
      <c r="J49" s="721"/>
      <c r="K49" s="24">
        <f t="shared" si="16"/>
        <v>1</v>
      </c>
      <c r="L49" s="721"/>
      <c r="M49" s="24">
        <f t="shared" si="17"/>
        <v>1</v>
      </c>
      <c r="N49" s="721"/>
      <c r="O49" s="24">
        <f t="shared" si="18"/>
        <v>1</v>
      </c>
      <c r="P49" s="721"/>
      <c r="Q49" s="24">
        <f t="shared" si="19"/>
        <v>1</v>
      </c>
      <c r="R49" s="717">
        <f t="shared" ca="1" si="20"/>
        <v>87584</v>
      </c>
      <c r="S49" s="362">
        <f t="shared" ca="1" si="11"/>
        <v>4509</v>
      </c>
      <c r="T49" s="2965" t="s">
        <v>3184</v>
      </c>
    </row>
    <row r="50" spans="1:20" ht="13.5">
      <c r="A50" s="2935" t="s">
        <v>3081</v>
      </c>
      <c r="B50" s="2936">
        <v>515.91</v>
      </c>
      <c r="C50" s="24">
        <f t="shared" si="12"/>
        <v>1</v>
      </c>
      <c r="D50" s="721" t="s">
        <v>3170</v>
      </c>
      <c r="E50" s="24">
        <f t="shared" si="13"/>
        <v>1.1000000000000001</v>
      </c>
      <c r="F50" s="721" t="s">
        <v>3133</v>
      </c>
      <c r="G50" s="24">
        <f t="shared" si="14"/>
        <v>1</v>
      </c>
      <c r="H50" s="721" t="s">
        <v>3167</v>
      </c>
      <c r="I50" s="24">
        <f t="shared" si="15"/>
        <v>1</v>
      </c>
      <c r="J50" s="721"/>
      <c r="K50" s="24">
        <f t="shared" si="16"/>
        <v>1</v>
      </c>
      <c r="L50" s="721"/>
      <c r="M50" s="24">
        <f t="shared" si="17"/>
        <v>1</v>
      </c>
      <c r="N50" s="721"/>
      <c r="O50" s="24">
        <f t="shared" si="18"/>
        <v>1</v>
      </c>
      <c r="P50" s="721"/>
      <c r="Q50" s="24">
        <f t="shared" si="19"/>
        <v>1</v>
      </c>
      <c r="R50" s="717">
        <f t="shared" ca="1" si="20"/>
        <v>87584</v>
      </c>
      <c r="S50" s="362">
        <f t="shared" ca="1" si="11"/>
        <v>4519</v>
      </c>
      <c r="T50" s="2964" t="s">
        <v>3184</v>
      </c>
    </row>
    <row r="51" spans="1:20" ht="13.5">
      <c r="A51" s="2935" t="s">
        <v>3082</v>
      </c>
      <c r="B51" s="2936">
        <v>514.79999999999995</v>
      </c>
      <c r="C51" s="24">
        <f t="shared" si="12"/>
        <v>1</v>
      </c>
      <c r="D51" s="721" t="s">
        <v>3170</v>
      </c>
      <c r="E51" s="24">
        <f t="shared" si="13"/>
        <v>1.1000000000000001</v>
      </c>
      <c r="F51" s="721" t="s">
        <v>3133</v>
      </c>
      <c r="G51" s="24">
        <f t="shared" si="14"/>
        <v>1</v>
      </c>
      <c r="H51" s="721" t="s">
        <v>3167</v>
      </c>
      <c r="I51" s="24">
        <f t="shared" si="15"/>
        <v>1</v>
      </c>
      <c r="J51" s="721"/>
      <c r="K51" s="24">
        <f t="shared" si="16"/>
        <v>1</v>
      </c>
      <c r="L51" s="721"/>
      <c r="M51" s="24">
        <f t="shared" si="17"/>
        <v>1</v>
      </c>
      <c r="N51" s="721"/>
      <c r="O51" s="24">
        <f t="shared" si="18"/>
        <v>1</v>
      </c>
      <c r="P51" s="721"/>
      <c r="Q51" s="24">
        <f t="shared" si="19"/>
        <v>1</v>
      </c>
      <c r="R51" s="717">
        <f t="shared" ca="1" si="20"/>
        <v>87584</v>
      </c>
      <c r="S51" s="362">
        <f t="shared" ca="1" si="11"/>
        <v>4509</v>
      </c>
      <c r="T51" s="2964" t="s">
        <v>3184</v>
      </c>
    </row>
    <row r="52" spans="1:20" ht="13.5">
      <c r="A52" s="2935" t="s">
        <v>3083</v>
      </c>
      <c r="B52" s="2936">
        <v>515.91</v>
      </c>
      <c r="C52" s="24">
        <f t="shared" si="12"/>
        <v>1</v>
      </c>
      <c r="D52" s="721" t="s">
        <v>3170</v>
      </c>
      <c r="E52" s="24">
        <f t="shared" si="13"/>
        <v>1.1000000000000001</v>
      </c>
      <c r="F52" s="721" t="s">
        <v>3133</v>
      </c>
      <c r="G52" s="24">
        <f t="shared" si="14"/>
        <v>1</v>
      </c>
      <c r="H52" s="721" t="s">
        <v>3167</v>
      </c>
      <c r="I52" s="24">
        <f t="shared" si="15"/>
        <v>1</v>
      </c>
      <c r="J52" s="721"/>
      <c r="K52" s="24">
        <f t="shared" si="16"/>
        <v>1</v>
      </c>
      <c r="L52" s="721"/>
      <c r="M52" s="24">
        <f t="shared" si="17"/>
        <v>1</v>
      </c>
      <c r="N52" s="721"/>
      <c r="O52" s="24">
        <f t="shared" si="18"/>
        <v>1</v>
      </c>
      <c r="P52" s="721"/>
      <c r="Q52" s="24">
        <f t="shared" si="19"/>
        <v>1</v>
      </c>
      <c r="R52" s="717">
        <f t="shared" ca="1" si="20"/>
        <v>87584</v>
      </c>
      <c r="S52" s="362">
        <f t="shared" ca="1" si="11"/>
        <v>4519</v>
      </c>
      <c r="T52" s="2964" t="s">
        <v>3184</v>
      </c>
    </row>
    <row r="53" spans="1:20" ht="13.5">
      <c r="A53" s="2935" t="s">
        <v>3084</v>
      </c>
      <c r="B53" s="2936">
        <v>514.79999999999995</v>
      </c>
      <c r="C53" s="24">
        <f t="shared" si="12"/>
        <v>1</v>
      </c>
      <c r="D53" s="721" t="s">
        <v>3170</v>
      </c>
      <c r="E53" s="24">
        <f t="shared" si="13"/>
        <v>1.1000000000000001</v>
      </c>
      <c r="F53" s="721" t="s">
        <v>3133</v>
      </c>
      <c r="G53" s="24">
        <f t="shared" si="14"/>
        <v>1</v>
      </c>
      <c r="H53" s="721" t="s">
        <v>3167</v>
      </c>
      <c r="I53" s="24">
        <f t="shared" si="15"/>
        <v>1</v>
      </c>
      <c r="J53" s="721"/>
      <c r="K53" s="24">
        <f t="shared" si="16"/>
        <v>1</v>
      </c>
      <c r="L53" s="721"/>
      <c r="M53" s="24">
        <f t="shared" si="17"/>
        <v>1</v>
      </c>
      <c r="N53" s="721"/>
      <c r="O53" s="24">
        <f t="shared" si="18"/>
        <v>1</v>
      </c>
      <c r="P53" s="721"/>
      <c r="Q53" s="24">
        <f t="shared" si="19"/>
        <v>1</v>
      </c>
      <c r="R53" s="717">
        <f t="shared" ca="1" si="20"/>
        <v>87584</v>
      </c>
      <c r="S53" s="362">
        <f t="shared" ca="1" si="11"/>
        <v>4509</v>
      </c>
      <c r="T53" s="2964" t="s">
        <v>3184</v>
      </c>
    </row>
    <row r="54" spans="1:20" ht="13.5">
      <c r="A54" s="2935" t="s">
        <v>3085</v>
      </c>
      <c r="B54" s="2936">
        <v>515.91</v>
      </c>
      <c r="C54" s="24">
        <f t="shared" si="12"/>
        <v>1</v>
      </c>
      <c r="D54" s="721" t="s">
        <v>3170</v>
      </c>
      <c r="E54" s="24">
        <f t="shared" si="13"/>
        <v>1.1000000000000001</v>
      </c>
      <c r="F54" s="721" t="s">
        <v>3133</v>
      </c>
      <c r="G54" s="24">
        <f t="shared" si="14"/>
        <v>1</v>
      </c>
      <c r="H54" s="721" t="s">
        <v>3167</v>
      </c>
      <c r="I54" s="24">
        <f t="shared" si="15"/>
        <v>1</v>
      </c>
      <c r="J54" s="721"/>
      <c r="K54" s="24">
        <f t="shared" si="16"/>
        <v>1</v>
      </c>
      <c r="L54" s="721"/>
      <c r="M54" s="24">
        <f t="shared" si="17"/>
        <v>1</v>
      </c>
      <c r="N54" s="721"/>
      <c r="O54" s="24">
        <f t="shared" si="18"/>
        <v>1</v>
      </c>
      <c r="P54" s="721"/>
      <c r="Q54" s="24">
        <f t="shared" si="19"/>
        <v>1</v>
      </c>
      <c r="R54" s="717">
        <f t="shared" ca="1" si="20"/>
        <v>87584</v>
      </c>
      <c r="S54" s="362">
        <f t="shared" ca="1" si="11"/>
        <v>4519</v>
      </c>
      <c r="T54" s="2964" t="s">
        <v>3184</v>
      </c>
    </row>
    <row r="55" spans="1:20" ht="13.5">
      <c r="A55" s="2935" t="s">
        <v>3086</v>
      </c>
      <c r="B55" s="2936">
        <v>514.79999999999995</v>
      </c>
      <c r="C55" s="24">
        <f t="shared" si="12"/>
        <v>1</v>
      </c>
      <c r="D55" s="721" t="s">
        <v>3170</v>
      </c>
      <c r="E55" s="24">
        <f t="shared" si="13"/>
        <v>1.1000000000000001</v>
      </c>
      <c r="F55" s="721" t="s">
        <v>3133</v>
      </c>
      <c r="G55" s="24">
        <f t="shared" si="14"/>
        <v>1</v>
      </c>
      <c r="H55" s="721" t="s">
        <v>3167</v>
      </c>
      <c r="I55" s="24">
        <f t="shared" si="15"/>
        <v>1</v>
      </c>
      <c r="J55" s="721"/>
      <c r="K55" s="24">
        <f t="shared" si="16"/>
        <v>1</v>
      </c>
      <c r="L55" s="721"/>
      <c r="M55" s="24">
        <f t="shared" si="17"/>
        <v>1</v>
      </c>
      <c r="N55" s="721"/>
      <c r="O55" s="24">
        <f t="shared" si="18"/>
        <v>1</v>
      </c>
      <c r="P55" s="721"/>
      <c r="Q55" s="24">
        <f t="shared" si="19"/>
        <v>1</v>
      </c>
      <c r="R55" s="717">
        <f t="shared" ca="1" si="20"/>
        <v>87584</v>
      </c>
      <c r="S55" s="362">
        <f t="shared" ref="S55:S77" ca="1" si="21">ROUND(R55*B55/10000,0)</f>
        <v>4509</v>
      </c>
      <c r="T55" s="2964" t="s">
        <v>3184</v>
      </c>
    </row>
    <row r="56" spans="1:20" ht="13.5">
      <c r="A56" s="2935" t="s">
        <v>3087</v>
      </c>
      <c r="B56" s="2936">
        <v>515.91</v>
      </c>
      <c r="C56" s="24">
        <f t="shared" si="12"/>
        <v>1</v>
      </c>
      <c r="D56" s="721" t="s">
        <v>3170</v>
      </c>
      <c r="E56" s="24">
        <f t="shared" si="13"/>
        <v>1.1000000000000001</v>
      </c>
      <c r="F56" s="721" t="s">
        <v>3133</v>
      </c>
      <c r="G56" s="24">
        <f t="shared" si="14"/>
        <v>1</v>
      </c>
      <c r="H56" s="721" t="s">
        <v>3167</v>
      </c>
      <c r="I56" s="24">
        <f t="shared" si="15"/>
        <v>1</v>
      </c>
      <c r="J56" s="721"/>
      <c r="K56" s="24">
        <f t="shared" si="16"/>
        <v>1</v>
      </c>
      <c r="L56" s="721"/>
      <c r="M56" s="24">
        <f t="shared" si="17"/>
        <v>1</v>
      </c>
      <c r="N56" s="721"/>
      <c r="O56" s="24">
        <f t="shared" si="18"/>
        <v>1</v>
      </c>
      <c r="P56" s="721"/>
      <c r="Q56" s="24">
        <f t="shared" si="19"/>
        <v>1</v>
      </c>
      <c r="R56" s="717">
        <f t="shared" ca="1" si="20"/>
        <v>87584</v>
      </c>
      <c r="S56" s="362">
        <f t="shared" ca="1" si="21"/>
        <v>4519</v>
      </c>
      <c r="T56" s="2964" t="s">
        <v>3184</v>
      </c>
    </row>
    <row r="57" spans="1:20" ht="13.5">
      <c r="A57" s="2935" t="s">
        <v>3088</v>
      </c>
      <c r="B57" s="2936">
        <v>514.79999999999995</v>
      </c>
      <c r="C57" s="24">
        <f t="shared" si="12"/>
        <v>1</v>
      </c>
      <c r="D57" s="721" t="s">
        <v>3170</v>
      </c>
      <c r="E57" s="24">
        <f t="shared" si="13"/>
        <v>1.1000000000000001</v>
      </c>
      <c r="F57" s="721" t="s">
        <v>3133</v>
      </c>
      <c r="G57" s="24">
        <f t="shared" si="14"/>
        <v>1</v>
      </c>
      <c r="H57" s="721" t="s">
        <v>3167</v>
      </c>
      <c r="I57" s="24">
        <f t="shared" si="15"/>
        <v>1</v>
      </c>
      <c r="J57" s="721"/>
      <c r="K57" s="24">
        <f t="shared" si="16"/>
        <v>1</v>
      </c>
      <c r="L57" s="721"/>
      <c r="M57" s="24">
        <f t="shared" si="17"/>
        <v>1</v>
      </c>
      <c r="N57" s="721"/>
      <c r="O57" s="24">
        <f t="shared" si="18"/>
        <v>1</v>
      </c>
      <c r="P57" s="721"/>
      <c r="Q57" s="24">
        <f t="shared" si="19"/>
        <v>1</v>
      </c>
      <c r="R57" s="717">
        <f t="shared" ca="1" si="20"/>
        <v>87584</v>
      </c>
      <c r="S57" s="362">
        <f t="shared" ca="1" si="21"/>
        <v>4509</v>
      </c>
      <c r="T57" s="2965" t="s">
        <v>3184</v>
      </c>
    </row>
    <row r="58" spans="1:20" ht="13.5">
      <c r="A58" s="2935" t="s">
        <v>3089</v>
      </c>
      <c r="B58" s="2936">
        <v>515.91</v>
      </c>
      <c r="C58" s="24">
        <f t="shared" si="12"/>
        <v>1</v>
      </c>
      <c r="D58" s="721" t="s">
        <v>3170</v>
      </c>
      <c r="E58" s="24">
        <f t="shared" si="13"/>
        <v>1.1000000000000001</v>
      </c>
      <c r="F58" s="721" t="s">
        <v>3133</v>
      </c>
      <c r="G58" s="24">
        <f t="shared" si="14"/>
        <v>1</v>
      </c>
      <c r="H58" s="721" t="s">
        <v>3167</v>
      </c>
      <c r="I58" s="24">
        <f t="shared" si="15"/>
        <v>1</v>
      </c>
      <c r="J58" s="721"/>
      <c r="K58" s="24">
        <f t="shared" si="16"/>
        <v>1</v>
      </c>
      <c r="L58" s="721"/>
      <c r="M58" s="24">
        <f t="shared" si="17"/>
        <v>1</v>
      </c>
      <c r="N58" s="721"/>
      <c r="O58" s="24">
        <f t="shared" si="18"/>
        <v>1</v>
      </c>
      <c r="P58" s="721"/>
      <c r="Q58" s="24">
        <f t="shared" si="19"/>
        <v>1</v>
      </c>
      <c r="R58" s="717">
        <f t="shared" ca="1" si="20"/>
        <v>87584</v>
      </c>
      <c r="S58" s="362">
        <f t="shared" ca="1" si="21"/>
        <v>4519</v>
      </c>
      <c r="T58" s="2964" t="s">
        <v>3184</v>
      </c>
    </row>
    <row r="59" spans="1:20" ht="13.5">
      <c r="A59" s="2935" t="s">
        <v>3090</v>
      </c>
      <c r="B59" s="2936">
        <v>514.79999999999995</v>
      </c>
      <c r="C59" s="24">
        <f t="shared" si="12"/>
        <v>1</v>
      </c>
      <c r="D59" s="721" t="s">
        <v>3170</v>
      </c>
      <c r="E59" s="24">
        <f t="shared" si="13"/>
        <v>1.1000000000000001</v>
      </c>
      <c r="F59" s="721" t="s">
        <v>3133</v>
      </c>
      <c r="G59" s="24">
        <f t="shared" si="14"/>
        <v>1</v>
      </c>
      <c r="H59" s="721" t="s">
        <v>3167</v>
      </c>
      <c r="I59" s="24">
        <f t="shared" si="15"/>
        <v>1</v>
      </c>
      <c r="J59" s="721"/>
      <c r="K59" s="24">
        <f t="shared" si="16"/>
        <v>1</v>
      </c>
      <c r="L59" s="721"/>
      <c r="M59" s="24">
        <f t="shared" si="17"/>
        <v>1</v>
      </c>
      <c r="N59" s="721"/>
      <c r="O59" s="24">
        <f t="shared" si="18"/>
        <v>1</v>
      </c>
      <c r="P59" s="721"/>
      <c r="Q59" s="24">
        <f t="shared" si="19"/>
        <v>1</v>
      </c>
      <c r="R59" s="717">
        <f t="shared" ca="1" si="20"/>
        <v>87584</v>
      </c>
      <c r="S59" s="362">
        <f t="shared" ca="1" si="21"/>
        <v>4509</v>
      </c>
      <c r="T59" s="2965" t="s">
        <v>3184</v>
      </c>
    </row>
    <row r="60" spans="1:20" ht="13.5">
      <c r="A60" s="2935" t="s">
        <v>3091</v>
      </c>
      <c r="B60" s="2936">
        <v>515.91</v>
      </c>
      <c r="C60" s="24">
        <f t="shared" si="12"/>
        <v>1</v>
      </c>
      <c r="D60" s="721" t="s">
        <v>3170</v>
      </c>
      <c r="E60" s="24">
        <f t="shared" si="13"/>
        <v>1.1000000000000001</v>
      </c>
      <c r="F60" s="721" t="s">
        <v>3133</v>
      </c>
      <c r="G60" s="24">
        <f t="shared" si="14"/>
        <v>1</v>
      </c>
      <c r="H60" s="721" t="s">
        <v>3167</v>
      </c>
      <c r="I60" s="24">
        <f t="shared" si="15"/>
        <v>1</v>
      </c>
      <c r="J60" s="721"/>
      <c r="K60" s="24">
        <f t="shared" si="16"/>
        <v>1</v>
      </c>
      <c r="L60" s="721"/>
      <c r="M60" s="24">
        <f t="shared" si="17"/>
        <v>1</v>
      </c>
      <c r="N60" s="721"/>
      <c r="O60" s="24">
        <f t="shared" si="18"/>
        <v>1</v>
      </c>
      <c r="P60" s="721"/>
      <c r="Q60" s="24">
        <f t="shared" si="19"/>
        <v>1</v>
      </c>
      <c r="R60" s="717">
        <f t="shared" ca="1" si="20"/>
        <v>87584</v>
      </c>
      <c r="S60" s="362">
        <f t="shared" ca="1" si="21"/>
        <v>4519</v>
      </c>
      <c r="T60" s="2964" t="s">
        <v>3184</v>
      </c>
    </row>
    <row r="61" spans="1:20" ht="13.5">
      <c r="A61" s="2935" t="s">
        <v>3070</v>
      </c>
      <c r="B61" s="2935">
        <v>943.7</v>
      </c>
      <c r="C61" s="24">
        <f t="shared" si="12"/>
        <v>1.02</v>
      </c>
      <c r="D61" s="721" t="s">
        <v>3170</v>
      </c>
      <c r="E61" s="24">
        <f t="shared" si="13"/>
        <v>1.1000000000000001</v>
      </c>
      <c r="F61" s="721" t="s">
        <v>3175</v>
      </c>
      <c r="G61" s="24">
        <f t="shared" si="14"/>
        <v>1.1000000000000001</v>
      </c>
      <c r="H61" s="721" t="s">
        <v>3167</v>
      </c>
      <c r="I61" s="24">
        <f t="shared" si="15"/>
        <v>1</v>
      </c>
      <c r="J61" s="721"/>
      <c r="K61" s="24">
        <f t="shared" si="16"/>
        <v>1</v>
      </c>
      <c r="L61" s="721"/>
      <c r="M61" s="24">
        <f t="shared" si="17"/>
        <v>1</v>
      </c>
      <c r="N61" s="721"/>
      <c r="O61" s="24">
        <f t="shared" si="18"/>
        <v>1</v>
      </c>
      <c r="P61" s="721"/>
      <c r="Q61" s="24">
        <f t="shared" si="19"/>
        <v>1</v>
      </c>
      <c r="R61" s="717">
        <f t="shared" ca="1" si="20"/>
        <v>98269</v>
      </c>
      <c r="S61" s="362">
        <f t="shared" ca="1" si="21"/>
        <v>9274</v>
      </c>
      <c r="T61" s="2964" t="s">
        <v>3184</v>
      </c>
    </row>
    <row r="62" spans="1:20" ht="13.5">
      <c r="A62" s="2935" t="s">
        <v>3071</v>
      </c>
      <c r="B62" s="2935">
        <v>944.47</v>
      </c>
      <c r="C62" s="24">
        <f t="shared" si="12"/>
        <v>1.02</v>
      </c>
      <c r="D62" s="721" t="s">
        <v>3170</v>
      </c>
      <c r="E62" s="24">
        <f t="shared" si="13"/>
        <v>1.1000000000000001</v>
      </c>
      <c r="F62" s="721" t="s">
        <v>3175</v>
      </c>
      <c r="G62" s="24">
        <f t="shared" si="14"/>
        <v>1.1000000000000001</v>
      </c>
      <c r="H62" s="721" t="s">
        <v>3167</v>
      </c>
      <c r="I62" s="24">
        <f t="shared" si="15"/>
        <v>1</v>
      </c>
      <c r="J62" s="721"/>
      <c r="K62" s="24">
        <f t="shared" si="16"/>
        <v>1</v>
      </c>
      <c r="L62" s="721"/>
      <c r="M62" s="24">
        <f t="shared" si="17"/>
        <v>1</v>
      </c>
      <c r="N62" s="721"/>
      <c r="O62" s="24">
        <f t="shared" si="18"/>
        <v>1</v>
      </c>
      <c r="P62" s="721"/>
      <c r="Q62" s="24">
        <f t="shared" si="19"/>
        <v>1</v>
      </c>
      <c r="R62" s="717">
        <f t="shared" ca="1" si="20"/>
        <v>98269</v>
      </c>
      <c r="S62" s="362">
        <f t="shared" ca="1" si="21"/>
        <v>9281</v>
      </c>
      <c r="T62" s="2964" t="s">
        <v>3184</v>
      </c>
    </row>
    <row r="63" spans="1:20" ht="13.5">
      <c r="A63" s="2937" t="s">
        <v>3092</v>
      </c>
      <c r="B63" s="2937">
        <v>453.31</v>
      </c>
      <c r="C63" s="24">
        <f t="shared" si="12"/>
        <v>1</v>
      </c>
      <c r="D63" s="721" t="s">
        <v>3158</v>
      </c>
      <c r="E63" s="24">
        <f t="shared" si="13"/>
        <v>1</v>
      </c>
      <c r="F63" s="721" t="s">
        <v>3133</v>
      </c>
      <c r="G63" s="24">
        <f t="shared" si="14"/>
        <v>1</v>
      </c>
      <c r="H63" s="721" t="s">
        <v>3167</v>
      </c>
      <c r="I63" s="24">
        <f t="shared" si="15"/>
        <v>1</v>
      </c>
      <c r="J63" s="721"/>
      <c r="K63" s="24">
        <f t="shared" si="16"/>
        <v>1</v>
      </c>
      <c r="L63" s="721"/>
      <c r="M63" s="24">
        <f t="shared" si="17"/>
        <v>1</v>
      </c>
      <c r="N63" s="721"/>
      <c r="O63" s="24">
        <f t="shared" si="18"/>
        <v>1</v>
      </c>
      <c r="P63" s="721"/>
      <c r="Q63" s="24">
        <f t="shared" si="19"/>
        <v>1</v>
      </c>
      <c r="R63" s="717">
        <f t="shared" ca="1" si="20"/>
        <v>79622</v>
      </c>
      <c r="S63" s="362">
        <f t="shared" ca="1" si="21"/>
        <v>3609</v>
      </c>
      <c r="T63" s="2964" t="s">
        <v>3185</v>
      </c>
    </row>
    <row r="64" spans="1:20" ht="13.5">
      <c r="A64" s="2937" t="s">
        <v>3093</v>
      </c>
      <c r="B64" s="2937">
        <v>447.49</v>
      </c>
      <c r="C64" s="24">
        <f t="shared" si="12"/>
        <v>1</v>
      </c>
      <c r="D64" s="721" t="s">
        <v>3158</v>
      </c>
      <c r="E64" s="24">
        <f t="shared" si="13"/>
        <v>1</v>
      </c>
      <c r="F64" s="721" t="s">
        <v>3133</v>
      </c>
      <c r="G64" s="24">
        <f t="shared" si="14"/>
        <v>1</v>
      </c>
      <c r="H64" s="721" t="s">
        <v>3167</v>
      </c>
      <c r="I64" s="24">
        <f t="shared" si="15"/>
        <v>1</v>
      </c>
      <c r="J64" s="721"/>
      <c r="K64" s="24">
        <f t="shared" si="16"/>
        <v>1</v>
      </c>
      <c r="L64" s="721"/>
      <c r="M64" s="24">
        <f t="shared" si="17"/>
        <v>1</v>
      </c>
      <c r="N64" s="721"/>
      <c r="O64" s="24">
        <f t="shared" si="18"/>
        <v>1</v>
      </c>
      <c r="P64" s="721"/>
      <c r="Q64" s="24">
        <f t="shared" si="19"/>
        <v>1</v>
      </c>
      <c r="R64" s="717">
        <f t="shared" ca="1" si="20"/>
        <v>79622</v>
      </c>
      <c r="S64" s="362">
        <f t="shared" ca="1" si="21"/>
        <v>3563</v>
      </c>
      <c r="T64" s="2964" t="s">
        <v>3185</v>
      </c>
    </row>
    <row r="65" spans="1:20" ht="13.5">
      <c r="A65" s="2937" t="s">
        <v>3094</v>
      </c>
      <c r="B65" s="2938">
        <v>447.82</v>
      </c>
      <c r="C65" s="24">
        <f t="shared" si="12"/>
        <v>1</v>
      </c>
      <c r="D65" s="721" t="s">
        <v>3158</v>
      </c>
      <c r="E65" s="24">
        <f t="shared" si="13"/>
        <v>1</v>
      </c>
      <c r="F65" s="721" t="s">
        <v>3133</v>
      </c>
      <c r="G65" s="24">
        <f t="shared" si="14"/>
        <v>1</v>
      </c>
      <c r="H65" s="721" t="s">
        <v>3167</v>
      </c>
      <c r="I65" s="24">
        <f t="shared" si="15"/>
        <v>1</v>
      </c>
      <c r="J65" s="721"/>
      <c r="K65" s="24">
        <f t="shared" si="16"/>
        <v>1</v>
      </c>
      <c r="L65" s="721"/>
      <c r="M65" s="24">
        <f t="shared" si="17"/>
        <v>1</v>
      </c>
      <c r="N65" s="721"/>
      <c r="O65" s="24">
        <f t="shared" si="18"/>
        <v>1</v>
      </c>
      <c r="P65" s="721"/>
      <c r="Q65" s="24">
        <f t="shared" si="19"/>
        <v>1</v>
      </c>
      <c r="R65" s="717">
        <f t="shared" ca="1" si="20"/>
        <v>79622</v>
      </c>
      <c r="S65" s="362">
        <f t="shared" ca="1" si="21"/>
        <v>3566</v>
      </c>
      <c r="T65" s="2964" t="s">
        <v>3185</v>
      </c>
    </row>
    <row r="66" spans="1:20" ht="13.5">
      <c r="A66" s="2937" t="s">
        <v>3095</v>
      </c>
      <c r="B66" s="2938">
        <v>447.82</v>
      </c>
      <c r="C66" s="24">
        <f t="shared" si="12"/>
        <v>1</v>
      </c>
      <c r="D66" s="721" t="s">
        <v>3158</v>
      </c>
      <c r="E66" s="24">
        <f t="shared" si="13"/>
        <v>1</v>
      </c>
      <c r="F66" s="721" t="s">
        <v>3133</v>
      </c>
      <c r="G66" s="24">
        <f t="shared" si="14"/>
        <v>1</v>
      </c>
      <c r="H66" s="721" t="s">
        <v>3167</v>
      </c>
      <c r="I66" s="24">
        <f t="shared" si="15"/>
        <v>1</v>
      </c>
      <c r="J66" s="721"/>
      <c r="K66" s="24">
        <f t="shared" si="16"/>
        <v>1</v>
      </c>
      <c r="L66" s="721"/>
      <c r="M66" s="24">
        <f t="shared" si="17"/>
        <v>1</v>
      </c>
      <c r="N66" s="721"/>
      <c r="O66" s="24">
        <f t="shared" si="18"/>
        <v>1</v>
      </c>
      <c r="P66" s="721"/>
      <c r="Q66" s="24">
        <f t="shared" si="19"/>
        <v>1</v>
      </c>
      <c r="R66" s="717">
        <f t="shared" ca="1" si="20"/>
        <v>79622</v>
      </c>
      <c r="S66" s="362">
        <f t="shared" ca="1" si="21"/>
        <v>3566</v>
      </c>
      <c r="T66" s="2964" t="s">
        <v>3185</v>
      </c>
    </row>
    <row r="67" spans="1:20" ht="13.5">
      <c r="A67" s="2937" t="s">
        <v>3096</v>
      </c>
      <c r="B67" s="2938">
        <v>453.64</v>
      </c>
      <c r="C67" s="24">
        <f t="shared" si="12"/>
        <v>1</v>
      </c>
      <c r="D67" s="721" t="s">
        <v>3158</v>
      </c>
      <c r="E67" s="24">
        <f t="shared" si="13"/>
        <v>1</v>
      </c>
      <c r="F67" s="721" t="s">
        <v>3133</v>
      </c>
      <c r="G67" s="24">
        <f t="shared" si="14"/>
        <v>1</v>
      </c>
      <c r="H67" s="721" t="s">
        <v>3167</v>
      </c>
      <c r="I67" s="24">
        <f t="shared" si="15"/>
        <v>1</v>
      </c>
      <c r="J67" s="721"/>
      <c r="K67" s="24">
        <f t="shared" si="16"/>
        <v>1</v>
      </c>
      <c r="L67" s="721"/>
      <c r="M67" s="24">
        <f t="shared" si="17"/>
        <v>1</v>
      </c>
      <c r="N67" s="721"/>
      <c r="O67" s="24">
        <f t="shared" si="18"/>
        <v>1</v>
      </c>
      <c r="P67" s="721"/>
      <c r="Q67" s="24">
        <f t="shared" si="19"/>
        <v>1</v>
      </c>
      <c r="R67" s="717">
        <f t="shared" ca="1" si="20"/>
        <v>79622</v>
      </c>
      <c r="S67" s="362">
        <f t="shared" ca="1" si="21"/>
        <v>3612</v>
      </c>
      <c r="T67" s="2964" t="s">
        <v>3185</v>
      </c>
    </row>
    <row r="68" spans="1:20" ht="13.5">
      <c r="A68" s="2937" t="s">
        <v>3097</v>
      </c>
      <c r="B68" s="2938">
        <v>447.82</v>
      </c>
      <c r="C68" s="24">
        <f t="shared" si="12"/>
        <v>1</v>
      </c>
      <c r="D68" s="721" t="s">
        <v>3158</v>
      </c>
      <c r="E68" s="24">
        <f t="shared" si="13"/>
        <v>1</v>
      </c>
      <c r="F68" s="721" t="s">
        <v>3133</v>
      </c>
      <c r="G68" s="24">
        <f t="shared" si="14"/>
        <v>1</v>
      </c>
      <c r="H68" s="721" t="s">
        <v>3167</v>
      </c>
      <c r="I68" s="24">
        <f t="shared" si="15"/>
        <v>1</v>
      </c>
      <c r="J68" s="721"/>
      <c r="K68" s="24">
        <f t="shared" si="16"/>
        <v>1</v>
      </c>
      <c r="L68" s="721"/>
      <c r="M68" s="24">
        <f t="shared" si="17"/>
        <v>1</v>
      </c>
      <c r="N68" s="721"/>
      <c r="O68" s="24">
        <f t="shared" si="18"/>
        <v>1</v>
      </c>
      <c r="P68" s="721"/>
      <c r="Q68" s="24">
        <f t="shared" si="19"/>
        <v>1</v>
      </c>
      <c r="R68" s="717">
        <f t="shared" ca="1" si="20"/>
        <v>79622</v>
      </c>
      <c r="S68" s="362">
        <f t="shared" ca="1" si="21"/>
        <v>3566</v>
      </c>
      <c r="T68" s="2964" t="s">
        <v>3185</v>
      </c>
    </row>
    <row r="69" spans="1:20" ht="13.5">
      <c r="A69" s="2937" t="s">
        <v>3098</v>
      </c>
      <c r="B69" s="2938">
        <v>453.64</v>
      </c>
      <c r="C69" s="24">
        <f t="shared" si="12"/>
        <v>1</v>
      </c>
      <c r="D69" s="721" t="s">
        <v>3163</v>
      </c>
      <c r="E69" s="24">
        <f t="shared" si="13"/>
        <v>1.05</v>
      </c>
      <c r="F69" s="721" t="s">
        <v>3133</v>
      </c>
      <c r="G69" s="24">
        <f t="shared" si="14"/>
        <v>1</v>
      </c>
      <c r="H69" s="721" t="s">
        <v>3167</v>
      </c>
      <c r="I69" s="24">
        <f t="shared" si="15"/>
        <v>1</v>
      </c>
      <c r="J69" s="721"/>
      <c r="K69" s="24">
        <f t="shared" si="16"/>
        <v>1</v>
      </c>
      <c r="L69" s="721"/>
      <c r="M69" s="24">
        <f t="shared" si="17"/>
        <v>1</v>
      </c>
      <c r="N69" s="721"/>
      <c r="O69" s="24">
        <f t="shared" si="18"/>
        <v>1</v>
      </c>
      <c r="P69" s="721"/>
      <c r="Q69" s="24">
        <f t="shared" si="19"/>
        <v>1</v>
      </c>
      <c r="R69" s="717">
        <f t="shared" ca="1" si="20"/>
        <v>83603</v>
      </c>
      <c r="S69" s="362">
        <f t="shared" ca="1" si="21"/>
        <v>3793</v>
      </c>
      <c r="T69" s="2964" t="s">
        <v>3185</v>
      </c>
    </row>
    <row r="70" spans="1:20" ht="13.5">
      <c r="A70" s="2937" t="s">
        <v>3099</v>
      </c>
      <c r="B70" s="2937">
        <v>453.64</v>
      </c>
      <c r="C70" s="24">
        <f t="shared" si="12"/>
        <v>1</v>
      </c>
      <c r="D70" s="721" t="s">
        <v>3163</v>
      </c>
      <c r="E70" s="24">
        <f t="shared" si="13"/>
        <v>1.05</v>
      </c>
      <c r="F70" s="721" t="s">
        <v>3133</v>
      </c>
      <c r="G70" s="24">
        <f t="shared" si="14"/>
        <v>1</v>
      </c>
      <c r="H70" s="721" t="s">
        <v>3167</v>
      </c>
      <c r="I70" s="24">
        <f t="shared" si="15"/>
        <v>1</v>
      </c>
      <c r="J70" s="721"/>
      <c r="K70" s="24">
        <f t="shared" si="16"/>
        <v>1</v>
      </c>
      <c r="L70" s="721"/>
      <c r="M70" s="24">
        <f t="shared" si="17"/>
        <v>1</v>
      </c>
      <c r="N70" s="721"/>
      <c r="O70" s="24">
        <f t="shared" si="18"/>
        <v>1</v>
      </c>
      <c r="P70" s="721"/>
      <c r="Q70" s="24">
        <f t="shared" si="19"/>
        <v>1</v>
      </c>
      <c r="R70" s="717">
        <f t="shared" ca="1" si="20"/>
        <v>83603</v>
      </c>
      <c r="S70" s="362">
        <f t="shared" ca="1" si="21"/>
        <v>3793</v>
      </c>
      <c r="T70" s="2964" t="s">
        <v>3185</v>
      </c>
    </row>
    <row r="71" spans="1:20" ht="13.5">
      <c r="A71" s="2937" t="s">
        <v>3100</v>
      </c>
      <c r="B71" s="2937">
        <v>453.64</v>
      </c>
      <c r="C71" s="24">
        <f t="shared" si="12"/>
        <v>1</v>
      </c>
      <c r="D71" s="721" t="s">
        <v>3163</v>
      </c>
      <c r="E71" s="24">
        <f t="shared" si="13"/>
        <v>1.05</v>
      </c>
      <c r="F71" s="721" t="s">
        <v>3133</v>
      </c>
      <c r="G71" s="24">
        <f t="shared" si="14"/>
        <v>1</v>
      </c>
      <c r="H71" s="721" t="s">
        <v>3167</v>
      </c>
      <c r="I71" s="24">
        <f t="shared" si="15"/>
        <v>1</v>
      </c>
      <c r="J71" s="721"/>
      <c r="K71" s="24">
        <f t="shared" si="16"/>
        <v>1</v>
      </c>
      <c r="L71" s="721"/>
      <c r="M71" s="24">
        <f t="shared" si="17"/>
        <v>1</v>
      </c>
      <c r="N71" s="721"/>
      <c r="O71" s="24">
        <f t="shared" si="18"/>
        <v>1</v>
      </c>
      <c r="P71" s="721"/>
      <c r="Q71" s="24">
        <f t="shared" si="19"/>
        <v>1</v>
      </c>
      <c r="R71" s="717">
        <f t="shared" ca="1" si="20"/>
        <v>83603</v>
      </c>
      <c r="S71" s="362">
        <f t="shared" ca="1" si="21"/>
        <v>3793</v>
      </c>
      <c r="T71" s="2964" t="s">
        <v>3185</v>
      </c>
    </row>
    <row r="72" spans="1:20" ht="13.5">
      <c r="A72" s="2937" t="s">
        <v>3101</v>
      </c>
      <c r="B72" s="2937">
        <v>447.82</v>
      </c>
      <c r="C72" s="24">
        <f t="shared" si="12"/>
        <v>1</v>
      </c>
      <c r="D72" s="721" t="s">
        <v>3163</v>
      </c>
      <c r="E72" s="24">
        <f t="shared" si="13"/>
        <v>1.05</v>
      </c>
      <c r="F72" s="721" t="s">
        <v>3133</v>
      </c>
      <c r="G72" s="24">
        <f t="shared" si="14"/>
        <v>1</v>
      </c>
      <c r="H72" s="721" t="s">
        <v>3167</v>
      </c>
      <c r="I72" s="24">
        <f t="shared" si="15"/>
        <v>1</v>
      </c>
      <c r="J72" s="721"/>
      <c r="K72" s="24">
        <f t="shared" si="16"/>
        <v>1</v>
      </c>
      <c r="L72" s="721"/>
      <c r="M72" s="24">
        <f t="shared" si="17"/>
        <v>1</v>
      </c>
      <c r="N72" s="721"/>
      <c r="O72" s="24">
        <f t="shared" si="18"/>
        <v>1</v>
      </c>
      <c r="P72" s="721"/>
      <c r="Q72" s="24">
        <f t="shared" si="19"/>
        <v>1</v>
      </c>
      <c r="R72" s="717">
        <f t="shared" ca="1" si="20"/>
        <v>83603</v>
      </c>
      <c r="S72" s="362">
        <f t="shared" ca="1" si="21"/>
        <v>3744</v>
      </c>
      <c r="T72" s="2964" t="s">
        <v>3185</v>
      </c>
    </row>
    <row r="73" spans="1:20" ht="13.5">
      <c r="A73" s="2937" t="s">
        <v>3102</v>
      </c>
      <c r="B73" s="2937">
        <v>453.64</v>
      </c>
      <c r="C73" s="24">
        <f t="shared" si="12"/>
        <v>1</v>
      </c>
      <c r="D73" s="721" t="s">
        <v>3163</v>
      </c>
      <c r="E73" s="24">
        <f t="shared" si="13"/>
        <v>1.05</v>
      </c>
      <c r="F73" s="721" t="s">
        <v>3133</v>
      </c>
      <c r="G73" s="24">
        <f t="shared" si="14"/>
        <v>1</v>
      </c>
      <c r="H73" s="721" t="s">
        <v>3167</v>
      </c>
      <c r="I73" s="24">
        <f t="shared" si="15"/>
        <v>1</v>
      </c>
      <c r="J73" s="721"/>
      <c r="K73" s="24">
        <f t="shared" si="16"/>
        <v>1</v>
      </c>
      <c r="L73" s="721"/>
      <c r="M73" s="24">
        <f t="shared" si="17"/>
        <v>1</v>
      </c>
      <c r="N73" s="721"/>
      <c r="O73" s="24">
        <f t="shared" si="18"/>
        <v>1</v>
      </c>
      <c r="P73" s="721"/>
      <c r="Q73" s="24">
        <f t="shared" si="19"/>
        <v>1</v>
      </c>
      <c r="R73" s="717">
        <f t="shared" ca="1" si="20"/>
        <v>83603</v>
      </c>
      <c r="S73" s="362">
        <f t="shared" ca="1" si="21"/>
        <v>3793</v>
      </c>
      <c r="T73" s="2964" t="s">
        <v>3185</v>
      </c>
    </row>
    <row r="74" spans="1:20" ht="13.5">
      <c r="A74" s="2937" t="s">
        <v>3103</v>
      </c>
      <c r="B74" s="2937">
        <v>447.82</v>
      </c>
      <c r="C74" s="24">
        <f t="shared" si="12"/>
        <v>1</v>
      </c>
      <c r="D74" s="721" t="s">
        <v>3163</v>
      </c>
      <c r="E74" s="24">
        <f t="shared" si="13"/>
        <v>1.05</v>
      </c>
      <c r="F74" s="721" t="s">
        <v>3133</v>
      </c>
      <c r="G74" s="24">
        <f t="shared" si="14"/>
        <v>1</v>
      </c>
      <c r="H74" s="721" t="s">
        <v>3167</v>
      </c>
      <c r="I74" s="24">
        <f t="shared" si="15"/>
        <v>1</v>
      </c>
      <c r="J74" s="721"/>
      <c r="K74" s="24">
        <f t="shared" si="16"/>
        <v>1</v>
      </c>
      <c r="L74" s="721"/>
      <c r="M74" s="24">
        <f t="shared" si="17"/>
        <v>1</v>
      </c>
      <c r="N74" s="721"/>
      <c r="O74" s="24">
        <f t="shared" si="18"/>
        <v>1</v>
      </c>
      <c r="P74" s="721"/>
      <c r="Q74" s="24">
        <f t="shared" si="19"/>
        <v>1</v>
      </c>
      <c r="R74" s="717">
        <f t="shared" ca="1" si="20"/>
        <v>83603</v>
      </c>
      <c r="S74" s="362">
        <f t="shared" ca="1" si="21"/>
        <v>3744</v>
      </c>
      <c r="T74" s="2964" t="s">
        <v>3185</v>
      </c>
    </row>
    <row r="75" spans="1:20" ht="13.5">
      <c r="A75" s="2937" t="s">
        <v>3104</v>
      </c>
      <c r="B75" s="2937">
        <v>447.82</v>
      </c>
      <c r="C75" s="24">
        <f t="shared" si="12"/>
        <v>1</v>
      </c>
      <c r="D75" s="721" t="s">
        <v>3163</v>
      </c>
      <c r="E75" s="24">
        <f t="shared" si="13"/>
        <v>1.05</v>
      </c>
      <c r="F75" s="721" t="s">
        <v>3133</v>
      </c>
      <c r="G75" s="24">
        <f t="shared" si="14"/>
        <v>1</v>
      </c>
      <c r="H75" s="721" t="s">
        <v>3167</v>
      </c>
      <c r="I75" s="24">
        <f t="shared" si="15"/>
        <v>1</v>
      </c>
      <c r="J75" s="721"/>
      <c r="K75" s="24">
        <f t="shared" si="16"/>
        <v>1</v>
      </c>
      <c r="L75" s="721"/>
      <c r="M75" s="24">
        <f t="shared" si="17"/>
        <v>1</v>
      </c>
      <c r="N75" s="721"/>
      <c r="O75" s="24">
        <f t="shared" si="18"/>
        <v>1</v>
      </c>
      <c r="P75" s="721"/>
      <c r="Q75" s="24">
        <f t="shared" si="19"/>
        <v>1</v>
      </c>
      <c r="R75" s="717">
        <f t="shared" ca="1" si="20"/>
        <v>83603</v>
      </c>
      <c r="S75" s="362">
        <f t="shared" ca="1" si="21"/>
        <v>3744</v>
      </c>
      <c r="T75" s="2964" t="s">
        <v>3185</v>
      </c>
    </row>
    <row r="76" spans="1:20" ht="13.5">
      <c r="A76" s="2937" t="s">
        <v>3105</v>
      </c>
      <c r="B76" s="2937">
        <v>447.82</v>
      </c>
      <c r="C76" s="24">
        <f t="shared" si="12"/>
        <v>1</v>
      </c>
      <c r="D76" s="721" t="s">
        <v>3163</v>
      </c>
      <c r="E76" s="24">
        <f t="shared" si="13"/>
        <v>1.05</v>
      </c>
      <c r="F76" s="721" t="s">
        <v>3133</v>
      </c>
      <c r="G76" s="24">
        <f t="shared" si="14"/>
        <v>1</v>
      </c>
      <c r="H76" s="721" t="s">
        <v>3167</v>
      </c>
      <c r="I76" s="24">
        <f t="shared" si="15"/>
        <v>1</v>
      </c>
      <c r="J76" s="721"/>
      <c r="K76" s="24">
        <f t="shared" si="16"/>
        <v>1</v>
      </c>
      <c r="L76" s="721"/>
      <c r="M76" s="24">
        <f t="shared" si="17"/>
        <v>1</v>
      </c>
      <c r="N76" s="721"/>
      <c r="O76" s="24">
        <f t="shared" si="18"/>
        <v>1</v>
      </c>
      <c r="P76" s="721"/>
      <c r="Q76" s="24">
        <f t="shared" si="19"/>
        <v>1</v>
      </c>
      <c r="R76" s="717">
        <f t="shared" ca="1" si="20"/>
        <v>83603</v>
      </c>
      <c r="S76" s="362">
        <f t="shared" ca="1" si="21"/>
        <v>3744</v>
      </c>
      <c r="T76" s="2964" t="s">
        <v>3185</v>
      </c>
    </row>
    <row r="77" spans="1:20" ht="13.5">
      <c r="A77" s="2937" t="s">
        <v>3106</v>
      </c>
      <c r="B77" s="2937">
        <v>447.82</v>
      </c>
      <c r="C77" s="24">
        <f t="shared" si="12"/>
        <v>1</v>
      </c>
      <c r="D77" s="721"/>
      <c r="E77" s="24">
        <f t="shared" si="13"/>
        <v>0.1</v>
      </c>
      <c r="F77" s="721" t="s">
        <v>3133</v>
      </c>
      <c r="G77" s="24">
        <f t="shared" si="14"/>
        <v>1</v>
      </c>
      <c r="H77" s="721" t="s">
        <v>3167</v>
      </c>
      <c r="I77" s="24">
        <f t="shared" si="15"/>
        <v>1</v>
      </c>
      <c r="J77" s="721"/>
      <c r="K77" s="24">
        <f t="shared" si="16"/>
        <v>1</v>
      </c>
      <c r="L77" s="721"/>
      <c r="M77" s="24">
        <f t="shared" si="17"/>
        <v>1</v>
      </c>
      <c r="N77" s="721"/>
      <c r="O77" s="24">
        <f t="shared" si="18"/>
        <v>1</v>
      </c>
      <c r="P77" s="721"/>
      <c r="Q77" s="24">
        <f t="shared" si="19"/>
        <v>1</v>
      </c>
      <c r="R77" s="717">
        <f t="shared" ca="1" si="20"/>
        <v>7962</v>
      </c>
      <c r="S77" s="362">
        <f t="shared" ca="1" si="21"/>
        <v>357</v>
      </c>
      <c r="T77" s="2964" t="s">
        <v>3185</v>
      </c>
    </row>
    <row r="78" spans="1:20" ht="13.5">
      <c r="A78" s="2937" t="s">
        <v>3107</v>
      </c>
      <c r="B78" s="2937">
        <v>453.64</v>
      </c>
      <c r="C78" s="24">
        <f t="shared" si="12"/>
        <v>1</v>
      </c>
      <c r="D78" s="721" t="s">
        <v>3170</v>
      </c>
      <c r="E78" s="24">
        <f t="shared" si="13"/>
        <v>1.1000000000000001</v>
      </c>
      <c r="F78" s="721" t="s">
        <v>3133</v>
      </c>
      <c r="G78" s="24">
        <f t="shared" si="14"/>
        <v>1</v>
      </c>
      <c r="H78" s="721" t="s">
        <v>3167</v>
      </c>
      <c r="I78" s="24">
        <f t="shared" si="15"/>
        <v>1</v>
      </c>
      <c r="J78" s="721"/>
      <c r="K78" s="24">
        <f t="shared" si="16"/>
        <v>1</v>
      </c>
      <c r="L78" s="721"/>
      <c r="M78" s="24">
        <f t="shared" si="17"/>
        <v>1</v>
      </c>
      <c r="N78" s="721"/>
      <c r="O78" s="24">
        <f t="shared" si="18"/>
        <v>1</v>
      </c>
      <c r="P78" s="721"/>
      <c r="Q78" s="24">
        <f t="shared" si="19"/>
        <v>1</v>
      </c>
      <c r="R78" s="717">
        <f t="shared" ca="1" si="20"/>
        <v>87584</v>
      </c>
      <c r="S78" s="362">
        <f t="shared" ref="S78:S122" ca="1" si="22">ROUND(R78*B78/10000,0)</f>
        <v>3973</v>
      </c>
      <c r="T78" s="2964" t="s">
        <v>3185</v>
      </c>
    </row>
    <row r="79" spans="1:20" ht="13.5">
      <c r="A79" s="2937" t="s">
        <v>3108</v>
      </c>
      <c r="B79" s="2937">
        <v>447.82</v>
      </c>
      <c r="C79" s="24">
        <f t="shared" si="12"/>
        <v>1</v>
      </c>
      <c r="D79" s="721" t="s">
        <v>3170</v>
      </c>
      <c r="E79" s="24">
        <f t="shared" si="13"/>
        <v>1.1000000000000001</v>
      </c>
      <c r="F79" s="721" t="s">
        <v>3133</v>
      </c>
      <c r="G79" s="24">
        <f t="shared" si="14"/>
        <v>1</v>
      </c>
      <c r="H79" s="721" t="s">
        <v>3167</v>
      </c>
      <c r="I79" s="24">
        <f t="shared" si="15"/>
        <v>1</v>
      </c>
      <c r="J79" s="721"/>
      <c r="K79" s="24">
        <f t="shared" si="16"/>
        <v>1</v>
      </c>
      <c r="L79" s="721"/>
      <c r="M79" s="24">
        <f t="shared" si="17"/>
        <v>1</v>
      </c>
      <c r="N79" s="721"/>
      <c r="O79" s="24">
        <f t="shared" si="18"/>
        <v>1</v>
      </c>
      <c r="P79" s="721"/>
      <c r="Q79" s="24">
        <f t="shared" si="19"/>
        <v>1</v>
      </c>
      <c r="R79" s="717">
        <f t="shared" ca="1" si="20"/>
        <v>87584</v>
      </c>
      <c r="S79" s="362">
        <f t="shared" ca="1" si="22"/>
        <v>3922</v>
      </c>
      <c r="T79" s="2964" t="s">
        <v>3185</v>
      </c>
    </row>
    <row r="80" spans="1:20" ht="13.5">
      <c r="A80" s="2937" t="s">
        <v>3109</v>
      </c>
      <c r="B80" s="2937">
        <v>453.64</v>
      </c>
      <c r="C80" s="24">
        <f t="shared" si="12"/>
        <v>1</v>
      </c>
      <c r="D80" s="721" t="s">
        <v>3170</v>
      </c>
      <c r="E80" s="24">
        <f t="shared" si="13"/>
        <v>1.1000000000000001</v>
      </c>
      <c r="F80" s="721" t="s">
        <v>3133</v>
      </c>
      <c r="G80" s="24">
        <f t="shared" si="14"/>
        <v>1</v>
      </c>
      <c r="H80" s="721" t="s">
        <v>3167</v>
      </c>
      <c r="I80" s="24">
        <f t="shared" si="15"/>
        <v>1</v>
      </c>
      <c r="J80" s="721"/>
      <c r="K80" s="24">
        <f t="shared" si="16"/>
        <v>1</v>
      </c>
      <c r="L80" s="721"/>
      <c r="M80" s="24">
        <f t="shared" si="17"/>
        <v>1</v>
      </c>
      <c r="N80" s="721"/>
      <c r="O80" s="24">
        <f t="shared" si="18"/>
        <v>1</v>
      </c>
      <c r="P80" s="721"/>
      <c r="Q80" s="24">
        <f t="shared" si="19"/>
        <v>1</v>
      </c>
      <c r="R80" s="717">
        <f t="shared" ca="1" si="20"/>
        <v>87584</v>
      </c>
      <c r="S80" s="362">
        <f t="shared" ca="1" si="22"/>
        <v>3973</v>
      </c>
      <c r="T80" s="2964" t="s">
        <v>3185</v>
      </c>
    </row>
    <row r="81" spans="1:20" ht="13.5">
      <c r="A81" s="2937" t="s">
        <v>3110</v>
      </c>
      <c r="B81" s="2937">
        <v>447.82</v>
      </c>
      <c r="C81" s="24">
        <f t="shared" si="12"/>
        <v>1</v>
      </c>
      <c r="D81" s="721" t="s">
        <v>3170</v>
      </c>
      <c r="E81" s="24">
        <f t="shared" si="13"/>
        <v>1.1000000000000001</v>
      </c>
      <c r="F81" s="721" t="s">
        <v>3133</v>
      </c>
      <c r="G81" s="24">
        <f t="shared" si="14"/>
        <v>1</v>
      </c>
      <c r="H81" s="721" t="s">
        <v>3167</v>
      </c>
      <c r="I81" s="24">
        <f t="shared" si="15"/>
        <v>1</v>
      </c>
      <c r="J81" s="721"/>
      <c r="K81" s="24">
        <f t="shared" si="16"/>
        <v>1</v>
      </c>
      <c r="L81" s="721"/>
      <c r="M81" s="24">
        <f t="shared" si="17"/>
        <v>1</v>
      </c>
      <c r="N81" s="721"/>
      <c r="O81" s="24">
        <f t="shared" si="18"/>
        <v>1</v>
      </c>
      <c r="P81" s="721"/>
      <c r="Q81" s="24">
        <f t="shared" si="19"/>
        <v>1</v>
      </c>
      <c r="R81" s="717">
        <f t="shared" ca="1" si="20"/>
        <v>87584</v>
      </c>
      <c r="S81" s="362">
        <f t="shared" ca="1" si="22"/>
        <v>3922</v>
      </c>
      <c r="T81" s="2964" t="s">
        <v>3185</v>
      </c>
    </row>
    <row r="82" spans="1:20" ht="13.5">
      <c r="A82" s="2937" t="s">
        <v>3111</v>
      </c>
      <c r="B82" s="2937">
        <v>453.43</v>
      </c>
      <c r="C82" s="24">
        <f t="shared" si="12"/>
        <v>1</v>
      </c>
      <c r="D82" s="721" t="s">
        <v>3170</v>
      </c>
      <c r="E82" s="24">
        <f t="shared" si="13"/>
        <v>1.1000000000000001</v>
      </c>
      <c r="F82" s="721" t="s">
        <v>3133</v>
      </c>
      <c r="G82" s="24">
        <f t="shared" si="14"/>
        <v>1</v>
      </c>
      <c r="H82" s="721" t="s">
        <v>3167</v>
      </c>
      <c r="I82" s="24">
        <f t="shared" si="15"/>
        <v>1</v>
      </c>
      <c r="J82" s="721"/>
      <c r="K82" s="24">
        <f t="shared" si="16"/>
        <v>1</v>
      </c>
      <c r="L82" s="721"/>
      <c r="M82" s="24">
        <f t="shared" si="17"/>
        <v>1</v>
      </c>
      <c r="N82" s="721"/>
      <c r="O82" s="24">
        <f t="shared" si="18"/>
        <v>1</v>
      </c>
      <c r="P82" s="721"/>
      <c r="Q82" s="24">
        <f t="shared" si="19"/>
        <v>1</v>
      </c>
      <c r="R82" s="717">
        <f t="shared" ca="1" si="20"/>
        <v>87584</v>
      </c>
      <c r="S82" s="362">
        <f t="shared" ca="1" si="22"/>
        <v>3971</v>
      </c>
      <c r="T82" s="2964" t="s">
        <v>3185</v>
      </c>
    </row>
    <row r="83" spans="1:20" ht="13.5">
      <c r="A83" s="2937" t="s">
        <v>3112</v>
      </c>
      <c r="B83" s="2937">
        <v>447.63</v>
      </c>
      <c r="C83" s="24">
        <f t="shared" si="12"/>
        <v>1</v>
      </c>
      <c r="D83" s="721" t="s">
        <v>3170</v>
      </c>
      <c r="E83" s="24">
        <f t="shared" si="13"/>
        <v>1.1000000000000001</v>
      </c>
      <c r="F83" s="721" t="s">
        <v>3133</v>
      </c>
      <c r="G83" s="24">
        <f t="shared" si="14"/>
        <v>1</v>
      </c>
      <c r="H83" s="721" t="s">
        <v>3167</v>
      </c>
      <c r="I83" s="24">
        <f t="shared" si="15"/>
        <v>1</v>
      </c>
      <c r="J83" s="721"/>
      <c r="K83" s="24">
        <f t="shared" si="16"/>
        <v>1</v>
      </c>
      <c r="L83" s="721"/>
      <c r="M83" s="24">
        <f t="shared" si="17"/>
        <v>1</v>
      </c>
      <c r="N83" s="721"/>
      <c r="O83" s="24">
        <f t="shared" si="18"/>
        <v>1</v>
      </c>
      <c r="P83" s="721"/>
      <c r="Q83" s="24">
        <f t="shared" si="19"/>
        <v>1</v>
      </c>
      <c r="R83" s="717">
        <f t="shared" ca="1" si="20"/>
        <v>87584</v>
      </c>
      <c r="S83" s="362">
        <f t="shared" ca="1" si="22"/>
        <v>3921</v>
      </c>
      <c r="T83" s="2964" t="s">
        <v>3185</v>
      </c>
    </row>
    <row r="84" spans="1:20" ht="13.5">
      <c r="A84" s="2937" t="s">
        <v>3113</v>
      </c>
      <c r="B84" s="2937">
        <v>453.43</v>
      </c>
      <c r="C84" s="24">
        <f t="shared" si="12"/>
        <v>1</v>
      </c>
      <c r="D84" s="721" t="s">
        <v>3170</v>
      </c>
      <c r="E84" s="24">
        <f t="shared" si="13"/>
        <v>1.1000000000000001</v>
      </c>
      <c r="F84" s="721" t="s">
        <v>3133</v>
      </c>
      <c r="G84" s="24">
        <f t="shared" si="14"/>
        <v>1</v>
      </c>
      <c r="H84" s="721" t="s">
        <v>3167</v>
      </c>
      <c r="I84" s="24">
        <f t="shared" si="15"/>
        <v>1</v>
      </c>
      <c r="J84" s="721"/>
      <c r="K84" s="24">
        <f t="shared" si="16"/>
        <v>1</v>
      </c>
      <c r="L84" s="721"/>
      <c r="M84" s="24">
        <f t="shared" si="17"/>
        <v>1</v>
      </c>
      <c r="N84" s="721"/>
      <c r="O84" s="24">
        <f t="shared" si="18"/>
        <v>1</v>
      </c>
      <c r="P84" s="721"/>
      <c r="Q84" s="24">
        <f t="shared" si="19"/>
        <v>1</v>
      </c>
      <c r="R84" s="717">
        <f t="shared" ca="1" si="20"/>
        <v>87584</v>
      </c>
      <c r="S84" s="362">
        <f t="shared" ca="1" si="22"/>
        <v>3971</v>
      </c>
      <c r="T84" s="2964" t="s">
        <v>3185</v>
      </c>
    </row>
    <row r="85" spans="1:20" ht="13.5">
      <c r="A85" s="2937" t="s">
        <v>3114</v>
      </c>
      <c r="B85" s="2937">
        <v>447.63</v>
      </c>
      <c r="C85" s="24">
        <f t="shared" si="12"/>
        <v>1</v>
      </c>
      <c r="D85" s="721" t="s">
        <v>3170</v>
      </c>
      <c r="E85" s="24">
        <f t="shared" si="13"/>
        <v>1.1000000000000001</v>
      </c>
      <c r="F85" s="721" t="s">
        <v>3133</v>
      </c>
      <c r="G85" s="24">
        <f t="shared" si="14"/>
        <v>1</v>
      </c>
      <c r="H85" s="721" t="s">
        <v>3167</v>
      </c>
      <c r="I85" s="24">
        <f t="shared" si="15"/>
        <v>1</v>
      </c>
      <c r="J85" s="721"/>
      <c r="K85" s="24">
        <f t="shared" si="16"/>
        <v>1</v>
      </c>
      <c r="L85" s="721"/>
      <c r="M85" s="24">
        <f t="shared" si="17"/>
        <v>1</v>
      </c>
      <c r="N85" s="721"/>
      <c r="O85" s="24">
        <f t="shared" si="18"/>
        <v>1</v>
      </c>
      <c r="P85" s="721"/>
      <c r="Q85" s="24">
        <f t="shared" si="19"/>
        <v>1</v>
      </c>
      <c r="R85" s="717">
        <f t="shared" ca="1" si="20"/>
        <v>87584</v>
      </c>
      <c r="S85" s="362">
        <f t="shared" ca="1" si="22"/>
        <v>3921</v>
      </c>
      <c r="T85" s="2964" t="s">
        <v>3185</v>
      </c>
    </row>
    <row r="86" spans="1:20" ht="13.5">
      <c r="A86" s="2937" t="s">
        <v>3115</v>
      </c>
      <c r="B86" s="2937">
        <v>453.43</v>
      </c>
      <c r="C86" s="24">
        <f t="shared" si="12"/>
        <v>1</v>
      </c>
      <c r="D86" s="721" t="s">
        <v>3170</v>
      </c>
      <c r="E86" s="24">
        <f t="shared" si="13"/>
        <v>1.1000000000000001</v>
      </c>
      <c r="F86" s="721" t="s">
        <v>3133</v>
      </c>
      <c r="G86" s="24">
        <f t="shared" si="14"/>
        <v>1</v>
      </c>
      <c r="H86" s="721" t="s">
        <v>3167</v>
      </c>
      <c r="I86" s="24">
        <f t="shared" si="15"/>
        <v>1</v>
      </c>
      <c r="J86" s="721"/>
      <c r="K86" s="24">
        <f t="shared" si="16"/>
        <v>1</v>
      </c>
      <c r="L86" s="721"/>
      <c r="M86" s="24">
        <f t="shared" si="17"/>
        <v>1</v>
      </c>
      <c r="N86" s="721"/>
      <c r="O86" s="24">
        <f t="shared" si="18"/>
        <v>1</v>
      </c>
      <c r="P86" s="721"/>
      <c r="Q86" s="24">
        <f t="shared" si="19"/>
        <v>1</v>
      </c>
      <c r="R86" s="717">
        <f t="shared" ca="1" si="20"/>
        <v>87584</v>
      </c>
      <c r="S86" s="362">
        <f t="shared" ca="1" si="22"/>
        <v>3971</v>
      </c>
      <c r="T86" s="2964" t="s">
        <v>3185</v>
      </c>
    </row>
    <row r="87" spans="1:20" ht="13.5">
      <c r="A87" s="2937" t="s">
        <v>3116</v>
      </c>
      <c r="B87" s="2937">
        <v>447.63</v>
      </c>
      <c r="C87" s="24">
        <f t="shared" si="12"/>
        <v>1</v>
      </c>
      <c r="D87" s="721" t="s">
        <v>3170</v>
      </c>
      <c r="E87" s="24">
        <f t="shared" si="13"/>
        <v>1.1000000000000001</v>
      </c>
      <c r="F87" s="721" t="s">
        <v>3133</v>
      </c>
      <c r="G87" s="24">
        <f t="shared" si="14"/>
        <v>1</v>
      </c>
      <c r="H87" s="721" t="s">
        <v>3167</v>
      </c>
      <c r="I87" s="24">
        <f t="shared" si="15"/>
        <v>1</v>
      </c>
      <c r="J87" s="721"/>
      <c r="K87" s="24">
        <f t="shared" si="16"/>
        <v>1</v>
      </c>
      <c r="L87" s="721"/>
      <c r="M87" s="24">
        <f t="shared" si="17"/>
        <v>1</v>
      </c>
      <c r="N87" s="721"/>
      <c r="O87" s="24">
        <f t="shared" si="18"/>
        <v>1</v>
      </c>
      <c r="P87" s="721"/>
      <c r="Q87" s="24">
        <f t="shared" si="19"/>
        <v>1</v>
      </c>
      <c r="R87" s="717">
        <f t="shared" ca="1" si="20"/>
        <v>87584</v>
      </c>
      <c r="S87" s="362">
        <f t="shared" ca="1" si="22"/>
        <v>3921</v>
      </c>
      <c r="T87" s="2964" t="s">
        <v>3185</v>
      </c>
    </row>
    <row r="88" spans="1:20" ht="13.5">
      <c r="A88" s="2937" t="s">
        <v>3066</v>
      </c>
      <c r="B88" s="2937">
        <v>923.06</v>
      </c>
      <c r="C88" s="24">
        <f t="shared" si="12"/>
        <v>1.02</v>
      </c>
      <c r="D88" s="721" t="s">
        <v>3170</v>
      </c>
      <c r="E88" s="24">
        <f t="shared" si="13"/>
        <v>1.1000000000000001</v>
      </c>
      <c r="F88" s="721" t="s">
        <v>3175</v>
      </c>
      <c r="G88" s="24">
        <f t="shared" si="14"/>
        <v>1.1000000000000001</v>
      </c>
      <c r="H88" s="721" t="s">
        <v>3167</v>
      </c>
      <c r="I88" s="24">
        <f t="shared" si="15"/>
        <v>1</v>
      </c>
      <c r="J88" s="721"/>
      <c r="K88" s="24">
        <f t="shared" si="16"/>
        <v>1</v>
      </c>
      <c r="L88" s="721"/>
      <c r="M88" s="24">
        <f t="shared" si="17"/>
        <v>1</v>
      </c>
      <c r="N88" s="721"/>
      <c r="O88" s="24">
        <f t="shared" si="18"/>
        <v>1</v>
      </c>
      <c r="P88" s="721"/>
      <c r="Q88" s="24">
        <f t="shared" si="19"/>
        <v>1</v>
      </c>
      <c r="R88" s="717">
        <f t="shared" ca="1" si="20"/>
        <v>98269</v>
      </c>
      <c r="S88" s="362">
        <f t="shared" ca="1" si="22"/>
        <v>9071</v>
      </c>
      <c r="T88" s="2964" t="s">
        <v>3185</v>
      </c>
    </row>
    <row r="89" spans="1:20" ht="13.5">
      <c r="A89" s="2937" t="s">
        <v>3067</v>
      </c>
      <c r="B89" s="2937">
        <v>917.11</v>
      </c>
      <c r="C89" s="24">
        <f t="shared" si="12"/>
        <v>1.02</v>
      </c>
      <c r="D89" s="721" t="s">
        <v>3170</v>
      </c>
      <c r="E89" s="24">
        <f t="shared" si="13"/>
        <v>1.1000000000000001</v>
      </c>
      <c r="F89" s="721" t="s">
        <v>3175</v>
      </c>
      <c r="G89" s="24">
        <f t="shared" si="14"/>
        <v>1.1000000000000001</v>
      </c>
      <c r="H89" s="721" t="s">
        <v>3167</v>
      </c>
      <c r="I89" s="24">
        <f t="shared" si="15"/>
        <v>1</v>
      </c>
      <c r="J89" s="721"/>
      <c r="K89" s="24">
        <f t="shared" si="16"/>
        <v>1</v>
      </c>
      <c r="L89" s="721"/>
      <c r="M89" s="24">
        <f t="shared" si="17"/>
        <v>1</v>
      </c>
      <c r="N89" s="721"/>
      <c r="O89" s="24">
        <f t="shared" si="18"/>
        <v>1</v>
      </c>
      <c r="P89" s="721"/>
      <c r="Q89" s="24">
        <f t="shared" si="19"/>
        <v>1</v>
      </c>
      <c r="R89" s="717">
        <f t="shared" ca="1" si="20"/>
        <v>98269</v>
      </c>
      <c r="S89" s="362">
        <f t="shared" ca="1" si="22"/>
        <v>9012</v>
      </c>
      <c r="T89" s="2964" t="s">
        <v>3185</v>
      </c>
    </row>
    <row r="90" spans="1:20" ht="13.5">
      <c r="A90" s="2937" t="s">
        <v>3073</v>
      </c>
      <c r="B90" s="2937">
        <v>447.49</v>
      </c>
      <c r="C90" s="24">
        <f t="shared" ref="C90:C153" si="23">IF(B90="",1,(LOOKUP(B90,$3:$3,$4:$4)-LOOKUP($B$24,$3:$3,$4:$4)+100)/100)</f>
        <v>1</v>
      </c>
      <c r="D90" s="721" t="s">
        <v>3158</v>
      </c>
      <c r="E90" s="24">
        <f t="shared" ref="E90:E153" si="24">(SUMIF($5:$5,D90,$6:$6)-SUMIF($5:$5,$D$24,$6:$6)+100)/100</f>
        <v>1</v>
      </c>
      <c r="F90" s="721" t="s">
        <v>3133</v>
      </c>
      <c r="G90" s="24">
        <f t="shared" ref="G90:G153" si="25">(SUMIF($7:$7,F90,$8:$8)-SUMIF($7:$7,$F$24,$8:$8)+100)/100</f>
        <v>1</v>
      </c>
      <c r="H90" s="721" t="s">
        <v>3167</v>
      </c>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ca="1" si="31">IF(B90="",0,ROUND($R$24*C90*E90*G90*I90*K90*M90*O90*Q90,0))</f>
        <v>79622</v>
      </c>
      <c r="S90" s="362">
        <f t="shared" ca="1" si="22"/>
        <v>3563</v>
      </c>
      <c r="T90" s="2964" t="s">
        <v>3185</v>
      </c>
    </row>
    <row r="91" spans="1:20" ht="13.5">
      <c r="A91" s="2937" t="s">
        <v>3117</v>
      </c>
      <c r="B91" s="2937">
        <v>447.82</v>
      </c>
      <c r="C91" s="24">
        <f t="shared" si="23"/>
        <v>1</v>
      </c>
      <c r="D91" s="721" t="s">
        <v>3163</v>
      </c>
      <c r="E91" s="24">
        <f t="shared" si="24"/>
        <v>1.05</v>
      </c>
      <c r="F91" s="721" t="s">
        <v>3133</v>
      </c>
      <c r="G91" s="24">
        <f t="shared" si="25"/>
        <v>1</v>
      </c>
      <c r="H91" s="721" t="s">
        <v>3167</v>
      </c>
      <c r="I91" s="24">
        <f t="shared" si="26"/>
        <v>1</v>
      </c>
      <c r="J91" s="721"/>
      <c r="K91" s="24">
        <f t="shared" si="27"/>
        <v>1</v>
      </c>
      <c r="L91" s="721"/>
      <c r="M91" s="24">
        <f t="shared" si="28"/>
        <v>1</v>
      </c>
      <c r="N91" s="721"/>
      <c r="O91" s="24">
        <f t="shared" si="29"/>
        <v>1</v>
      </c>
      <c r="P91" s="721"/>
      <c r="Q91" s="24">
        <f t="shared" si="30"/>
        <v>1</v>
      </c>
      <c r="R91" s="717">
        <f t="shared" ca="1" si="31"/>
        <v>83603</v>
      </c>
      <c r="S91" s="362">
        <f t="shared" ca="1" si="22"/>
        <v>3744</v>
      </c>
      <c r="T91" s="2964" t="s">
        <v>3185</v>
      </c>
    </row>
    <row r="92" spans="1:20" ht="13.5">
      <c r="A92" s="2937" t="s">
        <v>3118</v>
      </c>
      <c r="B92" s="2937">
        <v>453.64</v>
      </c>
      <c r="C92" s="24">
        <f t="shared" si="23"/>
        <v>1</v>
      </c>
      <c r="D92" s="721" t="s">
        <v>3163</v>
      </c>
      <c r="E92" s="24">
        <f t="shared" si="24"/>
        <v>1.05</v>
      </c>
      <c r="F92" s="721" t="s">
        <v>3133</v>
      </c>
      <c r="G92" s="24">
        <f t="shared" si="25"/>
        <v>1</v>
      </c>
      <c r="H92" s="721" t="s">
        <v>3167</v>
      </c>
      <c r="I92" s="24">
        <f t="shared" si="26"/>
        <v>1</v>
      </c>
      <c r="J92" s="721"/>
      <c r="K92" s="24">
        <f t="shared" si="27"/>
        <v>1</v>
      </c>
      <c r="L92" s="721"/>
      <c r="M92" s="24">
        <f t="shared" si="28"/>
        <v>1</v>
      </c>
      <c r="N92" s="721"/>
      <c r="O92" s="24">
        <f t="shared" si="29"/>
        <v>1</v>
      </c>
      <c r="P92" s="721"/>
      <c r="Q92" s="24">
        <f t="shared" si="30"/>
        <v>1</v>
      </c>
      <c r="R92" s="717">
        <f t="shared" ca="1" si="31"/>
        <v>83603</v>
      </c>
      <c r="S92" s="362">
        <f t="shared" ca="1" si="22"/>
        <v>3793</v>
      </c>
      <c r="T92" s="2964" t="s">
        <v>3185</v>
      </c>
    </row>
    <row r="93" spans="1:20" ht="13.5">
      <c r="A93" s="2937" t="s">
        <v>3119</v>
      </c>
      <c r="B93" s="2937">
        <v>447.82</v>
      </c>
      <c r="C93" s="24">
        <f t="shared" si="23"/>
        <v>1</v>
      </c>
      <c r="D93" s="721" t="s">
        <v>3163</v>
      </c>
      <c r="E93" s="24">
        <f t="shared" si="24"/>
        <v>1.05</v>
      </c>
      <c r="F93" s="721" t="s">
        <v>3133</v>
      </c>
      <c r="G93" s="24">
        <f t="shared" si="25"/>
        <v>1</v>
      </c>
      <c r="H93" s="721" t="s">
        <v>3167</v>
      </c>
      <c r="I93" s="24">
        <f t="shared" si="26"/>
        <v>1</v>
      </c>
      <c r="J93" s="721"/>
      <c r="K93" s="24">
        <f t="shared" si="27"/>
        <v>1</v>
      </c>
      <c r="L93" s="721"/>
      <c r="M93" s="24">
        <f t="shared" si="28"/>
        <v>1</v>
      </c>
      <c r="N93" s="721"/>
      <c r="O93" s="24">
        <f t="shared" si="29"/>
        <v>1</v>
      </c>
      <c r="P93" s="721"/>
      <c r="Q93" s="24">
        <f t="shared" si="30"/>
        <v>1</v>
      </c>
      <c r="R93" s="717">
        <f t="shared" ca="1" si="31"/>
        <v>83603</v>
      </c>
      <c r="S93" s="362">
        <f t="shared" ca="1" si="22"/>
        <v>3744</v>
      </c>
      <c r="T93" s="2964" t="s">
        <v>3185</v>
      </c>
    </row>
    <row r="94" spans="1:20" ht="13.5">
      <c r="A94" s="2937" t="s">
        <v>3120</v>
      </c>
      <c r="B94" s="2937">
        <v>447.82</v>
      </c>
      <c r="C94" s="24">
        <f t="shared" si="23"/>
        <v>1</v>
      </c>
      <c r="D94" s="721" t="s">
        <v>3163</v>
      </c>
      <c r="E94" s="24">
        <f t="shared" si="24"/>
        <v>1.05</v>
      </c>
      <c r="F94" s="721" t="s">
        <v>3133</v>
      </c>
      <c r="G94" s="24">
        <f t="shared" si="25"/>
        <v>1</v>
      </c>
      <c r="H94" s="721" t="s">
        <v>3167</v>
      </c>
      <c r="I94" s="24">
        <f t="shared" si="26"/>
        <v>1</v>
      </c>
      <c r="J94" s="721"/>
      <c r="K94" s="24">
        <f t="shared" si="27"/>
        <v>1</v>
      </c>
      <c r="L94" s="721"/>
      <c r="M94" s="24">
        <f t="shared" si="28"/>
        <v>1</v>
      </c>
      <c r="N94" s="721"/>
      <c r="O94" s="24">
        <f t="shared" si="29"/>
        <v>1</v>
      </c>
      <c r="P94" s="721"/>
      <c r="Q94" s="24">
        <f t="shared" si="30"/>
        <v>1</v>
      </c>
      <c r="R94" s="717">
        <f t="shared" ca="1" si="31"/>
        <v>83603</v>
      </c>
      <c r="S94" s="362">
        <f t="shared" ca="1" si="22"/>
        <v>3744</v>
      </c>
      <c r="T94" s="2964" t="s">
        <v>3185</v>
      </c>
    </row>
    <row r="95" spans="1:20" ht="13.5">
      <c r="A95" s="2937" t="s">
        <v>3121</v>
      </c>
      <c r="B95" s="2937">
        <v>447.82</v>
      </c>
      <c r="C95" s="24">
        <f t="shared" si="23"/>
        <v>1</v>
      </c>
      <c r="D95" s="721" t="s">
        <v>3170</v>
      </c>
      <c r="E95" s="24">
        <f t="shared" si="24"/>
        <v>1.1000000000000001</v>
      </c>
      <c r="F95" s="721" t="s">
        <v>3133</v>
      </c>
      <c r="G95" s="24">
        <f t="shared" si="25"/>
        <v>1</v>
      </c>
      <c r="H95" s="721" t="s">
        <v>3167</v>
      </c>
      <c r="I95" s="24">
        <f t="shared" si="26"/>
        <v>1</v>
      </c>
      <c r="J95" s="721"/>
      <c r="K95" s="24">
        <f t="shared" si="27"/>
        <v>1</v>
      </c>
      <c r="L95" s="721"/>
      <c r="M95" s="24">
        <f t="shared" si="28"/>
        <v>1</v>
      </c>
      <c r="N95" s="721"/>
      <c r="O95" s="24">
        <f t="shared" si="29"/>
        <v>1</v>
      </c>
      <c r="P95" s="721"/>
      <c r="Q95" s="24">
        <f t="shared" si="30"/>
        <v>1</v>
      </c>
      <c r="R95" s="717">
        <f t="shared" ca="1" si="31"/>
        <v>87584</v>
      </c>
      <c r="S95" s="362">
        <f t="shared" ca="1" si="22"/>
        <v>3922</v>
      </c>
      <c r="T95" s="2964" t="s">
        <v>3185</v>
      </c>
    </row>
    <row r="96" spans="1:20" ht="13.5">
      <c r="A96" s="2937" t="s">
        <v>3080</v>
      </c>
      <c r="B96" s="2937">
        <v>447.82</v>
      </c>
      <c r="C96" s="24">
        <f t="shared" si="23"/>
        <v>1</v>
      </c>
      <c r="D96" s="721" t="s">
        <v>3170</v>
      </c>
      <c r="E96" s="24">
        <f t="shared" si="24"/>
        <v>1.1000000000000001</v>
      </c>
      <c r="F96" s="721" t="s">
        <v>3133</v>
      </c>
      <c r="G96" s="24">
        <f t="shared" si="25"/>
        <v>1</v>
      </c>
      <c r="H96" s="721" t="s">
        <v>3167</v>
      </c>
      <c r="I96" s="24">
        <f t="shared" si="26"/>
        <v>1</v>
      </c>
      <c r="J96" s="721"/>
      <c r="K96" s="24">
        <f t="shared" si="27"/>
        <v>1</v>
      </c>
      <c r="L96" s="721"/>
      <c r="M96" s="24">
        <f t="shared" si="28"/>
        <v>1</v>
      </c>
      <c r="N96" s="721"/>
      <c r="O96" s="24">
        <f t="shared" si="29"/>
        <v>1</v>
      </c>
      <c r="P96" s="721"/>
      <c r="Q96" s="24">
        <f t="shared" si="30"/>
        <v>1</v>
      </c>
      <c r="R96" s="717">
        <f t="shared" ca="1" si="31"/>
        <v>87584</v>
      </c>
      <c r="S96" s="362">
        <f t="shared" ca="1" si="22"/>
        <v>3922</v>
      </c>
      <c r="T96" s="2964" t="s">
        <v>3185</v>
      </c>
    </row>
    <row r="97" spans="1:20" ht="13.5">
      <c r="A97" s="2937" t="s">
        <v>3084</v>
      </c>
      <c r="B97" s="2937">
        <v>447.63</v>
      </c>
      <c r="C97" s="24">
        <f t="shared" si="23"/>
        <v>1</v>
      </c>
      <c r="D97" s="721" t="s">
        <v>3170</v>
      </c>
      <c r="E97" s="24">
        <f t="shared" si="24"/>
        <v>1.1000000000000001</v>
      </c>
      <c r="F97" s="721" t="s">
        <v>3133</v>
      </c>
      <c r="G97" s="24">
        <f t="shared" si="25"/>
        <v>1</v>
      </c>
      <c r="H97" s="721" t="s">
        <v>3167</v>
      </c>
      <c r="I97" s="24">
        <f t="shared" si="26"/>
        <v>1</v>
      </c>
      <c r="J97" s="721"/>
      <c r="K97" s="24">
        <f t="shared" si="27"/>
        <v>1</v>
      </c>
      <c r="L97" s="721"/>
      <c r="M97" s="24">
        <f t="shared" si="28"/>
        <v>1</v>
      </c>
      <c r="N97" s="721"/>
      <c r="O97" s="24">
        <f t="shared" si="29"/>
        <v>1</v>
      </c>
      <c r="P97" s="721"/>
      <c r="Q97" s="24">
        <f t="shared" si="30"/>
        <v>1</v>
      </c>
      <c r="R97" s="717">
        <f t="shared" ca="1" si="31"/>
        <v>87584</v>
      </c>
      <c r="S97" s="362">
        <f t="shared" ca="1" si="22"/>
        <v>3921</v>
      </c>
      <c r="T97" s="2964" t="s">
        <v>3185</v>
      </c>
    </row>
    <row r="98" spans="1:20" ht="13.5">
      <c r="A98" s="2937" t="s">
        <v>3088</v>
      </c>
      <c r="B98" s="2937">
        <v>447.63</v>
      </c>
      <c r="C98" s="24">
        <f t="shared" si="23"/>
        <v>1</v>
      </c>
      <c r="D98" s="721" t="s">
        <v>3170</v>
      </c>
      <c r="E98" s="24">
        <f t="shared" si="24"/>
        <v>1.1000000000000001</v>
      </c>
      <c r="F98" s="721" t="s">
        <v>3133</v>
      </c>
      <c r="G98" s="24">
        <f t="shared" si="25"/>
        <v>1</v>
      </c>
      <c r="H98" s="721" t="s">
        <v>3167</v>
      </c>
      <c r="I98" s="24">
        <f t="shared" si="26"/>
        <v>1</v>
      </c>
      <c r="J98" s="721"/>
      <c r="K98" s="24">
        <f t="shared" si="27"/>
        <v>1</v>
      </c>
      <c r="L98" s="721"/>
      <c r="M98" s="24">
        <f t="shared" si="28"/>
        <v>1</v>
      </c>
      <c r="N98" s="721"/>
      <c r="O98" s="24">
        <f t="shared" si="29"/>
        <v>1</v>
      </c>
      <c r="P98" s="721"/>
      <c r="Q98" s="24">
        <f t="shared" si="30"/>
        <v>1</v>
      </c>
      <c r="R98" s="717">
        <f t="shared" ca="1" si="31"/>
        <v>87584</v>
      </c>
      <c r="S98" s="362">
        <f t="shared" ca="1" si="22"/>
        <v>3921</v>
      </c>
      <c r="T98" s="2964" t="s">
        <v>3185</v>
      </c>
    </row>
    <row r="99" spans="1:20" ht="13.5">
      <c r="A99" s="2937" t="s">
        <v>3089</v>
      </c>
      <c r="B99" s="2937">
        <v>453.43</v>
      </c>
      <c r="C99" s="24">
        <f t="shared" si="23"/>
        <v>1</v>
      </c>
      <c r="D99" s="721" t="s">
        <v>3170</v>
      </c>
      <c r="E99" s="24">
        <f t="shared" si="24"/>
        <v>1.1000000000000001</v>
      </c>
      <c r="F99" s="721" t="s">
        <v>3133</v>
      </c>
      <c r="G99" s="24">
        <f t="shared" si="25"/>
        <v>1</v>
      </c>
      <c r="H99" s="721" t="s">
        <v>3167</v>
      </c>
      <c r="I99" s="24">
        <f t="shared" si="26"/>
        <v>1</v>
      </c>
      <c r="J99" s="721"/>
      <c r="K99" s="24">
        <f t="shared" si="27"/>
        <v>1</v>
      </c>
      <c r="L99" s="721"/>
      <c r="M99" s="24">
        <f t="shared" si="28"/>
        <v>1</v>
      </c>
      <c r="N99" s="721"/>
      <c r="O99" s="24">
        <f t="shared" si="29"/>
        <v>1</v>
      </c>
      <c r="P99" s="721"/>
      <c r="Q99" s="24">
        <f t="shared" si="30"/>
        <v>1</v>
      </c>
      <c r="R99" s="717">
        <f t="shared" ca="1" si="31"/>
        <v>87584</v>
      </c>
      <c r="S99" s="362">
        <f t="shared" ca="1" si="22"/>
        <v>3971</v>
      </c>
      <c r="T99" s="2964" t="s">
        <v>3185</v>
      </c>
    </row>
    <row r="100" spans="1:20" ht="13.5">
      <c r="A100" s="2937" t="s">
        <v>3090</v>
      </c>
      <c r="B100" s="2937">
        <v>447.63</v>
      </c>
      <c r="C100" s="24">
        <f t="shared" si="23"/>
        <v>1</v>
      </c>
      <c r="D100" s="721" t="s">
        <v>3170</v>
      </c>
      <c r="E100" s="24">
        <f t="shared" si="24"/>
        <v>1.1000000000000001</v>
      </c>
      <c r="F100" s="721" t="s">
        <v>3133</v>
      </c>
      <c r="G100" s="24">
        <f t="shared" si="25"/>
        <v>1</v>
      </c>
      <c r="H100" s="721" t="s">
        <v>3167</v>
      </c>
      <c r="I100" s="24">
        <f t="shared" si="26"/>
        <v>1</v>
      </c>
      <c r="J100" s="721"/>
      <c r="K100" s="24">
        <f t="shared" si="27"/>
        <v>1</v>
      </c>
      <c r="L100" s="721"/>
      <c r="M100" s="24">
        <f t="shared" si="28"/>
        <v>1</v>
      </c>
      <c r="N100" s="721"/>
      <c r="O100" s="24">
        <f t="shared" si="29"/>
        <v>1</v>
      </c>
      <c r="P100" s="721"/>
      <c r="Q100" s="24">
        <f t="shared" si="30"/>
        <v>1</v>
      </c>
      <c r="R100" s="717">
        <f t="shared" ca="1" si="31"/>
        <v>87584</v>
      </c>
      <c r="S100" s="362">
        <f t="shared" ca="1" si="22"/>
        <v>3921</v>
      </c>
      <c r="T100" s="2964" t="s">
        <v>3185</v>
      </c>
    </row>
    <row r="101" spans="1:20" ht="13.5">
      <c r="A101" s="2937" t="s">
        <v>3091</v>
      </c>
      <c r="B101" s="2937">
        <v>453.43</v>
      </c>
      <c r="C101" s="24">
        <f t="shared" si="23"/>
        <v>1</v>
      </c>
      <c r="D101" s="721" t="s">
        <v>3170</v>
      </c>
      <c r="E101" s="24">
        <f t="shared" si="24"/>
        <v>1.1000000000000001</v>
      </c>
      <c r="F101" s="721" t="s">
        <v>3133</v>
      </c>
      <c r="G101" s="24">
        <f t="shared" si="25"/>
        <v>1</v>
      </c>
      <c r="H101" s="721" t="s">
        <v>3167</v>
      </c>
      <c r="I101" s="24">
        <f t="shared" si="26"/>
        <v>1</v>
      </c>
      <c r="J101" s="721"/>
      <c r="K101" s="24">
        <f t="shared" si="27"/>
        <v>1</v>
      </c>
      <c r="L101" s="721"/>
      <c r="M101" s="24">
        <f t="shared" si="28"/>
        <v>1</v>
      </c>
      <c r="N101" s="721"/>
      <c r="O101" s="24">
        <f t="shared" si="29"/>
        <v>1</v>
      </c>
      <c r="P101" s="721"/>
      <c r="Q101" s="24">
        <f t="shared" si="30"/>
        <v>1</v>
      </c>
      <c r="R101" s="717">
        <f t="shared" ca="1" si="31"/>
        <v>87584</v>
      </c>
      <c r="S101" s="362">
        <f t="shared" ca="1" si="22"/>
        <v>3971</v>
      </c>
      <c r="T101" s="2964" t="s">
        <v>3185</v>
      </c>
    </row>
    <row r="102" spans="1:20" ht="13.5">
      <c r="A102" s="2937" t="s">
        <v>3070</v>
      </c>
      <c r="B102" s="2937">
        <v>917.11</v>
      </c>
      <c r="C102" s="24">
        <f t="shared" si="23"/>
        <v>1.02</v>
      </c>
      <c r="D102" s="721" t="s">
        <v>3170</v>
      </c>
      <c r="E102" s="24">
        <f t="shared" si="24"/>
        <v>1.1000000000000001</v>
      </c>
      <c r="F102" s="721" t="s">
        <v>3175</v>
      </c>
      <c r="G102" s="24">
        <f t="shared" si="25"/>
        <v>1.1000000000000001</v>
      </c>
      <c r="H102" s="721" t="s">
        <v>3167</v>
      </c>
      <c r="I102" s="24">
        <f t="shared" si="26"/>
        <v>1</v>
      </c>
      <c r="J102" s="721"/>
      <c r="K102" s="24">
        <f t="shared" si="27"/>
        <v>1</v>
      </c>
      <c r="L102" s="721"/>
      <c r="M102" s="24">
        <f t="shared" si="28"/>
        <v>1</v>
      </c>
      <c r="N102" s="721"/>
      <c r="O102" s="24">
        <f t="shared" si="29"/>
        <v>1</v>
      </c>
      <c r="P102" s="721"/>
      <c r="Q102" s="24">
        <f t="shared" si="30"/>
        <v>1</v>
      </c>
      <c r="R102" s="717">
        <f t="shared" ca="1" si="31"/>
        <v>98269</v>
      </c>
      <c r="S102" s="362">
        <f t="shared" ca="1" si="22"/>
        <v>9012</v>
      </c>
      <c r="T102" s="2964" t="s">
        <v>3185</v>
      </c>
    </row>
    <row r="103" spans="1:20" ht="13.5">
      <c r="A103" s="2937" t="s">
        <v>3188</v>
      </c>
      <c r="B103" s="2937">
        <v>923.06</v>
      </c>
      <c r="C103" s="24">
        <f t="shared" si="23"/>
        <v>1.02</v>
      </c>
      <c r="D103" s="721" t="s">
        <v>3170</v>
      </c>
      <c r="E103" s="24">
        <f t="shared" si="24"/>
        <v>1.1000000000000001</v>
      </c>
      <c r="F103" s="721" t="s">
        <v>3175</v>
      </c>
      <c r="G103" s="24">
        <f t="shared" si="25"/>
        <v>1.1000000000000001</v>
      </c>
      <c r="H103" s="721" t="s">
        <v>3167</v>
      </c>
      <c r="I103" s="24">
        <f t="shared" si="26"/>
        <v>1</v>
      </c>
      <c r="J103" s="721"/>
      <c r="K103" s="24">
        <f t="shared" si="27"/>
        <v>1</v>
      </c>
      <c r="L103" s="721"/>
      <c r="M103" s="24">
        <f t="shared" si="28"/>
        <v>1</v>
      </c>
      <c r="N103" s="721"/>
      <c r="O103" s="24">
        <f t="shared" si="29"/>
        <v>1</v>
      </c>
      <c r="P103" s="721"/>
      <c r="Q103" s="24">
        <f t="shared" si="30"/>
        <v>1</v>
      </c>
      <c r="R103" s="717">
        <f t="shared" ca="1" si="31"/>
        <v>98269</v>
      </c>
      <c r="S103" s="362">
        <f t="shared" ca="1" si="22"/>
        <v>9071</v>
      </c>
      <c r="T103" s="2964" t="s">
        <v>3185</v>
      </c>
    </row>
    <row r="104" spans="1:20">
      <c r="A104" s="2966" t="s">
        <v>3191</v>
      </c>
      <c r="B104" s="59">
        <v>445.41</v>
      </c>
      <c r="C104" s="24">
        <f t="shared" si="23"/>
        <v>1</v>
      </c>
      <c r="D104" s="721" t="s">
        <v>3170</v>
      </c>
      <c r="E104" s="24">
        <f t="shared" si="24"/>
        <v>1.1000000000000001</v>
      </c>
      <c r="F104" s="721" t="s">
        <v>3133</v>
      </c>
      <c r="G104" s="24">
        <f t="shared" si="25"/>
        <v>1</v>
      </c>
      <c r="H104" s="721" t="s">
        <v>3167</v>
      </c>
      <c r="I104" s="24">
        <f t="shared" si="26"/>
        <v>1</v>
      </c>
      <c r="J104" s="721"/>
      <c r="K104" s="24">
        <f t="shared" si="27"/>
        <v>1</v>
      </c>
      <c r="L104" s="721"/>
      <c r="M104" s="24">
        <f t="shared" si="28"/>
        <v>1</v>
      </c>
      <c r="N104" s="721"/>
      <c r="O104" s="24">
        <f t="shared" si="29"/>
        <v>1</v>
      </c>
      <c r="P104" s="721"/>
      <c r="Q104" s="24">
        <f t="shared" si="30"/>
        <v>1</v>
      </c>
      <c r="R104" s="717">
        <f t="shared" ca="1" si="31"/>
        <v>87584</v>
      </c>
      <c r="S104" s="362">
        <f t="shared" ca="1" si="22"/>
        <v>3901</v>
      </c>
      <c r="T104" s="2967" t="s">
        <v>3186</v>
      </c>
    </row>
    <row r="105" spans="1:20">
      <c r="A105" s="2966" t="s">
        <v>3189</v>
      </c>
      <c r="B105" s="59">
        <v>515.91</v>
      </c>
      <c r="C105" s="24">
        <f t="shared" si="23"/>
        <v>1</v>
      </c>
      <c r="D105" s="721" t="s">
        <v>3163</v>
      </c>
      <c r="E105" s="24">
        <f t="shared" si="24"/>
        <v>1.05</v>
      </c>
      <c r="F105" s="721" t="s">
        <v>3133</v>
      </c>
      <c r="G105" s="24">
        <f t="shared" si="25"/>
        <v>1</v>
      </c>
      <c r="H105" s="721" t="s">
        <v>3167</v>
      </c>
      <c r="I105" s="24">
        <f t="shared" si="26"/>
        <v>1</v>
      </c>
      <c r="J105" s="721"/>
      <c r="K105" s="24">
        <f t="shared" si="27"/>
        <v>1</v>
      </c>
      <c r="L105" s="721"/>
      <c r="M105" s="24">
        <f t="shared" si="28"/>
        <v>1</v>
      </c>
      <c r="N105" s="721"/>
      <c r="O105" s="24">
        <f t="shared" si="29"/>
        <v>1</v>
      </c>
      <c r="P105" s="721"/>
      <c r="Q105" s="24">
        <f t="shared" si="30"/>
        <v>1</v>
      </c>
      <c r="R105" s="717">
        <f t="shared" ca="1" si="31"/>
        <v>83603</v>
      </c>
      <c r="S105" s="362">
        <f t="shared" ca="1" si="22"/>
        <v>4313</v>
      </c>
      <c r="T105" s="2967" t="s">
        <v>3187</v>
      </c>
    </row>
    <row r="106" spans="1:20">
      <c r="A106" s="2966" t="s">
        <v>3190</v>
      </c>
      <c r="B106" s="59">
        <v>514.79999999999995</v>
      </c>
      <c r="C106" s="24">
        <f t="shared" si="23"/>
        <v>1</v>
      </c>
      <c r="D106" s="721" t="s">
        <v>3163</v>
      </c>
      <c r="E106" s="24">
        <f t="shared" si="24"/>
        <v>1.05</v>
      </c>
      <c r="F106" s="721" t="s">
        <v>3133</v>
      </c>
      <c r="G106" s="24">
        <f t="shared" si="25"/>
        <v>1</v>
      </c>
      <c r="H106" s="721" t="s">
        <v>3167</v>
      </c>
      <c r="I106" s="24">
        <f t="shared" si="26"/>
        <v>1</v>
      </c>
      <c r="J106" s="721"/>
      <c r="K106" s="24">
        <f t="shared" si="27"/>
        <v>1</v>
      </c>
      <c r="L106" s="721"/>
      <c r="M106" s="24">
        <f t="shared" si="28"/>
        <v>1</v>
      </c>
      <c r="N106" s="721"/>
      <c r="O106" s="24">
        <f t="shared" si="29"/>
        <v>1</v>
      </c>
      <c r="P106" s="721"/>
      <c r="Q106" s="24">
        <f t="shared" si="30"/>
        <v>1</v>
      </c>
      <c r="R106" s="717">
        <f t="shared" ca="1" si="31"/>
        <v>83603</v>
      </c>
      <c r="S106" s="362">
        <f t="shared" ca="1" si="22"/>
        <v>4304</v>
      </c>
      <c r="T106" s="2967" t="s">
        <v>3187</v>
      </c>
    </row>
    <row r="107" spans="1:20">
      <c r="A107" s="2968"/>
      <c r="B107" s="59"/>
      <c r="C107" s="24">
        <f t="shared" si="23"/>
        <v>1</v>
      </c>
      <c r="D107" s="721"/>
      <c r="E107" s="24">
        <f t="shared" si="24"/>
        <v>0.1</v>
      </c>
      <c r="F107" s="721"/>
      <c r="G107" s="24">
        <f t="shared" si="25"/>
        <v>0.1</v>
      </c>
      <c r="H107" s="721"/>
      <c r="I107" s="24">
        <f t="shared" si="26"/>
        <v>0</v>
      </c>
      <c r="J107" s="721"/>
      <c r="K107" s="24">
        <f t="shared" si="27"/>
        <v>1</v>
      </c>
      <c r="L107" s="721"/>
      <c r="M107" s="24">
        <f t="shared" si="28"/>
        <v>1</v>
      </c>
      <c r="N107" s="721"/>
      <c r="O107" s="24">
        <f t="shared" si="29"/>
        <v>1</v>
      </c>
      <c r="P107" s="721"/>
      <c r="Q107" s="24">
        <f t="shared" si="30"/>
        <v>1</v>
      </c>
      <c r="R107" s="717">
        <f t="shared" si="31"/>
        <v>0</v>
      </c>
      <c r="S107" s="362">
        <f t="shared" si="22"/>
        <v>0</v>
      </c>
    </row>
    <row r="108" spans="1:20">
      <c r="A108" s="160"/>
      <c r="B108" s="59"/>
      <c r="C108" s="24">
        <f t="shared" si="23"/>
        <v>1</v>
      </c>
      <c r="D108" s="721"/>
      <c r="E108" s="24">
        <f t="shared" si="24"/>
        <v>0.1</v>
      </c>
      <c r="F108" s="721"/>
      <c r="G108" s="24">
        <f t="shared" si="25"/>
        <v>0.1</v>
      </c>
      <c r="H108" s="721"/>
      <c r="I108" s="24">
        <f t="shared" si="26"/>
        <v>0</v>
      </c>
      <c r="J108" s="721"/>
      <c r="K108" s="24">
        <f t="shared" si="27"/>
        <v>1</v>
      </c>
      <c r="L108" s="721"/>
      <c r="M108" s="24">
        <f t="shared" si="28"/>
        <v>1</v>
      </c>
      <c r="N108" s="721"/>
      <c r="O108" s="24">
        <f t="shared" si="29"/>
        <v>1</v>
      </c>
      <c r="P108" s="721"/>
      <c r="Q108" s="24">
        <f t="shared" si="30"/>
        <v>1</v>
      </c>
      <c r="R108" s="717">
        <f t="shared" si="31"/>
        <v>0</v>
      </c>
      <c r="S108" s="362">
        <f t="shared" si="22"/>
        <v>0</v>
      </c>
    </row>
    <row r="109" spans="1:20">
      <c r="A109" s="160"/>
      <c r="B109" s="59"/>
      <c r="C109" s="24">
        <f t="shared" si="23"/>
        <v>1</v>
      </c>
      <c r="D109" s="721"/>
      <c r="E109" s="24">
        <f t="shared" si="24"/>
        <v>0.1</v>
      </c>
      <c r="F109" s="721"/>
      <c r="G109" s="24">
        <f t="shared" si="25"/>
        <v>0.1</v>
      </c>
      <c r="H109" s="721"/>
      <c r="I109" s="24">
        <f t="shared" si="26"/>
        <v>0</v>
      </c>
      <c r="J109" s="721"/>
      <c r="K109" s="24">
        <f t="shared" si="27"/>
        <v>1</v>
      </c>
      <c r="L109" s="721"/>
      <c r="M109" s="24">
        <f t="shared" si="28"/>
        <v>1</v>
      </c>
      <c r="N109" s="721"/>
      <c r="O109" s="24">
        <f t="shared" si="29"/>
        <v>1</v>
      </c>
      <c r="P109" s="721"/>
      <c r="Q109" s="24">
        <f t="shared" si="30"/>
        <v>1</v>
      </c>
      <c r="R109" s="717">
        <f t="shared" si="31"/>
        <v>0</v>
      </c>
      <c r="S109" s="362">
        <f t="shared" si="22"/>
        <v>0</v>
      </c>
    </row>
    <row r="110" spans="1:20">
      <c r="A110" s="160"/>
      <c r="B110" s="59"/>
      <c r="C110" s="24">
        <f t="shared" si="23"/>
        <v>1</v>
      </c>
      <c r="D110" s="721"/>
      <c r="E110" s="24">
        <f t="shared" si="24"/>
        <v>0.1</v>
      </c>
      <c r="F110" s="721"/>
      <c r="G110" s="24">
        <f t="shared" si="25"/>
        <v>0.1</v>
      </c>
      <c r="H110" s="721"/>
      <c r="I110" s="24">
        <f t="shared" si="26"/>
        <v>0</v>
      </c>
      <c r="J110" s="721"/>
      <c r="K110" s="24">
        <f t="shared" si="27"/>
        <v>1</v>
      </c>
      <c r="L110" s="721"/>
      <c r="M110" s="24">
        <f t="shared" si="28"/>
        <v>1</v>
      </c>
      <c r="N110" s="721"/>
      <c r="O110" s="24">
        <f t="shared" si="29"/>
        <v>1</v>
      </c>
      <c r="P110" s="721"/>
      <c r="Q110" s="24">
        <f t="shared" si="30"/>
        <v>1</v>
      </c>
      <c r="R110" s="717">
        <f t="shared" si="31"/>
        <v>0</v>
      </c>
      <c r="S110" s="362">
        <f t="shared" si="22"/>
        <v>0</v>
      </c>
    </row>
    <row r="111" spans="1:20">
      <c r="A111" s="160"/>
      <c r="B111" s="59"/>
      <c r="C111" s="24">
        <f t="shared" si="23"/>
        <v>1</v>
      </c>
      <c r="D111" s="721"/>
      <c r="E111" s="24">
        <f t="shared" si="24"/>
        <v>0.1</v>
      </c>
      <c r="F111" s="721"/>
      <c r="G111" s="24">
        <f t="shared" si="25"/>
        <v>0.1</v>
      </c>
      <c r="H111" s="721"/>
      <c r="I111" s="24">
        <f t="shared" si="26"/>
        <v>0</v>
      </c>
      <c r="J111" s="721"/>
      <c r="K111" s="24">
        <f t="shared" si="27"/>
        <v>1</v>
      </c>
      <c r="L111" s="721"/>
      <c r="M111" s="24">
        <f t="shared" si="28"/>
        <v>1</v>
      </c>
      <c r="N111" s="721"/>
      <c r="O111" s="24">
        <f t="shared" si="29"/>
        <v>1</v>
      </c>
      <c r="P111" s="721"/>
      <c r="Q111" s="24">
        <f t="shared" si="30"/>
        <v>1</v>
      </c>
      <c r="R111" s="717">
        <f t="shared" si="31"/>
        <v>0</v>
      </c>
      <c r="S111" s="362">
        <f t="shared" si="22"/>
        <v>0</v>
      </c>
    </row>
    <row r="112" spans="1:20">
      <c r="A112" s="160"/>
      <c r="B112" s="59"/>
      <c r="C112" s="24">
        <f t="shared" si="23"/>
        <v>1</v>
      </c>
      <c r="D112" s="721"/>
      <c r="E112" s="24">
        <f t="shared" si="24"/>
        <v>0.1</v>
      </c>
      <c r="F112" s="721"/>
      <c r="G112" s="24">
        <f t="shared" si="25"/>
        <v>0.1</v>
      </c>
      <c r="H112" s="721"/>
      <c r="I112" s="24">
        <f t="shared" si="26"/>
        <v>0</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0.1</v>
      </c>
      <c r="F113" s="721"/>
      <c r="G113" s="24">
        <f t="shared" si="25"/>
        <v>0.1</v>
      </c>
      <c r="H113" s="721"/>
      <c r="I113" s="24">
        <f t="shared" si="26"/>
        <v>0</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0.1</v>
      </c>
      <c r="F114" s="721"/>
      <c r="G114" s="24">
        <f t="shared" si="25"/>
        <v>0.1</v>
      </c>
      <c r="H114" s="721"/>
      <c r="I114" s="24">
        <f t="shared" si="26"/>
        <v>0</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0.1</v>
      </c>
      <c r="F115" s="721"/>
      <c r="G115" s="24">
        <f t="shared" si="25"/>
        <v>0.1</v>
      </c>
      <c r="H115" s="721"/>
      <c r="I115" s="24">
        <f t="shared" si="26"/>
        <v>0</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0.1</v>
      </c>
      <c r="F116" s="721"/>
      <c r="G116" s="24">
        <f t="shared" si="25"/>
        <v>0.1</v>
      </c>
      <c r="H116" s="721"/>
      <c r="I116" s="24">
        <f t="shared" si="26"/>
        <v>0</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0.1</v>
      </c>
      <c r="F117" s="721"/>
      <c r="G117" s="24">
        <f t="shared" si="25"/>
        <v>0.1</v>
      </c>
      <c r="H117" s="721"/>
      <c r="I117" s="24">
        <f t="shared" si="26"/>
        <v>0</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0.1</v>
      </c>
      <c r="F118" s="721"/>
      <c r="G118" s="24">
        <f t="shared" si="25"/>
        <v>0.1</v>
      </c>
      <c r="H118" s="721"/>
      <c r="I118" s="24">
        <f t="shared" si="26"/>
        <v>0</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0.1</v>
      </c>
      <c r="F119" s="721"/>
      <c r="G119" s="24">
        <f t="shared" si="25"/>
        <v>0.1</v>
      </c>
      <c r="H119" s="721"/>
      <c r="I119" s="24">
        <f t="shared" si="26"/>
        <v>0</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0.1</v>
      </c>
      <c r="F120" s="721"/>
      <c r="G120" s="24">
        <f t="shared" si="25"/>
        <v>0.1</v>
      </c>
      <c r="H120" s="721"/>
      <c r="I120" s="24">
        <f t="shared" si="26"/>
        <v>0</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0.1</v>
      </c>
      <c r="F121" s="721"/>
      <c r="G121" s="24">
        <f t="shared" si="25"/>
        <v>0.1</v>
      </c>
      <c r="H121" s="721"/>
      <c r="I121" s="24">
        <f t="shared" si="26"/>
        <v>0</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0.1</v>
      </c>
      <c r="F122" s="721"/>
      <c r="G122" s="24">
        <f t="shared" si="25"/>
        <v>0.1</v>
      </c>
      <c r="H122" s="721"/>
      <c r="I122" s="24">
        <f t="shared" si="26"/>
        <v>0</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0.1</v>
      </c>
      <c r="F123" s="721"/>
      <c r="G123" s="24">
        <f t="shared" si="25"/>
        <v>0.1</v>
      </c>
      <c r="H123" s="721"/>
      <c r="I123" s="24">
        <f t="shared" si="26"/>
        <v>0</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0.1</v>
      </c>
      <c r="F124" s="721"/>
      <c r="G124" s="24">
        <f t="shared" si="25"/>
        <v>0.1</v>
      </c>
      <c r="H124" s="721"/>
      <c r="I124" s="24">
        <f t="shared" si="26"/>
        <v>0</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0.1</v>
      </c>
      <c r="F125" s="721"/>
      <c r="G125" s="24">
        <f t="shared" si="25"/>
        <v>0.1</v>
      </c>
      <c r="H125" s="721"/>
      <c r="I125" s="24">
        <f t="shared" si="26"/>
        <v>0</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0.1</v>
      </c>
      <c r="F126" s="721"/>
      <c r="G126" s="24">
        <f t="shared" si="25"/>
        <v>0.1</v>
      </c>
      <c r="H126" s="721"/>
      <c r="I126" s="24">
        <f t="shared" si="26"/>
        <v>0</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0.1</v>
      </c>
      <c r="F127" s="721"/>
      <c r="G127" s="24">
        <f t="shared" si="25"/>
        <v>0.1</v>
      </c>
      <c r="H127" s="721"/>
      <c r="I127" s="24">
        <f t="shared" si="26"/>
        <v>0</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0.1</v>
      </c>
      <c r="F128" s="721"/>
      <c r="G128" s="24">
        <f t="shared" si="25"/>
        <v>0.1</v>
      </c>
      <c r="H128" s="721"/>
      <c r="I128" s="24">
        <f t="shared" si="26"/>
        <v>0</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0.1</v>
      </c>
      <c r="F129" s="721"/>
      <c r="G129" s="24">
        <f t="shared" si="25"/>
        <v>0.1</v>
      </c>
      <c r="H129" s="721"/>
      <c r="I129" s="24">
        <f t="shared" si="26"/>
        <v>0</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0.1</v>
      </c>
      <c r="F130" s="721"/>
      <c r="G130" s="24">
        <f t="shared" si="25"/>
        <v>0.1</v>
      </c>
      <c r="H130" s="721"/>
      <c r="I130" s="24">
        <f t="shared" si="26"/>
        <v>0</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0.1</v>
      </c>
      <c r="F131" s="721"/>
      <c r="G131" s="24">
        <f t="shared" si="25"/>
        <v>0.1</v>
      </c>
      <c r="H131" s="721"/>
      <c r="I131" s="24">
        <f t="shared" si="26"/>
        <v>0</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0.1</v>
      </c>
      <c r="F132" s="721"/>
      <c r="G132" s="24">
        <f t="shared" si="25"/>
        <v>0.1</v>
      </c>
      <c r="H132" s="721"/>
      <c r="I132" s="24">
        <f t="shared" si="26"/>
        <v>0</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0.1</v>
      </c>
      <c r="F133" s="721"/>
      <c r="G133" s="24">
        <f t="shared" si="25"/>
        <v>0.1</v>
      </c>
      <c r="H133" s="721"/>
      <c r="I133" s="24">
        <f t="shared" si="26"/>
        <v>0</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0.1</v>
      </c>
      <c r="F134" s="721"/>
      <c r="G134" s="24">
        <f t="shared" si="25"/>
        <v>0.1</v>
      </c>
      <c r="H134" s="721"/>
      <c r="I134" s="24">
        <f t="shared" si="26"/>
        <v>0</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0.1</v>
      </c>
      <c r="F135" s="721"/>
      <c r="G135" s="24">
        <f t="shared" si="25"/>
        <v>0.1</v>
      </c>
      <c r="H135" s="721"/>
      <c r="I135" s="24">
        <f t="shared" si="26"/>
        <v>0</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0.1</v>
      </c>
      <c r="F136" s="721"/>
      <c r="G136" s="24">
        <f t="shared" si="25"/>
        <v>0.1</v>
      </c>
      <c r="H136" s="721"/>
      <c r="I136" s="24">
        <f t="shared" si="26"/>
        <v>0</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0.1</v>
      </c>
      <c r="F137" s="721"/>
      <c r="G137" s="24">
        <f t="shared" si="25"/>
        <v>0.1</v>
      </c>
      <c r="H137" s="721"/>
      <c r="I137" s="24">
        <f t="shared" si="26"/>
        <v>0</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0.1</v>
      </c>
      <c r="F138" s="721"/>
      <c r="G138" s="24">
        <f t="shared" si="25"/>
        <v>0.1</v>
      </c>
      <c r="H138" s="721"/>
      <c r="I138" s="24">
        <f t="shared" si="26"/>
        <v>0</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0.1</v>
      </c>
      <c r="F139" s="721"/>
      <c r="G139" s="24">
        <f t="shared" si="25"/>
        <v>0.1</v>
      </c>
      <c r="H139" s="721"/>
      <c r="I139" s="24">
        <f t="shared" si="26"/>
        <v>0</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0.1</v>
      </c>
      <c r="F140" s="721"/>
      <c r="G140" s="24">
        <f t="shared" si="25"/>
        <v>0.1</v>
      </c>
      <c r="H140" s="721"/>
      <c r="I140" s="24">
        <f t="shared" si="26"/>
        <v>0</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0.1</v>
      </c>
      <c r="F141" s="721"/>
      <c r="G141" s="24">
        <f t="shared" si="25"/>
        <v>0.1</v>
      </c>
      <c r="H141" s="721"/>
      <c r="I141" s="24">
        <f t="shared" si="26"/>
        <v>0</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0.1</v>
      </c>
      <c r="F142" s="721"/>
      <c r="G142" s="24">
        <f t="shared" si="25"/>
        <v>0.1</v>
      </c>
      <c r="H142" s="721"/>
      <c r="I142" s="24">
        <f t="shared" si="26"/>
        <v>0</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0.1</v>
      </c>
      <c r="F143" s="721"/>
      <c r="G143" s="24">
        <f t="shared" si="25"/>
        <v>0.1</v>
      </c>
      <c r="H143" s="721"/>
      <c r="I143" s="24">
        <f t="shared" si="26"/>
        <v>0</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0.1</v>
      </c>
      <c r="F144" s="721"/>
      <c r="G144" s="24">
        <f t="shared" si="25"/>
        <v>0.1</v>
      </c>
      <c r="H144" s="721"/>
      <c r="I144" s="24">
        <f t="shared" si="26"/>
        <v>0</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0.1</v>
      </c>
      <c r="F145" s="721"/>
      <c r="G145" s="24">
        <f t="shared" si="25"/>
        <v>0.1</v>
      </c>
      <c r="H145" s="721"/>
      <c r="I145" s="24">
        <f t="shared" si="26"/>
        <v>0</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0.1</v>
      </c>
      <c r="F146" s="721"/>
      <c r="G146" s="24">
        <f t="shared" si="25"/>
        <v>0.1</v>
      </c>
      <c r="H146" s="721"/>
      <c r="I146" s="24">
        <f t="shared" si="26"/>
        <v>0</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0.1</v>
      </c>
      <c r="F147" s="721"/>
      <c r="G147" s="24">
        <f t="shared" si="25"/>
        <v>0.1</v>
      </c>
      <c r="H147" s="721"/>
      <c r="I147" s="24">
        <f t="shared" si="26"/>
        <v>0</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0.1</v>
      </c>
      <c r="F148" s="721"/>
      <c r="G148" s="24">
        <f t="shared" si="25"/>
        <v>0.1</v>
      </c>
      <c r="H148" s="721"/>
      <c r="I148" s="24">
        <f t="shared" si="26"/>
        <v>0</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0.1</v>
      </c>
      <c r="F149" s="721"/>
      <c r="G149" s="24">
        <f t="shared" si="25"/>
        <v>0.1</v>
      </c>
      <c r="H149" s="721"/>
      <c r="I149" s="24">
        <f t="shared" si="26"/>
        <v>0</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0.1</v>
      </c>
      <c r="F150" s="721"/>
      <c r="G150" s="24">
        <f t="shared" si="25"/>
        <v>0.1</v>
      </c>
      <c r="H150" s="721"/>
      <c r="I150" s="24">
        <f t="shared" si="26"/>
        <v>0</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0.1</v>
      </c>
      <c r="F151" s="721"/>
      <c r="G151" s="24">
        <f t="shared" si="25"/>
        <v>0.1</v>
      </c>
      <c r="H151" s="721"/>
      <c r="I151" s="24">
        <f t="shared" si="26"/>
        <v>0</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0.1</v>
      </c>
      <c r="F152" s="721"/>
      <c r="G152" s="24">
        <f t="shared" si="25"/>
        <v>0.1</v>
      </c>
      <c r="H152" s="721"/>
      <c r="I152" s="24">
        <f t="shared" si="26"/>
        <v>0</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0.1</v>
      </c>
      <c r="F153" s="721"/>
      <c r="G153" s="24">
        <f t="shared" si="25"/>
        <v>0.1</v>
      </c>
      <c r="H153" s="721"/>
      <c r="I153" s="24">
        <f t="shared" si="26"/>
        <v>0</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0.1</v>
      </c>
      <c r="F154" s="721"/>
      <c r="G154" s="24">
        <f t="shared" ref="G154:G217" si="35">(SUMIF($7:$7,F154,$8:$8)-SUMIF($7:$7,$F$24,$8:$8)+100)/100</f>
        <v>0.1</v>
      </c>
      <c r="H154" s="721"/>
      <c r="I154" s="24">
        <f t="shared" ref="I154:I217" si="36">(SUMIF($9:$9,H154,$10:$10)-SUMIF($9:$9,$H$24,$10:$10)+100)/100</f>
        <v>0</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0.1</v>
      </c>
      <c r="F155" s="721"/>
      <c r="G155" s="24">
        <f t="shared" si="35"/>
        <v>0.1</v>
      </c>
      <c r="H155" s="721"/>
      <c r="I155" s="24">
        <f t="shared" si="36"/>
        <v>0</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0.1</v>
      </c>
      <c r="F156" s="721"/>
      <c r="G156" s="24">
        <f t="shared" si="35"/>
        <v>0.1</v>
      </c>
      <c r="H156" s="721"/>
      <c r="I156" s="24">
        <f t="shared" si="36"/>
        <v>0</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0.1</v>
      </c>
      <c r="F157" s="721"/>
      <c r="G157" s="24">
        <f t="shared" si="35"/>
        <v>0.1</v>
      </c>
      <c r="H157" s="721"/>
      <c r="I157" s="24">
        <f t="shared" si="36"/>
        <v>0</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0.1</v>
      </c>
      <c r="F158" s="721"/>
      <c r="G158" s="24">
        <f t="shared" si="35"/>
        <v>0.1</v>
      </c>
      <c r="H158" s="721"/>
      <c r="I158" s="24">
        <f t="shared" si="36"/>
        <v>0</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0.1</v>
      </c>
      <c r="F159" s="721"/>
      <c r="G159" s="24">
        <f t="shared" si="35"/>
        <v>0.1</v>
      </c>
      <c r="H159" s="721"/>
      <c r="I159" s="24">
        <f t="shared" si="36"/>
        <v>0</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0.1</v>
      </c>
      <c r="F160" s="721"/>
      <c r="G160" s="24">
        <f t="shared" si="35"/>
        <v>0.1</v>
      </c>
      <c r="H160" s="721"/>
      <c r="I160" s="24">
        <f t="shared" si="36"/>
        <v>0</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0.1</v>
      </c>
      <c r="F161" s="721"/>
      <c r="G161" s="24">
        <f t="shared" si="35"/>
        <v>0.1</v>
      </c>
      <c r="H161" s="721"/>
      <c r="I161" s="24">
        <f t="shared" si="36"/>
        <v>0</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0.1</v>
      </c>
      <c r="F162" s="721"/>
      <c r="G162" s="24">
        <f t="shared" si="35"/>
        <v>0.1</v>
      </c>
      <c r="H162" s="721"/>
      <c r="I162" s="24">
        <f t="shared" si="36"/>
        <v>0</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0.1</v>
      </c>
      <c r="F163" s="721"/>
      <c r="G163" s="24">
        <f t="shared" si="35"/>
        <v>0.1</v>
      </c>
      <c r="H163" s="721"/>
      <c r="I163" s="24">
        <f t="shared" si="36"/>
        <v>0</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0.1</v>
      </c>
      <c r="F164" s="721"/>
      <c r="G164" s="24">
        <f t="shared" si="35"/>
        <v>0.1</v>
      </c>
      <c r="H164" s="721"/>
      <c r="I164" s="24">
        <f t="shared" si="36"/>
        <v>0</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0.1</v>
      </c>
      <c r="F165" s="721"/>
      <c r="G165" s="24">
        <f t="shared" si="35"/>
        <v>0.1</v>
      </c>
      <c r="H165" s="721"/>
      <c r="I165" s="24">
        <f t="shared" si="36"/>
        <v>0</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0.1</v>
      </c>
      <c r="F166" s="721"/>
      <c r="G166" s="24">
        <f t="shared" si="35"/>
        <v>0.1</v>
      </c>
      <c r="H166" s="721"/>
      <c r="I166" s="24">
        <f t="shared" si="36"/>
        <v>0</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0.1</v>
      </c>
      <c r="F167" s="721"/>
      <c r="G167" s="24">
        <f t="shared" si="35"/>
        <v>0.1</v>
      </c>
      <c r="H167" s="721"/>
      <c r="I167" s="24">
        <f t="shared" si="36"/>
        <v>0</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0.1</v>
      </c>
      <c r="F168" s="721"/>
      <c r="G168" s="24">
        <f t="shared" si="35"/>
        <v>0.1</v>
      </c>
      <c r="H168" s="721"/>
      <c r="I168" s="24">
        <f t="shared" si="36"/>
        <v>0</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0.1</v>
      </c>
      <c r="F169" s="721"/>
      <c r="G169" s="24">
        <f t="shared" si="35"/>
        <v>0.1</v>
      </c>
      <c r="H169" s="721"/>
      <c r="I169" s="24">
        <f t="shared" si="36"/>
        <v>0</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0.1</v>
      </c>
      <c r="F170" s="721"/>
      <c r="G170" s="24">
        <f t="shared" si="35"/>
        <v>0.1</v>
      </c>
      <c r="H170" s="721"/>
      <c r="I170" s="24">
        <f t="shared" si="36"/>
        <v>0</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0.1</v>
      </c>
      <c r="F171" s="721"/>
      <c r="G171" s="24">
        <f t="shared" si="35"/>
        <v>0.1</v>
      </c>
      <c r="H171" s="721"/>
      <c r="I171" s="24">
        <f t="shared" si="36"/>
        <v>0</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0.1</v>
      </c>
      <c r="F172" s="721"/>
      <c r="G172" s="24">
        <f t="shared" si="35"/>
        <v>0.1</v>
      </c>
      <c r="H172" s="721"/>
      <c r="I172" s="24">
        <f t="shared" si="36"/>
        <v>0</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0.1</v>
      </c>
      <c r="F173" s="721"/>
      <c r="G173" s="24">
        <f t="shared" si="35"/>
        <v>0.1</v>
      </c>
      <c r="H173" s="721"/>
      <c r="I173" s="24">
        <f t="shared" si="36"/>
        <v>0</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0.1</v>
      </c>
      <c r="F174" s="721"/>
      <c r="G174" s="24">
        <f t="shared" si="35"/>
        <v>0.1</v>
      </c>
      <c r="H174" s="721"/>
      <c r="I174" s="24">
        <f t="shared" si="36"/>
        <v>0</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0.1</v>
      </c>
      <c r="F175" s="721"/>
      <c r="G175" s="24">
        <f t="shared" si="35"/>
        <v>0.1</v>
      </c>
      <c r="H175" s="721"/>
      <c r="I175" s="24">
        <f t="shared" si="36"/>
        <v>0</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0.1</v>
      </c>
      <c r="F176" s="721"/>
      <c r="G176" s="24">
        <f t="shared" si="35"/>
        <v>0.1</v>
      </c>
      <c r="H176" s="721"/>
      <c r="I176" s="24">
        <f t="shared" si="36"/>
        <v>0</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0.1</v>
      </c>
      <c r="F177" s="721"/>
      <c r="G177" s="24">
        <f t="shared" si="35"/>
        <v>0.1</v>
      </c>
      <c r="H177" s="721"/>
      <c r="I177" s="24">
        <f t="shared" si="36"/>
        <v>0</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0.1</v>
      </c>
      <c r="F178" s="721"/>
      <c r="G178" s="24">
        <f t="shared" si="35"/>
        <v>0.1</v>
      </c>
      <c r="H178" s="721"/>
      <c r="I178" s="24">
        <f t="shared" si="36"/>
        <v>0</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0.1</v>
      </c>
      <c r="F179" s="721"/>
      <c r="G179" s="24">
        <f t="shared" si="35"/>
        <v>0.1</v>
      </c>
      <c r="H179" s="721"/>
      <c r="I179" s="24">
        <f t="shared" si="36"/>
        <v>0</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0.1</v>
      </c>
      <c r="F180" s="721"/>
      <c r="G180" s="24">
        <f t="shared" si="35"/>
        <v>0.1</v>
      </c>
      <c r="H180" s="721"/>
      <c r="I180" s="24">
        <f t="shared" si="36"/>
        <v>0</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0.1</v>
      </c>
      <c r="F181" s="721"/>
      <c r="G181" s="24">
        <f t="shared" si="35"/>
        <v>0.1</v>
      </c>
      <c r="H181" s="721"/>
      <c r="I181" s="24">
        <f t="shared" si="36"/>
        <v>0</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0.1</v>
      </c>
      <c r="F182" s="721"/>
      <c r="G182" s="24">
        <f t="shared" si="35"/>
        <v>0.1</v>
      </c>
      <c r="H182" s="721"/>
      <c r="I182" s="24">
        <f t="shared" si="36"/>
        <v>0</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0.1</v>
      </c>
      <c r="F183" s="721"/>
      <c r="G183" s="24">
        <f t="shared" si="35"/>
        <v>0.1</v>
      </c>
      <c r="H183" s="721"/>
      <c r="I183" s="24">
        <f t="shared" si="36"/>
        <v>0</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0.1</v>
      </c>
      <c r="F184" s="721"/>
      <c r="G184" s="24">
        <f t="shared" si="35"/>
        <v>0.1</v>
      </c>
      <c r="H184" s="721"/>
      <c r="I184" s="24">
        <f t="shared" si="36"/>
        <v>0</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0.1</v>
      </c>
      <c r="F185" s="721"/>
      <c r="G185" s="24">
        <f t="shared" si="35"/>
        <v>0.1</v>
      </c>
      <c r="H185" s="721"/>
      <c r="I185" s="24">
        <f t="shared" si="36"/>
        <v>0</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0.1</v>
      </c>
      <c r="F186" s="721"/>
      <c r="G186" s="24">
        <f t="shared" si="35"/>
        <v>0.1</v>
      </c>
      <c r="H186" s="721"/>
      <c r="I186" s="24">
        <f t="shared" si="36"/>
        <v>0</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0.1</v>
      </c>
      <c r="F187" s="721"/>
      <c r="G187" s="24">
        <f t="shared" si="35"/>
        <v>0.1</v>
      </c>
      <c r="H187" s="721"/>
      <c r="I187" s="24">
        <f t="shared" si="36"/>
        <v>0</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0.1</v>
      </c>
      <c r="F188" s="721"/>
      <c r="G188" s="24">
        <f t="shared" si="35"/>
        <v>0.1</v>
      </c>
      <c r="H188" s="721"/>
      <c r="I188" s="24">
        <f t="shared" si="36"/>
        <v>0</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0.1</v>
      </c>
      <c r="F189" s="721"/>
      <c r="G189" s="24">
        <f t="shared" si="35"/>
        <v>0.1</v>
      </c>
      <c r="H189" s="721"/>
      <c r="I189" s="24">
        <f t="shared" si="36"/>
        <v>0</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0.1</v>
      </c>
      <c r="F190" s="721"/>
      <c r="G190" s="24">
        <f t="shared" si="35"/>
        <v>0.1</v>
      </c>
      <c r="H190" s="721"/>
      <c r="I190" s="24">
        <f t="shared" si="36"/>
        <v>0</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0.1</v>
      </c>
      <c r="F191" s="721"/>
      <c r="G191" s="24">
        <f t="shared" si="35"/>
        <v>0.1</v>
      </c>
      <c r="H191" s="721"/>
      <c r="I191" s="24">
        <f t="shared" si="36"/>
        <v>0</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0.1</v>
      </c>
      <c r="F192" s="721"/>
      <c r="G192" s="24">
        <f t="shared" si="35"/>
        <v>0.1</v>
      </c>
      <c r="H192" s="721"/>
      <c r="I192" s="24">
        <f t="shared" si="36"/>
        <v>0</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0.1</v>
      </c>
      <c r="F193" s="721"/>
      <c r="G193" s="24">
        <f t="shared" si="35"/>
        <v>0.1</v>
      </c>
      <c r="H193" s="721"/>
      <c r="I193" s="24">
        <f t="shared" si="36"/>
        <v>0</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0.1</v>
      </c>
      <c r="F194" s="721"/>
      <c r="G194" s="24">
        <f t="shared" si="35"/>
        <v>0.1</v>
      </c>
      <c r="H194" s="721"/>
      <c r="I194" s="24">
        <f t="shared" si="36"/>
        <v>0</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0.1</v>
      </c>
      <c r="F195" s="721"/>
      <c r="G195" s="24">
        <f t="shared" si="35"/>
        <v>0.1</v>
      </c>
      <c r="H195" s="721"/>
      <c r="I195" s="24">
        <f t="shared" si="36"/>
        <v>0</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0.1</v>
      </c>
      <c r="F196" s="721"/>
      <c r="G196" s="24">
        <f t="shared" si="35"/>
        <v>0.1</v>
      </c>
      <c r="H196" s="721"/>
      <c r="I196" s="24">
        <f t="shared" si="36"/>
        <v>0</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0.1</v>
      </c>
      <c r="F197" s="721"/>
      <c r="G197" s="24">
        <f t="shared" si="35"/>
        <v>0.1</v>
      </c>
      <c r="H197" s="721"/>
      <c r="I197" s="24">
        <f t="shared" si="36"/>
        <v>0</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0.1</v>
      </c>
      <c r="F198" s="721"/>
      <c r="G198" s="24">
        <f t="shared" si="35"/>
        <v>0.1</v>
      </c>
      <c r="H198" s="721"/>
      <c r="I198" s="24">
        <f t="shared" si="36"/>
        <v>0</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0.1</v>
      </c>
      <c r="F199" s="721"/>
      <c r="G199" s="24">
        <f t="shared" si="35"/>
        <v>0.1</v>
      </c>
      <c r="H199" s="721"/>
      <c r="I199" s="24">
        <f t="shared" si="36"/>
        <v>0</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0.1</v>
      </c>
      <c r="F200" s="721"/>
      <c r="G200" s="24">
        <f t="shared" si="35"/>
        <v>0.1</v>
      </c>
      <c r="H200" s="721"/>
      <c r="I200" s="24">
        <f t="shared" si="36"/>
        <v>0</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0.1</v>
      </c>
      <c r="F201" s="721"/>
      <c r="G201" s="24">
        <f t="shared" si="35"/>
        <v>0.1</v>
      </c>
      <c r="H201" s="721"/>
      <c r="I201" s="24">
        <f t="shared" si="36"/>
        <v>0</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0.1</v>
      </c>
      <c r="F202" s="721"/>
      <c r="G202" s="24">
        <f t="shared" si="35"/>
        <v>0.1</v>
      </c>
      <c r="H202" s="721"/>
      <c r="I202" s="24">
        <f t="shared" si="36"/>
        <v>0</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0.1</v>
      </c>
      <c r="F203" s="721"/>
      <c r="G203" s="24">
        <f t="shared" si="35"/>
        <v>0.1</v>
      </c>
      <c r="H203" s="721"/>
      <c r="I203" s="24">
        <f t="shared" si="36"/>
        <v>0</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0.1</v>
      </c>
      <c r="F204" s="721"/>
      <c r="G204" s="24">
        <f t="shared" si="35"/>
        <v>0.1</v>
      </c>
      <c r="H204" s="721"/>
      <c r="I204" s="24">
        <f t="shared" si="36"/>
        <v>0</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0.1</v>
      </c>
      <c r="F205" s="721"/>
      <c r="G205" s="24">
        <f t="shared" si="35"/>
        <v>0.1</v>
      </c>
      <c r="H205" s="721"/>
      <c r="I205" s="24">
        <f t="shared" si="36"/>
        <v>0</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0.1</v>
      </c>
      <c r="F206" s="721"/>
      <c r="G206" s="24">
        <f t="shared" si="35"/>
        <v>0.1</v>
      </c>
      <c r="H206" s="721"/>
      <c r="I206" s="24">
        <f t="shared" si="36"/>
        <v>0</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0.1</v>
      </c>
      <c r="F207" s="721"/>
      <c r="G207" s="24">
        <f t="shared" si="35"/>
        <v>0.1</v>
      </c>
      <c r="H207" s="721"/>
      <c r="I207" s="24">
        <f t="shared" si="36"/>
        <v>0</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0.1</v>
      </c>
      <c r="F208" s="721"/>
      <c r="G208" s="24">
        <f t="shared" si="35"/>
        <v>0.1</v>
      </c>
      <c r="H208" s="721"/>
      <c r="I208" s="24">
        <f t="shared" si="36"/>
        <v>0</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0.1</v>
      </c>
      <c r="F209" s="721"/>
      <c r="G209" s="24">
        <f t="shared" si="35"/>
        <v>0.1</v>
      </c>
      <c r="H209" s="721"/>
      <c r="I209" s="24">
        <f t="shared" si="36"/>
        <v>0</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0.1</v>
      </c>
      <c r="F210" s="721"/>
      <c r="G210" s="24">
        <f t="shared" si="35"/>
        <v>0.1</v>
      </c>
      <c r="H210" s="721"/>
      <c r="I210" s="24">
        <f t="shared" si="36"/>
        <v>0</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0.1</v>
      </c>
      <c r="F211" s="721"/>
      <c r="G211" s="24">
        <f t="shared" si="35"/>
        <v>0.1</v>
      </c>
      <c r="H211" s="721"/>
      <c r="I211" s="24">
        <f t="shared" si="36"/>
        <v>0</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0.1</v>
      </c>
      <c r="F212" s="721"/>
      <c r="G212" s="24">
        <f t="shared" si="35"/>
        <v>0.1</v>
      </c>
      <c r="H212" s="721"/>
      <c r="I212" s="24">
        <f t="shared" si="36"/>
        <v>0</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0.1</v>
      </c>
      <c r="F213" s="721"/>
      <c r="G213" s="24">
        <f t="shared" si="35"/>
        <v>0.1</v>
      </c>
      <c r="H213" s="721"/>
      <c r="I213" s="24">
        <f t="shared" si="36"/>
        <v>0</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0.1</v>
      </c>
      <c r="F214" s="721"/>
      <c r="G214" s="24">
        <f t="shared" si="35"/>
        <v>0.1</v>
      </c>
      <c r="H214" s="721"/>
      <c r="I214" s="24">
        <f t="shared" si="36"/>
        <v>0</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0.1</v>
      </c>
      <c r="F215" s="721"/>
      <c r="G215" s="24">
        <f t="shared" si="35"/>
        <v>0.1</v>
      </c>
      <c r="H215" s="721"/>
      <c r="I215" s="24">
        <f t="shared" si="36"/>
        <v>0</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0.1</v>
      </c>
      <c r="F216" s="721"/>
      <c r="G216" s="24">
        <f t="shared" si="35"/>
        <v>0.1</v>
      </c>
      <c r="H216" s="721"/>
      <c r="I216" s="24">
        <f t="shared" si="36"/>
        <v>0</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0.1</v>
      </c>
      <c r="F217" s="721"/>
      <c r="G217" s="24">
        <f t="shared" si="35"/>
        <v>0.1</v>
      </c>
      <c r="H217" s="721"/>
      <c r="I217" s="24">
        <f t="shared" si="36"/>
        <v>0</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0.1</v>
      </c>
      <c r="F218" s="721"/>
      <c r="G218" s="24">
        <f t="shared" ref="G218:G281" si="45">(SUMIF($7:$7,F218,$8:$8)-SUMIF($7:$7,$F$24,$8:$8)+100)/100</f>
        <v>0.1</v>
      </c>
      <c r="H218" s="721"/>
      <c r="I218" s="24">
        <f t="shared" ref="I218:I281" si="46">(SUMIF($9:$9,H218,$10:$10)-SUMIF($9:$9,$H$24,$10:$10)+100)/100</f>
        <v>0</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0.1</v>
      </c>
      <c r="F219" s="721"/>
      <c r="G219" s="24">
        <f t="shared" si="45"/>
        <v>0.1</v>
      </c>
      <c r="H219" s="721"/>
      <c r="I219" s="24">
        <f t="shared" si="46"/>
        <v>0</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0.1</v>
      </c>
      <c r="F220" s="721"/>
      <c r="G220" s="24">
        <f t="shared" si="45"/>
        <v>0.1</v>
      </c>
      <c r="H220" s="721"/>
      <c r="I220" s="24">
        <f t="shared" si="46"/>
        <v>0</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0.1</v>
      </c>
      <c r="F221" s="721"/>
      <c r="G221" s="24">
        <f t="shared" si="45"/>
        <v>0.1</v>
      </c>
      <c r="H221" s="721"/>
      <c r="I221" s="24">
        <f t="shared" si="46"/>
        <v>0</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0.1</v>
      </c>
      <c r="F222" s="721"/>
      <c r="G222" s="24">
        <f t="shared" si="45"/>
        <v>0.1</v>
      </c>
      <c r="H222" s="721"/>
      <c r="I222" s="24">
        <f t="shared" si="46"/>
        <v>0</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0.1</v>
      </c>
      <c r="F223" s="721"/>
      <c r="G223" s="24">
        <f t="shared" si="45"/>
        <v>0.1</v>
      </c>
      <c r="H223" s="721"/>
      <c r="I223" s="24">
        <f t="shared" si="46"/>
        <v>0</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0.1</v>
      </c>
      <c r="F224" s="721"/>
      <c r="G224" s="24">
        <f t="shared" si="45"/>
        <v>0.1</v>
      </c>
      <c r="H224" s="721"/>
      <c r="I224" s="24">
        <f t="shared" si="46"/>
        <v>0</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0.1</v>
      </c>
      <c r="F225" s="721"/>
      <c r="G225" s="24">
        <f t="shared" si="45"/>
        <v>0.1</v>
      </c>
      <c r="H225" s="721"/>
      <c r="I225" s="24">
        <f t="shared" si="46"/>
        <v>0</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0.1</v>
      </c>
      <c r="F226" s="721"/>
      <c r="G226" s="24">
        <f t="shared" si="45"/>
        <v>0.1</v>
      </c>
      <c r="H226" s="721"/>
      <c r="I226" s="24">
        <f t="shared" si="46"/>
        <v>0</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0.1</v>
      </c>
      <c r="F227" s="721"/>
      <c r="G227" s="24">
        <f t="shared" si="45"/>
        <v>0.1</v>
      </c>
      <c r="H227" s="721"/>
      <c r="I227" s="24">
        <f t="shared" si="46"/>
        <v>0</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0.1</v>
      </c>
      <c r="F228" s="721"/>
      <c r="G228" s="24">
        <f t="shared" si="45"/>
        <v>0.1</v>
      </c>
      <c r="H228" s="721"/>
      <c r="I228" s="24">
        <f t="shared" si="46"/>
        <v>0</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0.1</v>
      </c>
      <c r="F229" s="721"/>
      <c r="G229" s="24">
        <f t="shared" si="45"/>
        <v>0.1</v>
      </c>
      <c r="H229" s="721"/>
      <c r="I229" s="24">
        <f t="shared" si="46"/>
        <v>0</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0.1</v>
      </c>
      <c r="F230" s="721"/>
      <c r="G230" s="24">
        <f t="shared" si="45"/>
        <v>0.1</v>
      </c>
      <c r="H230" s="721"/>
      <c r="I230" s="24">
        <f t="shared" si="46"/>
        <v>0</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0.1</v>
      </c>
      <c r="F231" s="721"/>
      <c r="G231" s="24">
        <f t="shared" si="45"/>
        <v>0.1</v>
      </c>
      <c r="H231" s="721"/>
      <c r="I231" s="24">
        <f t="shared" si="46"/>
        <v>0</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0.1</v>
      </c>
      <c r="F232" s="721"/>
      <c r="G232" s="24">
        <f t="shared" si="45"/>
        <v>0.1</v>
      </c>
      <c r="H232" s="721"/>
      <c r="I232" s="24">
        <f t="shared" si="46"/>
        <v>0</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0.1</v>
      </c>
      <c r="F233" s="721"/>
      <c r="G233" s="24">
        <f t="shared" si="45"/>
        <v>0.1</v>
      </c>
      <c r="H233" s="721"/>
      <c r="I233" s="24">
        <f t="shared" si="46"/>
        <v>0</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0.1</v>
      </c>
      <c r="F234" s="721"/>
      <c r="G234" s="24">
        <f t="shared" si="45"/>
        <v>0.1</v>
      </c>
      <c r="H234" s="721"/>
      <c r="I234" s="24">
        <f t="shared" si="46"/>
        <v>0</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0.1</v>
      </c>
      <c r="F235" s="721"/>
      <c r="G235" s="24">
        <f t="shared" si="45"/>
        <v>0.1</v>
      </c>
      <c r="H235" s="721"/>
      <c r="I235" s="24">
        <f t="shared" si="46"/>
        <v>0</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0.1</v>
      </c>
      <c r="F236" s="721"/>
      <c r="G236" s="24">
        <f t="shared" si="45"/>
        <v>0.1</v>
      </c>
      <c r="H236" s="721"/>
      <c r="I236" s="24">
        <f t="shared" si="46"/>
        <v>0</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0.1</v>
      </c>
      <c r="F237" s="721"/>
      <c r="G237" s="24">
        <f t="shared" si="45"/>
        <v>0.1</v>
      </c>
      <c r="H237" s="721"/>
      <c r="I237" s="24">
        <f t="shared" si="46"/>
        <v>0</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0.1</v>
      </c>
      <c r="F238" s="721"/>
      <c r="G238" s="24">
        <f t="shared" si="45"/>
        <v>0.1</v>
      </c>
      <c r="H238" s="721"/>
      <c r="I238" s="24">
        <f t="shared" si="46"/>
        <v>0</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0.1</v>
      </c>
      <c r="F239" s="721"/>
      <c r="G239" s="24">
        <f t="shared" si="45"/>
        <v>0.1</v>
      </c>
      <c r="H239" s="721"/>
      <c r="I239" s="24">
        <f t="shared" si="46"/>
        <v>0</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0.1</v>
      </c>
      <c r="F240" s="721"/>
      <c r="G240" s="24">
        <f t="shared" si="45"/>
        <v>0.1</v>
      </c>
      <c r="H240" s="721"/>
      <c r="I240" s="24">
        <f t="shared" si="46"/>
        <v>0</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0.1</v>
      </c>
      <c r="F241" s="721"/>
      <c r="G241" s="24">
        <f t="shared" si="45"/>
        <v>0.1</v>
      </c>
      <c r="H241" s="721"/>
      <c r="I241" s="24">
        <f t="shared" si="46"/>
        <v>0</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0.1</v>
      </c>
      <c r="F242" s="721"/>
      <c r="G242" s="24">
        <f t="shared" si="45"/>
        <v>0.1</v>
      </c>
      <c r="H242" s="721"/>
      <c r="I242" s="24">
        <f t="shared" si="46"/>
        <v>0</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0.1</v>
      </c>
      <c r="F243" s="721"/>
      <c r="G243" s="24">
        <f t="shared" si="45"/>
        <v>0.1</v>
      </c>
      <c r="H243" s="721"/>
      <c r="I243" s="24">
        <f t="shared" si="46"/>
        <v>0</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0.1</v>
      </c>
      <c r="F244" s="721"/>
      <c r="G244" s="24">
        <f t="shared" si="45"/>
        <v>0.1</v>
      </c>
      <c r="H244" s="721"/>
      <c r="I244" s="24">
        <f t="shared" si="46"/>
        <v>0</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0.1</v>
      </c>
      <c r="F245" s="721"/>
      <c r="G245" s="24">
        <f t="shared" si="45"/>
        <v>0.1</v>
      </c>
      <c r="H245" s="721"/>
      <c r="I245" s="24">
        <f t="shared" si="46"/>
        <v>0</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0.1</v>
      </c>
      <c r="F246" s="721"/>
      <c r="G246" s="24">
        <f t="shared" si="45"/>
        <v>0.1</v>
      </c>
      <c r="H246" s="721"/>
      <c r="I246" s="24">
        <f t="shared" si="46"/>
        <v>0</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0.1</v>
      </c>
      <c r="F247" s="721"/>
      <c r="G247" s="24">
        <f t="shared" si="45"/>
        <v>0.1</v>
      </c>
      <c r="H247" s="721"/>
      <c r="I247" s="24">
        <f t="shared" si="46"/>
        <v>0</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0.1</v>
      </c>
      <c r="F248" s="721"/>
      <c r="G248" s="24">
        <f t="shared" si="45"/>
        <v>0.1</v>
      </c>
      <c r="H248" s="721"/>
      <c r="I248" s="24">
        <f t="shared" si="46"/>
        <v>0</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0.1</v>
      </c>
      <c r="F249" s="721"/>
      <c r="G249" s="24">
        <f t="shared" si="45"/>
        <v>0.1</v>
      </c>
      <c r="H249" s="721"/>
      <c r="I249" s="24">
        <f t="shared" si="46"/>
        <v>0</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0.1</v>
      </c>
      <c r="F250" s="721"/>
      <c r="G250" s="24">
        <f t="shared" si="45"/>
        <v>0.1</v>
      </c>
      <c r="H250" s="721"/>
      <c r="I250" s="24">
        <f t="shared" si="46"/>
        <v>0</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0.1</v>
      </c>
      <c r="F251" s="721"/>
      <c r="G251" s="24">
        <f t="shared" si="45"/>
        <v>0.1</v>
      </c>
      <c r="H251" s="721"/>
      <c r="I251" s="24">
        <f t="shared" si="46"/>
        <v>0</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0.1</v>
      </c>
      <c r="F252" s="721"/>
      <c r="G252" s="24">
        <f t="shared" si="45"/>
        <v>0.1</v>
      </c>
      <c r="H252" s="721"/>
      <c r="I252" s="24">
        <f t="shared" si="46"/>
        <v>0</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0.1</v>
      </c>
      <c r="F253" s="721"/>
      <c r="G253" s="24">
        <f t="shared" si="45"/>
        <v>0.1</v>
      </c>
      <c r="H253" s="721"/>
      <c r="I253" s="24">
        <f t="shared" si="46"/>
        <v>0</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0.1</v>
      </c>
      <c r="F254" s="721"/>
      <c r="G254" s="24">
        <f t="shared" si="45"/>
        <v>0.1</v>
      </c>
      <c r="H254" s="721"/>
      <c r="I254" s="24">
        <f t="shared" si="46"/>
        <v>0</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0.1</v>
      </c>
      <c r="F255" s="721"/>
      <c r="G255" s="24">
        <f t="shared" si="45"/>
        <v>0.1</v>
      </c>
      <c r="H255" s="721"/>
      <c r="I255" s="24">
        <f t="shared" si="46"/>
        <v>0</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0.1</v>
      </c>
      <c r="F256" s="721"/>
      <c r="G256" s="24">
        <f t="shared" si="45"/>
        <v>0.1</v>
      </c>
      <c r="H256" s="721"/>
      <c r="I256" s="24">
        <f t="shared" si="46"/>
        <v>0</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0.1</v>
      </c>
      <c r="F257" s="721"/>
      <c r="G257" s="24">
        <f t="shared" si="45"/>
        <v>0.1</v>
      </c>
      <c r="H257" s="721"/>
      <c r="I257" s="24">
        <f t="shared" si="46"/>
        <v>0</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0.1</v>
      </c>
      <c r="F258" s="721"/>
      <c r="G258" s="24">
        <f t="shared" si="45"/>
        <v>0.1</v>
      </c>
      <c r="H258" s="721"/>
      <c r="I258" s="24">
        <f t="shared" si="46"/>
        <v>0</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0.1</v>
      </c>
      <c r="F259" s="721"/>
      <c r="G259" s="24">
        <f t="shared" si="45"/>
        <v>0.1</v>
      </c>
      <c r="H259" s="721"/>
      <c r="I259" s="24">
        <f t="shared" si="46"/>
        <v>0</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0.1</v>
      </c>
      <c r="F260" s="721"/>
      <c r="G260" s="24">
        <f t="shared" si="45"/>
        <v>0.1</v>
      </c>
      <c r="H260" s="721"/>
      <c r="I260" s="24">
        <f t="shared" si="46"/>
        <v>0</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0.1</v>
      </c>
      <c r="F261" s="721"/>
      <c r="G261" s="24">
        <f t="shared" si="45"/>
        <v>0.1</v>
      </c>
      <c r="H261" s="721"/>
      <c r="I261" s="24">
        <f t="shared" si="46"/>
        <v>0</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0.1</v>
      </c>
      <c r="F262" s="721"/>
      <c r="G262" s="24">
        <f t="shared" si="45"/>
        <v>0.1</v>
      </c>
      <c r="H262" s="721"/>
      <c r="I262" s="24">
        <f t="shared" si="46"/>
        <v>0</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0.1</v>
      </c>
      <c r="F263" s="721"/>
      <c r="G263" s="24">
        <f t="shared" si="45"/>
        <v>0.1</v>
      </c>
      <c r="H263" s="721"/>
      <c r="I263" s="24">
        <f t="shared" si="46"/>
        <v>0</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0.1</v>
      </c>
      <c r="F264" s="721"/>
      <c r="G264" s="24">
        <f t="shared" si="45"/>
        <v>0.1</v>
      </c>
      <c r="H264" s="721"/>
      <c r="I264" s="24">
        <f t="shared" si="46"/>
        <v>0</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0.1</v>
      </c>
      <c r="F265" s="721"/>
      <c r="G265" s="24">
        <f t="shared" si="45"/>
        <v>0.1</v>
      </c>
      <c r="H265" s="721"/>
      <c r="I265" s="24">
        <f t="shared" si="46"/>
        <v>0</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0.1</v>
      </c>
      <c r="F266" s="721"/>
      <c r="G266" s="24">
        <f t="shared" si="45"/>
        <v>0.1</v>
      </c>
      <c r="H266" s="721"/>
      <c r="I266" s="24">
        <f t="shared" si="46"/>
        <v>0</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0.1</v>
      </c>
      <c r="F267" s="721"/>
      <c r="G267" s="24">
        <f t="shared" si="45"/>
        <v>0.1</v>
      </c>
      <c r="H267" s="721"/>
      <c r="I267" s="24">
        <f t="shared" si="46"/>
        <v>0</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0.1</v>
      </c>
      <c r="F268" s="721"/>
      <c r="G268" s="24">
        <f t="shared" si="45"/>
        <v>0.1</v>
      </c>
      <c r="H268" s="721"/>
      <c r="I268" s="24">
        <f t="shared" si="46"/>
        <v>0</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0.1</v>
      </c>
      <c r="F269" s="721"/>
      <c r="G269" s="24">
        <f t="shared" si="45"/>
        <v>0.1</v>
      </c>
      <c r="H269" s="721"/>
      <c r="I269" s="24">
        <f t="shared" si="46"/>
        <v>0</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0.1</v>
      </c>
      <c r="F270" s="721"/>
      <c r="G270" s="24">
        <f t="shared" si="45"/>
        <v>0.1</v>
      </c>
      <c r="H270" s="721"/>
      <c r="I270" s="24">
        <f t="shared" si="46"/>
        <v>0</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0.1</v>
      </c>
      <c r="F271" s="721"/>
      <c r="G271" s="24">
        <f t="shared" si="45"/>
        <v>0.1</v>
      </c>
      <c r="H271" s="721"/>
      <c r="I271" s="24">
        <f t="shared" si="46"/>
        <v>0</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0.1</v>
      </c>
      <c r="F272" s="721"/>
      <c r="G272" s="24">
        <f t="shared" si="45"/>
        <v>0.1</v>
      </c>
      <c r="H272" s="721"/>
      <c r="I272" s="24">
        <f t="shared" si="46"/>
        <v>0</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0.1</v>
      </c>
      <c r="F273" s="721"/>
      <c r="G273" s="24">
        <f t="shared" si="45"/>
        <v>0.1</v>
      </c>
      <c r="H273" s="721"/>
      <c r="I273" s="24">
        <f t="shared" si="46"/>
        <v>0</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0.1</v>
      </c>
      <c r="F274" s="721"/>
      <c r="G274" s="24">
        <f t="shared" si="45"/>
        <v>0.1</v>
      </c>
      <c r="H274" s="721"/>
      <c r="I274" s="24">
        <f t="shared" si="46"/>
        <v>0</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0.1</v>
      </c>
      <c r="F275" s="721"/>
      <c r="G275" s="24">
        <f t="shared" si="45"/>
        <v>0.1</v>
      </c>
      <c r="H275" s="721"/>
      <c r="I275" s="24">
        <f t="shared" si="46"/>
        <v>0</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0.1</v>
      </c>
      <c r="F276" s="721"/>
      <c r="G276" s="24">
        <f t="shared" si="45"/>
        <v>0.1</v>
      </c>
      <c r="H276" s="721"/>
      <c r="I276" s="24">
        <f t="shared" si="46"/>
        <v>0</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0.1</v>
      </c>
      <c r="F277" s="721"/>
      <c r="G277" s="24">
        <f t="shared" si="45"/>
        <v>0.1</v>
      </c>
      <c r="H277" s="721"/>
      <c r="I277" s="24">
        <f t="shared" si="46"/>
        <v>0</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0.1</v>
      </c>
      <c r="F278" s="721"/>
      <c r="G278" s="24">
        <f t="shared" si="45"/>
        <v>0.1</v>
      </c>
      <c r="H278" s="721"/>
      <c r="I278" s="24">
        <f t="shared" si="46"/>
        <v>0</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0.1</v>
      </c>
      <c r="F279" s="721"/>
      <c r="G279" s="24">
        <f t="shared" si="45"/>
        <v>0.1</v>
      </c>
      <c r="H279" s="721"/>
      <c r="I279" s="24">
        <f t="shared" si="46"/>
        <v>0</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0.1</v>
      </c>
      <c r="F280" s="721"/>
      <c r="G280" s="24">
        <f t="shared" si="45"/>
        <v>0.1</v>
      </c>
      <c r="H280" s="721"/>
      <c r="I280" s="24">
        <f t="shared" si="46"/>
        <v>0</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0.1</v>
      </c>
      <c r="F281" s="721"/>
      <c r="G281" s="24">
        <f t="shared" si="45"/>
        <v>0.1</v>
      </c>
      <c r="H281" s="721"/>
      <c r="I281" s="24">
        <f t="shared" si="46"/>
        <v>0</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0.1</v>
      </c>
      <c r="F282" s="721"/>
      <c r="G282" s="24">
        <f t="shared" ref="G282:G345" si="55">(SUMIF($7:$7,F282,$8:$8)-SUMIF($7:$7,$F$24,$8:$8)+100)/100</f>
        <v>0.1</v>
      </c>
      <c r="H282" s="721"/>
      <c r="I282" s="24">
        <f t="shared" ref="I282:I345" si="56">(SUMIF($9:$9,H282,$10:$10)-SUMIF($9:$9,$H$24,$10:$10)+100)/100</f>
        <v>0</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0.1</v>
      </c>
      <c r="F283" s="721"/>
      <c r="G283" s="24">
        <f t="shared" si="55"/>
        <v>0.1</v>
      </c>
      <c r="H283" s="721"/>
      <c r="I283" s="24">
        <f t="shared" si="56"/>
        <v>0</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0.1</v>
      </c>
      <c r="F284" s="721"/>
      <c r="G284" s="24">
        <f t="shared" si="55"/>
        <v>0.1</v>
      </c>
      <c r="H284" s="721"/>
      <c r="I284" s="24">
        <f t="shared" si="56"/>
        <v>0</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0.1</v>
      </c>
      <c r="F285" s="721"/>
      <c r="G285" s="24">
        <f t="shared" si="55"/>
        <v>0.1</v>
      </c>
      <c r="H285" s="721"/>
      <c r="I285" s="24">
        <f t="shared" si="56"/>
        <v>0</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0.1</v>
      </c>
      <c r="F286" s="721"/>
      <c r="G286" s="24">
        <f t="shared" si="55"/>
        <v>0.1</v>
      </c>
      <c r="H286" s="721"/>
      <c r="I286" s="24">
        <f t="shared" si="56"/>
        <v>0</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0.1</v>
      </c>
      <c r="F287" s="721"/>
      <c r="G287" s="24">
        <f t="shared" si="55"/>
        <v>0.1</v>
      </c>
      <c r="H287" s="721"/>
      <c r="I287" s="24">
        <f t="shared" si="56"/>
        <v>0</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0.1</v>
      </c>
      <c r="F288" s="721"/>
      <c r="G288" s="24">
        <f t="shared" si="55"/>
        <v>0.1</v>
      </c>
      <c r="H288" s="721"/>
      <c r="I288" s="24">
        <f t="shared" si="56"/>
        <v>0</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0.1</v>
      </c>
      <c r="F289" s="721"/>
      <c r="G289" s="24">
        <f t="shared" si="55"/>
        <v>0.1</v>
      </c>
      <c r="H289" s="721"/>
      <c r="I289" s="24">
        <f t="shared" si="56"/>
        <v>0</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0.1</v>
      </c>
      <c r="F290" s="721"/>
      <c r="G290" s="24">
        <f t="shared" si="55"/>
        <v>0.1</v>
      </c>
      <c r="H290" s="721"/>
      <c r="I290" s="24">
        <f t="shared" si="56"/>
        <v>0</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0.1</v>
      </c>
      <c r="F291" s="721"/>
      <c r="G291" s="24">
        <f t="shared" si="55"/>
        <v>0.1</v>
      </c>
      <c r="H291" s="721"/>
      <c r="I291" s="24">
        <f t="shared" si="56"/>
        <v>0</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0.1</v>
      </c>
      <c r="F292" s="721"/>
      <c r="G292" s="24">
        <f t="shared" si="55"/>
        <v>0.1</v>
      </c>
      <c r="H292" s="721"/>
      <c r="I292" s="24">
        <f t="shared" si="56"/>
        <v>0</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0.1</v>
      </c>
      <c r="F293" s="721"/>
      <c r="G293" s="24">
        <f t="shared" si="55"/>
        <v>0.1</v>
      </c>
      <c r="H293" s="721"/>
      <c r="I293" s="24">
        <f t="shared" si="56"/>
        <v>0</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0.1</v>
      </c>
      <c r="F294" s="721"/>
      <c r="G294" s="24">
        <f t="shared" si="55"/>
        <v>0.1</v>
      </c>
      <c r="H294" s="721"/>
      <c r="I294" s="24">
        <f t="shared" si="56"/>
        <v>0</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0.1</v>
      </c>
      <c r="F295" s="721"/>
      <c r="G295" s="24">
        <f t="shared" si="55"/>
        <v>0.1</v>
      </c>
      <c r="H295" s="721"/>
      <c r="I295" s="24">
        <f t="shared" si="56"/>
        <v>0</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0.1</v>
      </c>
      <c r="F296" s="721"/>
      <c r="G296" s="24">
        <f t="shared" si="55"/>
        <v>0.1</v>
      </c>
      <c r="H296" s="721"/>
      <c r="I296" s="24">
        <f t="shared" si="56"/>
        <v>0</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0.1</v>
      </c>
      <c r="F297" s="721"/>
      <c r="G297" s="24">
        <f t="shared" si="55"/>
        <v>0.1</v>
      </c>
      <c r="H297" s="721"/>
      <c r="I297" s="24">
        <f t="shared" si="56"/>
        <v>0</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0.1</v>
      </c>
      <c r="F298" s="721"/>
      <c r="G298" s="24">
        <f t="shared" si="55"/>
        <v>0.1</v>
      </c>
      <c r="H298" s="721"/>
      <c r="I298" s="24">
        <f t="shared" si="56"/>
        <v>0</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0.1</v>
      </c>
      <c r="F299" s="721"/>
      <c r="G299" s="24">
        <f t="shared" si="55"/>
        <v>0.1</v>
      </c>
      <c r="H299" s="721"/>
      <c r="I299" s="24">
        <f t="shared" si="56"/>
        <v>0</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0.1</v>
      </c>
      <c r="F300" s="721"/>
      <c r="G300" s="24">
        <f t="shared" si="55"/>
        <v>0.1</v>
      </c>
      <c r="H300" s="721"/>
      <c r="I300" s="24">
        <f t="shared" si="56"/>
        <v>0</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0.1</v>
      </c>
      <c r="F301" s="721"/>
      <c r="G301" s="24">
        <f t="shared" si="55"/>
        <v>0.1</v>
      </c>
      <c r="H301" s="721"/>
      <c r="I301" s="24">
        <f t="shared" si="56"/>
        <v>0</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0.1</v>
      </c>
      <c r="F302" s="721"/>
      <c r="G302" s="24">
        <f t="shared" si="55"/>
        <v>0.1</v>
      </c>
      <c r="H302" s="721"/>
      <c r="I302" s="24">
        <f t="shared" si="56"/>
        <v>0</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0.1</v>
      </c>
      <c r="F303" s="721"/>
      <c r="G303" s="24">
        <f t="shared" si="55"/>
        <v>0.1</v>
      </c>
      <c r="H303" s="721"/>
      <c r="I303" s="24">
        <f t="shared" si="56"/>
        <v>0</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0.1</v>
      </c>
      <c r="F304" s="721"/>
      <c r="G304" s="24">
        <f t="shared" si="55"/>
        <v>0.1</v>
      </c>
      <c r="H304" s="721"/>
      <c r="I304" s="24">
        <f t="shared" si="56"/>
        <v>0</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0.1</v>
      </c>
      <c r="F305" s="721"/>
      <c r="G305" s="24">
        <f t="shared" si="55"/>
        <v>0.1</v>
      </c>
      <c r="H305" s="721"/>
      <c r="I305" s="24">
        <f t="shared" si="56"/>
        <v>0</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0.1</v>
      </c>
      <c r="F306" s="721"/>
      <c r="G306" s="24">
        <f t="shared" si="55"/>
        <v>0.1</v>
      </c>
      <c r="H306" s="721"/>
      <c r="I306" s="24">
        <f t="shared" si="56"/>
        <v>0</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0.1</v>
      </c>
      <c r="F307" s="721"/>
      <c r="G307" s="24">
        <f t="shared" si="55"/>
        <v>0.1</v>
      </c>
      <c r="H307" s="721"/>
      <c r="I307" s="24">
        <f t="shared" si="56"/>
        <v>0</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0.1</v>
      </c>
      <c r="F308" s="721"/>
      <c r="G308" s="24">
        <f t="shared" si="55"/>
        <v>0.1</v>
      </c>
      <c r="H308" s="721"/>
      <c r="I308" s="24">
        <f t="shared" si="56"/>
        <v>0</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0.1</v>
      </c>
      <c r="F309" s="721"/>
      <c r="G309" s="24">
        <f t="shared" si="55"/>
        <v>0.1</v>
      </c>
      <c r="H309" s="721"/>
      <c r="I309" s="24">
        <f t="shared" si="56"/>
        <v>0</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0.1</v>
      </c>
      <c r="F310" s="721"/>
      <c r="G310" s="24">
        <f t="shared" si="55"/>
        <v>0.1</v>
      </c>
      <c r="H310" s="721"/>
      <c r="I310" s="24">
        <f t="shared" si="56"/>
        <v>0</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0.1</v>
      </c>
      <c r="F311" s="721"/>
      <c r="G311" s="24">
        <f t="shared" si="55"/>
        <v>0.1</v>
      </c>
      <c r="H311" s="721"/>
      <c r="I311" s="24">
        <f t="shared" si="56"/>
        <v>0</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0.1</v>
      </c>
      <c r="F312" s="721"/>
      <c r="G312" s="24">
        <f t="shared" si="55"/>
        <v>0.1</v>
      </c>
      <c r="H312" s="721"/>
      <c r="I312" s="24">
        <f t="shared" si="56"/>
        <v>0</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0.1</v>
      </c>
      <c r="F313" s="721"/>
      <c r="G313" s="24">
        <f t="shared" si="55"/>
        <v>0.1</v>
      </c>
      <c r="H313" s="721"/>
      <c r="I313" s="24">
        <f t="shared" si="56"/>
        <v>0</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0.1</v>
      </c>
      <c r="F314" s="721"/>
      <c r="G314" s="24">
        <f t="shared" si="55"/>
        <v>0.1</v>
      </c>
      <c r="H314" s="721"/>
      <c r="I314" s="24">
        <f t="shared" si="56"/>
        <v>0</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0.1</v>
      </c>
      <c r="F315" s="721"/>
      <c r="G315" s="24">
        <f t="shared" si="55"/>
        <v>0.1</v>
      </c>
      <c r="H315" s="721"/>
      <c r="I315" s="24">
        <f t="shared" si="56"/>
        <v>0</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0.1</v>
      </c>
      <c r="F316" s="721"/>
      <c r="G316" s="24">
        <f t="shared" si="55"/>
        <v>0.1</v>
      </c>
      <c r="H316" s="721"/>
      <c r="I316" s="24">
        <f t="shared" si="56"/>
        <v>0</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0.1</v>
      </c>
      <c r="F317" s="721"/>
      <c r="G317" s="24">
        <f t="shared" si="55"/>
        <v>0.1</v>
      </c>
      <c r="H317" s="721"/>
      <c r="I317" s="24">
        <f t="shared" si="56"/>
        <v>0</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0.1</v>
      </c>
      <c r="F318" s="721"/>
      <c r="G318" s="24">
        <f t="shared" si="55"/>
        <v>0.1</v>
      </c>
      <c r="H318" s="721"/>
      <c r="I318" s="24">
        <f t="shared" si="56"/>
        <v>0</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0.1</v>
      </c>
      <c r="F319" s="721"/>
      <c r="G319" s="24">
        <f t="shared" si="55"/>
        <v>0.1</v>
      </c>
      <c r="H319" s="721"/>
      <c r="I319" s="24">
        <f t="shared" si="56"/>
        <v>0</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0.1</v>
      </c>
      <c r="F320" s="721"/>
      <c r="G320" s="24">
        <f t="shared" si="55"/>
        <v>0.1</v>
      </c>
      <c r="H320" s="721"/>
      <c r="I320" s="24">
        <f t="shared" si="56"/>
        <v>0</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0.1</v>
      </c>
      <c r="F321" s="721"/>
      <c r="G321" s="24">
        <f t="shared" si="55"/>
        <v>0.1</v>
      </c>
      <c r="H321" s="721"/>
      <c r="I321" s="24">
        <f t="shared" si="56"/>
        <v>0</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0.1</v>
      </c>
      <c r="F322" s="721"/>
      <c r="G322" s="24">
        <f t="shared" si="55"/>
        <v>0.1</v>
      </c>
      <c r="H322" s="721"/>
      <c r="I322" s="24">
        <f t="shared" si="56"/>
        <v>0</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0.1</v>
      </c>
      <c r="F323" s="721"/>
      <c r="G323" s="24">
        <f t="shared" si="55"/>
        <v>0.1</v>
      </c>
      <c r="H323" s="721"/>
      <c r="I323" s="24">
        <f t="shared" si="56"/>
        <v>0</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0.1</v>
      </c>
      <c r="F324" s="721"/>
      <c r="G324" s="24">
        <f t="shared" si="55"/>
        <v>0.1</v>
      </c>
      <c r="H324" s="721"/>
      <c r="I324" s="24">
        <f t="shared" si="56"/>
        <v>0</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0.1</v>
      </c>
      <c r="F325" s="721"/>
      <c r="G325" s="24">
        <f t="shared" si="55"/>
        <v>0.1</v>
      </c>
      <c r="H325" s="721"/>
      <c r="I325" s="24">
        <f t="shared" si="56"/>
        <v>0</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0.1</v>
      </c>
      <c r="F326" s="721"/>
      <c r="G326" s="24">
        <f t="shared" si="55"/>
        <v>0.1</v>
      </c>
      <c r="H326" s="721"/>
      <c r="I326" s="24">
        <f t="shared" si="56"/>
        <v>0</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0.1</v>
      </c>
      <c r="F327" s="721"/>
      <c r="G327" s="24">
        <f t="shared" si="55"/>
        <v>0.1</v>
      </c>
      <c r="H327" s="721"/>
      <c r="I327" s="24">
        <f t="shared" si="56"/>
        <v>0</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0.1</v>
      </c>
      <c r="F328" s="721"/>
      <c r="G328" s="24">
        <f t="shared" si="55"/>
        <v>0.1</v>
      </c>
      <c r="H328" s="721"/>
      <c r="I328" s="24">
        <f t="shared" si="56"/>
        <v>0</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0.1</v>
      </c>
      <c r="F329" s="721"/>
      <c r="G329" s="24">
        <f t="shared" si="55"/>
        <v>0.1</v>
      </c>
      <c r="H329" s="721"/>
      <c r="I329" s="24">
        <f t="shared" si="56"/>
        <v>0</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0.1</v>
      </c>
      <c r="F330" s="721"/>
      <c r="G330" s="24">
        <f t="shared" si="55"/>
        <v>0.1</v>
      </c>
      <c r="H330" s="721"/>
      <c r="I330" s="24">
        <f t="shared" si="56"/>
        <v>0</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0.1</v>
      </c>
      <c r="F331" s="721"/>
      <c r="G331" s="24">
        <f t="shared" si="55"/>
        <v>0.1</v>
      </c>
      <c r="H331" s="721"/>
      <c r="I331" s="24">
        <f t="shared" si="56"/>
        <v>0</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0.1</v>
      </c>
      <c r="F332" s="721"/>
      <c r="G332" s="24">
        <f t="shared" si="55"/>
        <v>0.1</v>
      </c>
      <c r="H332" s="721"/>
      <c r="I332" s="24">
        <f t="shared" si="56"/>
        <v>0</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0.1</v>
      </c>
      <c r="F333" s="721"/>
      <c r="G333" s="24">
        <f t="shared" si="55"/>
        <v>0.1</v>
      </c>
      <c r="H333" s="721"/>
      <c r="I333" s="24">
        <f t="shared" si="56"/>
        <v>0</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0.1</v>
      </c>
      <c r="F334" s="721"/>
      <c r="G334" s="24">
        <f t="shared" si="55"/>
        <v>0.1</v>
      </c>
      <c r="H334" s="721"/>
      <c r="I334" s="24">
        <f t="shared" si="56"/>
        <v>0</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0.1</v>
      </c>
      <c r="F335" s="721"/>
      <c r="G335" s="24">
        <f t="shared" si="55"/>
        <v>0.1</v>
      </c>
      <c r="H335" s="721"/>
      <c r="I335" s="24">
        <f t="shared" si="56"/>
        <v>0</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0.1</v>
      </c>
      <c r="F336" s="721"/>
      <c r="G336" s="24">
        <f t="shared" si="55"/>
        <v>0.1</v>
      </c>
      <c r="H336" s="721"/>
      <c r="I336" s="24">
        <f t="shared" si="56"/>
        <v>0</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0.1</v>
      </c>
      <c r="F337" s="721"/>
      <c r="G337" s="24">
        <f t="shared" si="55"/>
        <v>0.1</v>
      </c>
      <c r="H337" s="721"/>
      <c r="I337" s="24">
        <f t="shared" si="56"/>
        <v>0</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0.1</v>
      </c>
      <c r="F338" s="721"/>
      <c r="G338" s="24">
        <f t="shared" si="55"/>
        <v>0.1</v>
      </c>
      <c r="H338" s="721"/>
      <c r="I338" s="24">
        <f t="shared" si="56"/>
        <v>0</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0.1</v>
      </c>
      <c r="F339" s="721"/>
      <c r="G339" s="24">
        <f t="shared" si="55"/>
        <v>0.1</v>
      </c>
      <c r="H339" s="721"/>
      <c r="I339" s="24">
        <f t="shared" si="56"/>
        <v>0</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0.1</v>
      </c>
      <c r="F340" s="721"/>
      <c r="G340" s="24">
        <f t="shared" si="55"/>
        <v>0.1</v>
      </c>
      <c r="H340" s="721"/>
      <c r="I340" s="24">
        <f t="shared" si="56"/>
        <v>0</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0.1</v>
      </c>
      <c r="F341" s="721"/>
      <c r="G341" s="24">
        <f t="shared" si="55"/>
        <v>0.1</v>
      </c>
      <c r="H341" s="721"/>
      <c r="I341" s="24">
        <f t="shared" si="56"/>
        <v>0</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0.1</v>
      </c>
      <c r="F342" s="721"/>
      <c r="G342" s="24">
        <f t="shared" si="55"/>
        <v>0.1</v>
      </c>
      <c r="H342" s="721"/>
      <c r="I342" s="24">
        <f t="shared" si="56"/>
        <v>0</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0.1</v>
      </c>
      <c r="F343" s="721"/>
      <c r="G343" s="24">
        <f t="shared" si="55"/>
        <v>0.1</v>
      </c>
      <c r="H343" s="721"/>
      <c r="I343" s="24">
        <f t="shared" si="56"/>
        <v>0</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0.1</v>
      </c>
      <c r="F344" s="721"/>
      <c r="G344" s="24">
        <f t="shared" si="55"/>
        <v>0.1</v>
      </c>
      <c r="H344" s="721"/>
      <c r="I344" s="24">
        <f t="shared" si="56"/>
        <v>0</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0.1</v>
      </c>
      <c r="F345" s="721"/>
      <c r="G345" s="24">
        <f t="shared" si="55"/>
        <v>0.1</v>
      </c>
      <c r="H345" s="721"/>
      <c r="I345" s="24">
        <f t="shared" si="56"/>
        <v>0</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0.1</v>
      </c>
      <c r="F346" s="721"/>
      <c r="G346" s="24">
        <f t="shared" ref="G346:G409" si="66">(SUMIF($7:$7,F346,$8:$8)-SUMIF($7:$7,$F$24,$8:$8)+100)/100</f>
        <v>0.1</v>
      </c>
      <c r="H346" s="721"/>
      <c r="I346" s="24">
        <f t="shared" ref="I346:I409" si="67">(SUMIF($9:$9,H346,$10:$10)-SUMIF($9:$9,$H$24,$10:$10)+100)/100</f>
        <v>0</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0.1</v>
      </c>
      <c r="F347" s="721"/>
      <c r="G347" s="24">
        <f t="shared" si="66"/>
        <v>0.1</v>
      </c>
      <c r="H347" s="721"/>
      <c r="I347" s="24">
        <f t="shared" si="67"/>
        <v>0</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0.1</v>
      </c>
      <c r="F348" s="721"/>
      <c r="G348" s="24">
        <f t="shared" si="66"/>
        <v>0.1</v>
      </c>
      <c r="H348" s="721"/>
      <c r="I348" s="24">
        <f t="shared" si="67"/>
        <v>0</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0.1</v>
      </c>
      <c r="F349" s="721"/>
      <c r="G349" s="24">
        <f t="shared" si="66"/>
        <v>0.1</v>
      </c>
      <c r="H349" s="721"/>
      <c r="I349" s="24">
        <f t="shared" si="67"/>
        <v>0</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0.1</v>
      </c>
      <c r="F350" s="721"/>
      <c r="G350" s="24">
        <f t="shared" si="66"/>
        <v>0.1</v>
      </c>
      <c r="H350" s="721"/>
      <c r="I350" s="24">
        <f t="shared" si="67"/>
        <v>0</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0.1</v>
      </c>
      <c r="F351" s="721"/>
      <c r="G351" s="24">
        <f t="shared" si="66"/>
        <v>0.1</v>
      </c>
      <c r="H351" s="721"/>
      <c r="I351" s="24">
        <f t="shared" si="67"/>
        <v>0</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0.1</v>
      </c>
      <c r="F352" s="721"/>
      <c r="G352" s="24">
        <f t="shared" si="66"/>
        <v>0.1</v>
      </c>
      <c r="H352" s="721"/>
      <c r="I352" s="24">
        <f t="shared" si="67"/>
        <v>0</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0.1</v>
      </c>
      <c r="F353" s="721"/>
      <c r="G353" s="24">
        <f t="shared" si="66"/>
        <v>0.1</v>
      </c>
      <c r="H353" s="721"/>
      <c r="I353" s="24">
        <f t="shared" si="67"/>
        <v>0</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0.1</v>
      </c>
      <c r="F354" s="721"/>
      <c r="G354" s="24">
        <f t="shared" si="66"/>
        <v>0.1</v>
      </c>
      <c r="H354" s="721"/>
      <c r="I354" s="24">
        <f t="shared" si="67"/>
        <v>0</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0.1</v>
      </c>
      <c r="F355" s="721"/>
      <c r="G355" s="24">
        <f t="shared" si="66"/>
        <v>0.1</v>
      </c>
      <c r="H355" s="721"/>
      <c r="I355" s="24">
        <f t="shared" si="67"/>
        <v>0</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0.1</v>
      </c>
      <c r="F356" s="721"/>
      <c r="G356" s="24">
        <f t="shared" si="66"/>
        <v>0.1</v>
      </c>
      <c r="H356" s="721"/>
      <c r="I356" s="24">
        <f t="shared" si="67"/>
        <v>0</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0.1</v>
      </c>
      <c r="F357" s="721"/>
      <c r="G357" s="24">
        <f t="shared" si="66"/>
        <v>0.1</v>
      </c>
      <c r="H357" s="721"/>
      <c r="I357" s="24">
        <f t="shared" si="67"/>
        <v>0</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0.1</v>
      </c>
      <c r="F358" s="721"/>
      <c r="G358" s="24">
        <f t="shared" si="66"/>
        <v>0.1</v>
      </c>
      <c r="H358" s="721"/>
      <c r="I358" s="24">
        <f t="shared" si="67"/>
        <v>0</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0.1</v>
      </c>
      <c r="F359" s="721"/>
      <c r="G359" s="24">
        <f t="shared" si="66"/>
        <v>0.1</v>
      </c>
      <c r="H359" s="721"/>
      <c r="I359" s="24">
        <f t="shared" si="67"/>
        <v>0</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0.1</v>
      </c>
      <c r="F360" s="721"/>
      <c r="G360" s="24">
        <f t="shared" si="66"/>
        <v>0.1</v>
      </c>
      <c r="H360" s="721"/>
      <c r="I360" s="24">
        <f t="shared" si="67"/>
        <v>0</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0.1</v>
      </c>
      <c r="F361" s="721"/>
      <c r="G361" s="24">
        <f t="shared" si="66"/>
        <v>0.1</v>
      </c>
      <c r="H361" s="721"/>
      <c r="I361" s="24">
        <f t="shared" si="67"/>
        <v>0</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0.1</v>
      </c>
      <c r="F362" s="721"/>
      <c r="G362" s="24">
        <f t="shared" si="66"/>
        <v>0.1</v>
      </c>
      <c r="H362" s="721"/>
      <c r="I362" s="24">
        <f t="shared" si="67"/>
        <v>0</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0.1</v>
      </c>
      <c r="F363" s="721"/>
      <c r="G363" s="24">
        <f t="shared" si="66"/>
        <v>0.1</v>
      </c>
      <c r="H363" s="721"/>
      <c r="I363" s="24">
        <f t="shared" si="67"/>
        <v>0</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0.1</v>
      </c>
      <c r="F364" s="721"/>
      <c r="G364" s="24">
        <f t="shared" si="66"/>
        <v>0.1</v>
      </c>
      <c r="H364" s="721"/>
      <c r="I364" s="24">
        <f t="shared" si="67"/>
        <v>0</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0.1</v>
      </c>
      <c r="F365" s="721"/>
      <c r="G365" s="24">
        <f t="shared" si="66"/>
        <v>0.1</v>
      </c>
      <c r="H365" s="721"/>
      <c r="I365" s="24">
        <f t="shared" si="67"/>
        <v>0</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0.1</v>
      </c>
      <c r="F366" s="721"/>
      <c r="G366" s="24">
        <f t="shared" si="66"/>
        <v>0.1</v>
      </c>
      <c r="H366" s="721"/>
      <c r="I366" s="24">
        <f t="shared" si="67"/>
        <v>0</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0.1</v>
      </c>
      <c r="F367" s="721"/>
      <c r="G367" s="24">
        <f t="shared" si="66"/>
        <v>0.1</v>
      </c>
      <c r="H367" s="721"/>
      <c r="I367" s="24">
        <f t="shared" si="67"/>
        <v>0</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0.1</v>
      </c>
      <c r="F368" s="721"/>
      <c r="G368" s="24">
        <f t="shared" si="66"/>
        <v>0.1</v>
      </c>
      <c r="H368" s="721"/>
      <c r="I368" s="24">
        <f t="shared" si="67"/>
        <v>0</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0.1</v>
      </c>
      <c r="F369" s="721"/>
      <c r="G369" s="24">
        <f t="shared" si="66"/>
        <v>0.1</v>
      </c>
      <c r="H369" s="721"/>
      <c r="I369" s="24">
        <f t="shared" si="67"/>
        <v>0</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0.1</v>
      </c>
      <c r="F370" s="721"/>
      <c r="G370" s="24">
        <f t="shared" si="66"/>
        <v>0.1</v>
      </c>
      <c r="H370" s="721"/>
      <c r="I370" s="24">
        <f t="shared" si="67"/>
        <v>0</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0.1</v>
      </c>
      <c r="F371" s="721"/>
      <c r="G371" s="24">
        <f t="shared" si="66"/>
        <v>0.1</v>
      </c>
      <c r="H371" s="721"/>
      <c r="I371" s="24">
        <f t="shared" si="67"/>
        <v>0</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0.1</v>
      </c>
      <c r="F372" s="721"/>
      <c r="G372" s="24">
        <f t="shared" si="66"/>
        <v>0.1</v>
      </c>
      <c r="H372" s="721"/>
      <c r="I372" s="24">
        <f t="shared" si="67"/>
        <v>0</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0.1</v>
      </c>
      <c r="F373" s="721"/>
      <c r="G373" s="24">
        <f t="shared" si="66"/>
        <v>0.1</v>
      </c>
      <c r="H373" s="721"/>
      <c r="I373" s="24">
        <f t="shared" si="67"/>
        <v>0</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0.1</v>
      </c>
      <c r="F374" s="721"/>
      <c r="G374" s="24">
        <f t="shared" si="66"/>
        <v>0.1</v>
      </c>
      <c r="H374" s="721"/>
      <c r="I374" s="24">
        <f t="shared" si="67"/>
        <v>0</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0.1</v>
      </c>
      <c r="F375" s="721"/>
      <c r="G375" s="24">
        <f t="shared" si="66"/>
        <v>0.1</v>
      </c>
      <c r="H375" s="721"/>
      <c r="I375" s="24">
        <f t="shared" si="67"/>
        <v>0</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0.1</v>
      </c>
      <c r="F376" s="721"/>
      <c r="G376" s="24">
        <f t="shared" si="66"/>
        <v>0.1</v>
      </c>
      <c r="H376" s="721"/>
      <c r="I376" s="24">
        <f t="shared" si="67"/>
        <v>0</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0.1</v>
      </c>
      <c r="F377" s="721"/>
      <c r="G377" s="24">
        <f t="shared" si="66"/>
        <v>0.1</v>
      </c>
      <c r="H377" s="721"/>
      <c r="I377" s="24">
        <f t="shared" si="67"/>
        <v>0</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0.1</v>
      </c>
      <c r="F378" s="721"/>
      <c r="G378" s="24">
        <f t="shared" si="66"/>
        <v>0.1</v>
      </c>
      <c r="H378" s="721"/>
      <c r="I378" s="24">
        <f t="shared" si="67"/>
        <v>0</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0.1</v>
      </c>
      <c r="F379" s="721"/>
      <c r="G379" s="24">
        <f t="shared" si="66"/>
        <v>0.1</v>
      </c>
      <c r="H379" s="721"/>
      <c r="I379" s="24">
        <f t="shared" si="67"/>
        <v>0</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0.1</v>
      </c>
      <c r="F380" s="721"/>
      <c r="G380" s="24">
        <f t="shared" si="66"/>
        <v>0.1</v>
      </c>
      <c r="H380" s="721"/>
      <c r="I380" s="24">
        <f t="shared" si="67"/>
        <v>0</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0.1</v>
      </c>
      <c r="F381" s="721"/>
      <c r="G381" s="24">
        <f t="shared" si="66"/>
        <v>0.1</v>
      </c>
      <c r="H381" s="721"/>
      <c r="I381" s="24">
        <f t="shared" si="67"/>
        <v>0</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0.1</v>
      </c>
      <c r="F382" s="721"/>
      <c r="G382" s="24">
        <f t="shared" si="66"/>
        <v>0.1</v>
      </c>
      <c r="H382" s="721"/>
      <c r="I382" s="24">
        <f t="shared" si="67"/>
        <v>0</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0.1</v>
      </c>
      <c r="F383" s="721"/>
      <c r="G383" s="24">
        <f t="shared" si="66"/>
        <v>0.1</v>
      </c>
      <c r="H383" s="721"/>
      <c r="I383" s="24">
        <f t="shared" si="67"/>
        <v>0</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0.1</v>
      </c>
      <c r="F384" s="721"/>
      <c r="G384" s="24">
        <f t="shared" si="66"/>
        <v>0.1</v>
      </c>
      <c r="H384" s="721"/>
      <c r="I384" s="24">
        <f t="shared" si="67"/>
        <v>0</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0.1</v>
      </c>
      <c r="F385" s="721"/>
      <c r="G385" s="24">
        <f t="shared" si="66"/>
        <v>0.1</v>
      </c>
      <c r="H385" s="721"/>
      <c r="I385" s="24">
        <f t="shared" si="67"/>
        <v>0</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0.1</v>
      </c>
      <c r="F386" s="721"/>
      <c r="G386" s="24">
        <f t="shared" si="66"/>
        <v>0.1</v>
      </c>
      <c r="H386" s="721"/>
      <c r="I386" s="24">
        <f t="shared" si="67"/>
        <v>0</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0.1</v>
      </c>
      <c r="F387" s="721"/>
      <c r="G387" s="24">
        <f t="shared" si="66"/>
        <v>0.1</v>
      </c>
      <c r="H387" s="721"/>
      <c r="I387" s="24">
        <f t="shared" si="67"/>
        <v>0</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0.1</v>
      </c>
      <c r="F388" s="721"/>
      <c r="G388" s="24">
        <f t="shared" si="66"/>
        <v>0.1</v>
      </c>
      <c r="H388" s="721"/>
      <c r="I388" s="24">
        <f t="shared" si="67"/>
        <v>0</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0.1</v>
      </c>
      <c r="F389" s="721"/>
      <c r="G389" s="24">
        <f t="shared" si="66"/>
        <v>0.1</v>
      </c>
      <c r="H389" s="721"/>
      <c r="I389" s="24">
        <f t="shared" si="67"/>
        <v>0</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0.1</v>
      </c>
      <c r="F390" s="721"/>
      <c r="G390" s="24">
        <f t="shared" si="66"/>
        <v>0.1</v>
      </c>
      <c r="H390" s="721"/>
      <c r="I390" s="24">
        <f t="shared" si="67"/>
        <v>0</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0.1</v>
      </c>
      <c r="F391" s="721"/>
      <c r="G391" s="24">
        <f t="shared" si="66"/>
        <v>0.1</v>
      </c>
      <c r="H391" s="721"/>
      <c r="I391" s="24">
        <f t="shared" si="67"/>
        <v>0</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0.1</v>
      </c>
      <c r="F392" s="721"/>
      <c r="G392" s="24">
        <f t="shared" si="66"/>
        <v>0.1</v>
      </c>
      <c r="H392" s="721"/>
      <c r="I392" s="24">
        <f t="shared" si="67"/>
        <v>0</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0.1</v>
      </c>
      <c r="F393" s="721"/>
      <c r="G393" s="24">
        <f t="shared" si="66"/>
        <v>0.1</v>
      </c>
      <c r="H393" s="721"/>
      <c r="I393" s="24">
        <f t="shared" si="67"/>
        <v>0</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0.1</v>
      </c>
      <c r="F394" s="721"/>
      <c r="G394" s="24">
        <f t="shared" si="66"/>
        <v>0.1</v>
      </c>
      <c r="H394" s="721"/>
      <c r="I394" s="24">
        <f t="shared" si="67"/>
        <v>0</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0.1</v>
      </c>
      <c r="F395" s="721"/>
      <c r="G395" s="24">
        <f t="shared" si="66"/>
        <v>0.1</v>
      </c>
      <c r="H395" s="721"/>
      <c r="I395" s="24">
        <f t="shared" si="67"/>
        <v>0</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0.1</v>
      </c>
      <c r="F396" s="721"/>
      <c r="G396" s="24">
        <f t="shared" si="66"/>
        <v>0.1</v>
      </c>
      <c r="H396" s="721"/>
      <c r="I396" s="24">
        <f t="shared" si="67"/>
        <v>0</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0.1</v>
      </c>
      <c r="F397" s="721"/>
      <c r="G397" s="24">
        <f t="shared" si="66"/>
        <v>0.1</v>
      </c>
      <c r="H397" s="721"/>
      <c r="I397" s="24">
        <f t="shared" si="67"/>
        <v>0</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0.1</v>
      </c>
      <c r="F398" s="721"/>
      <c r="G398" s="24">
        <f t="shared" si="66"/>
        <v>0.1</v>
      </c>
      <c r="H398" s="721"/>
      <c r="I398" s="24">
        <f t="shared" si="67"/>
        <v>0</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0.1</v>
      </c>
      <c r="F399" s="721"/>
      <c r="G399" s="24">
        <f t="shared" si="66"/>
        <v>0.1</v>
      </c>
      <c r="H399" s="721"/>
      <c r="I399" s="24">
        <f t="shared" si="67"/>
        <v>0</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0.1</v>
      </c>
      <c r="F400" s="721"/>
      <c r="G400" s="24">
        <f t="shared" si="66"/>
        <v>0.1</v>
      </c>
      <c r="H400" s="721"/>
      <c r="I400" s="24">
        <f t="shared" si="67"/>
        <v>0</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0.1</v>
      </c>
      <c r="F401" s="721"/>
      <c r="G401" s="24">
        <f t="shared" si="66"/>
        <v>0.1</v>
      </c>
      <c r="H401" s="721"/>
      <c r="I401" s="24">
        <f t="shared" si="67"/>
        <v>0</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0.1</v>
      </c>
      <c r="F402" s="721"/>
      <c r="G402" s="24">
        <f t="shared" si="66"/>
        <v>0.1</v>
      </c>
      <c r="H402" s="721"/>
      <c r="I402" s="24">
        <f t="shared" si="67"/>
        <v>0</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0.1</v>
      </c>
      <c r="F403" s="721"/>
      <c r="G403" s="24">
        <f t="shared" si="66"/>
        <v>0.1</v>
      </c>
      <c r="H403" s="721"/>
      <c r="I403" s="24">
        <f t="shared" si="67"/>
        <v>0</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0.1</v>
      </c>
      <c r="F404" s="721"/>
      <c r="G404" s="24">
        <f t="shared" si="66"/>
        <v>0.1</v>
      </c>
      <c r="H404" s="721"/>
      <c r="I404" s="24">
        <f t="shared" si="67"/>
        <v>0</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0.1</v>
      </c>
      <c r="F405" s="721"/>
      <c r="G405" s="24">
        <f t="shared" si="66"/>
        <v>0.1</v>
      </c>
      <c r="H405" s="721"/>
      <c r="I405" s="24">
        <f t="shared" si="67"/>
        <v>0</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0.1</v>
      </c>
      <c r="F406" s="721"/>
      <c r="G406" s="24">
        <f t="shared" si="66"/>
        <v>0.1</v>
      </c>
      <c r="H406" s="721"/>
      <c r="I406" s="24">
        <f t="shared" si="67"/>
        <v>0</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0.1</v>
      </c>
      <c r="F407" s="721"/>
      <c r="G407" s="24">
        <f t="shared" si="66"/>
        <v>0.1</v>
      </c>
      <c r="H407" s="721"/>
      <c r="I407" s="24">
        <f t="shared" si="67"/>
        <v>0</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0.1</v>
      </c>
      <c r="F408" s="721"/>
      <c r="G408" s="24">
        <f t="shared" si="66"/>
        <v>0.1</v>
      </c>
      <c r="H408" s="721"/>
      <c r="I408" s="24">
        <f t="shared" si="67"/>
        <v>0</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0.1</v>
      </c>
      <c r="F409" s="721"/>
      <c r="G409" s="24">
        <f t="shared" si="66"/>
        <v>0.1</v>
      </c>
      <c r="H409" s="721"/>
      <c r="I409" s="24">
        <f t="shared" si="67"/>
        <v>0</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0.1</v>
      </c>
      <c r="F410" s="721"/>
      <c r="G410" s="24">
        <f t="shared" ref="G410:G473" si="76">(SUMIF($7:$7,F410,$8:$8)-SUMIF($7:$7,$F$24,$8:$8)+100)/100</f>
        <v>0.1</v>
      </c>
      <c r="H410" s="721"/>
      <c r="I410" s="24">
        <f t="shared" ref="I410:I473" si="77">(SUMIF($9:$9,H410,$10:$10)-SUMIF($9:$9,$H$24,$10:$10)+100)/100</f>
        <v>0</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0.1</v>
      </c>
      <c r="F411" s="721"/>
      <c r="G411" s="24">
        <f t="shared" si="76"/>
        <v>0.1</v>
      </c>
      <c r="H411" s="721"/>
      <c r="I411" s="24">
        <f t="shared" si="77"/>
        <v>0</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0.1</v>
      </c>
      <c r="F412" s="721"/>
      <c r="G412" s="24">
        <f t="shared" si="76"/>
        <v>0.1</v>
      </c>
      <c r="H412" s="721"/>
      <c r="I412" s="24">
        <f t="shared" si="77"/>
        <v>0</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0.1</v>
      </c>
      <c r="F413" s="721"/>
      <c r="G413" s="24">
        <f t="shared" si="76"/>
        <v>0.1</v>
      </c>
      <c r="H413" s="721"/>
      <c r="I413" s="24">
        <f t="shared" si="77"/>
        <v>0</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0.1</v>
      </c>
      <c r="F414" s="721"/>
      <c r="G414" s="24">
        <f t="shared" si="76"/>
        <v>0.1</v>
      </c>
      <c r="H414" s="721"/>
      <c r="I414" s="24">
        <f t="shared" si="77"/>
        <v>0</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0.1</v>
      </c>
      <c r="F415" s="721"/>
      <c r="G415" s="24">
        <f t="shared" si="76"/>
        <v>0.1</v>
      </c>
      <c r="H415" s="721"/>
      <c r="I415" s="24">
        <f t="shared" si="77"/>
        <v>0</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0.1</v>
      </c>
      <c r="F416" s="721"/>
      <c r="G416" s="24">
        <f t="shared" si="76"/>
        <v>0.1</v>
      </c>
      <c r="H416" s="721"/>
      <c r="I416" s="24">
        <f t="shared" si="77"/>
        <v>0</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0.1</v>
      </c>
      <c r="F417" s="721"/>
      <c r="G417" s="24">
        <f t="shared" si="76"/>
        <v>0.1</v>
      </c>
      <c r="H417" s="721"/>
      <c r="I417" s="24">
        <f t="shared" si="77"/>
        <v>0</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0.1</v>
      </c>
      <c r="F418" s="721"/>
      <c r="G418" s="24">
        <f t="shared" si="76"/>
        <v>0.1</v>
      </c>
      <c r="H418" s="721"/>
      <c r="I418" s="24">
        <f t="shared" si="77"/>
        <v>0</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0.1</v>
      </c>
      <c r="F419" s="721"/>
      <c r="G419" s="24">
        <f t="shared" si="76"/>
        <v>0.1</v>
      </c>
      <c r="H419" s="721"/>
      <c r="I419" s="24">
        <f t="shared" si="77"/>
        <v>0</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0.1</v>
      </c>
      <c r="F420" s="721"/>
      <c r="G420" s="24">
        <f t="shared" si="76"/>
        <v>0.1</v>
      </c>
      <c r="H420" s="721"/>
      <c r="I420" s="24">
        <f t="shared" si="77"/>
        <v>0</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0.1</v>
      </c>
      <c r="F421" s="721"/>
      <c r="G421" s="24">
        <f t="shared" si="76"/>
        <v>0.1</v>
      </c>
      <c r="H421" s="721"/>
      <c r="I421" s="24">
        <f t="shared" si="77"/>
        <v>0</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0.1</v>
      </c>
      <c r="F422" s="721"/>
      <c r="G422" s="24">
        <f t="shared" si="76"/>
        <v>0.1</v>
      </c>
      <c r="H422" s="721"/>
      <c r="I422" s="24">
        <f t="shared" si="77"/>
        <v>0</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0.1</v>
      </c>
      <c r="F423" s="721"/>
      <c r="G423" s="24">
        <f t="shared" si="76"/>
        <v>0.1</v>
      </c>
      <c r="H423" s="721"/>
      <c r="I423" s="24">
        <f t="shared" si="77"/>
        <v>0</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0.1</v>
      </c>
      <c r="F424" s="721"/>
      <c r="G424" s="24">
        <f t="shared" si="76"/>
        <v>0.1</v>
      </c>
      <c r="H424" s="721"/>
      <c r="I424" s="24">
        <f t="shared" si="77"/>
        <v>0</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0.1</v>
      </c>
      <c r="F425" s="721"/>
      <c r="G425" s="24">
        <f t="shared" si="76"/>
        <v>0.1</v>
      </c>
      <c r="H425" s="721"/>
      <c r="I425" s="24">
        <f t="shared" si="77"/>
        <v>0</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0.1</v>
      </c>
      <c r="F426" s="721"/>
      <c r="G426" s="24">
        <f t="shared" si="76"/>
        <v>0.1</v>
      </c>
      <c r="H426" s="721"/>
      <c r="I426" s="24">
        <f t="shared" si="77"/>
        <v>0</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0.1</v>
      </c>
      <c r="F427" s="721"/>
      <c r="G427" s="24">
        <f t="shared" si="76"/>
        <v>0.1</v>
      </c>
      <c r="H427" s="721"/>
      <c r="I427" s="24">
        <f t="shared" si="77"/>
        <v>0</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0.1</v>
      </c>
      <c r="F428" s="721"/>
      <c r="G428" s="24">
        <f t="shared" si="76"/>
        <v>0.1</v>
      </c>
      <c r="H428" s="721"/>
      <c r="I428" s="24">
        <f t="shared" si="77"/>
        <v>0</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0.1</v>
      </c>
      <c r="F429" s="721"/>
      <c r="G429" s="24">
        <f t="shared" si="76"/>
        <v>0.1</v>
      </c>
      <c r="H429" s="721"/>
      <c r="I429" s="24">
        <f t="shared" si="77"/>
        <v>0</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0.1</v>
      </c>
      <c r="F430" s="721"/>
      <c r="G430" s="24">
        <f t="shared" si="76"/>
        <v>0.1</v>
      </c>
      <c r="H430" s="721"/>
      <c r="I430" s="24">
        <f t="shared" si="77"/>
        <v>0</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0.1</v>
      </c>
      <c r="F431" s="721"/>
      <c r="G431" s="24">
        <f t="shared" si="76"/>
        <v>0.1</v>
      </c>
      <c r="H431" s="721"/>
      <c r="I431" s="24">
        <f t="shared" si="77"/>
        <v>0</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0.1</v>
      </c>
      <c r="F432" s="721"/>
      <c r="G432" s="24">
        <f t="shared" si="76"/>
        <v>0.1</v>
      </c>
      <c r="H432" s="721"/>
      <c r="I432" s="24">
        <f t="shared" si="77"/>
        <v>0</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0.1</v>
      </c>
      <c r="F433" s="721"/>
      <c r="G433" s="24">
        <f t="shared" si="76"/>
        <v>0.1</v>
      </c>
      <c r="H433" s="721"/>
      <c r="I433" s="24">
        <f t="shared" si="77"/>
        <v>0</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0.1</v>
      </c>
      <c r="F434" s="721"/>
      <c r="G434" s="24">
        <f t="shared" si="76"/>
        <v>0.1</v>
      </c>
      <c r="H434" s="721"/>
      <c r="I434" s="24">
        <f t="shared" si="77"/>
        <v>0</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0.1</v>
      </c>
      <c r="F435" s="721"/>
      <c r="G435" s="24">
        <f t="shared" si="76"/>
        <v>0.1</v>
      </c>
      <c r="H435" s="721"/>
      <c r="I435" s="24">
        <f t="shared" si="77"/>
        <v>0</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0.1</v>
      </c>
      <c r="F436" s="721"/>
      <c r="G436" s="24">
        <f t="shared" si="76"/>
        <v>0.1</v>
      </c>
      <c r="H436" s="721"/>
      <c r="I436" s="24">
        <f t="shared" si="77"/>
        <v>0</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0.1</v>
      </c>
      <c r="F437" s="721"/>
      <c r="G437" s="24">
        <f t="shared" si="76"/>
        <v>0.1</v>
      </c>
      <c r="H437" s="721"/>
      <c r="I437" s="24">
        <f t="shared" si="77"/>
        <v>0</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0.1</v>
      </c>
      <c r="F438" s="721"/>
      <c r="G438" s="24">
        <f t="shared" si="76"/>
        <v>0.1</v>
      </c>
      <c r="H438" s="721"/>
      <c r="I438" s="24">
        <f t="shared" si="77"/>
        <v>0</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0.1</v>
      </c>
      <c r="F439" s="721"/>
      <c r="G439" s="24">
        <f t="shared" si="76"/>
        <v>0.1</v>
      </c>
      <c r="H439" s="721"/>
      <c r="I439" s="24">
        <f t="shared" si="77"/>
        <v>0</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0.1</v>
      </c>
      <c r="F440" s="721"/>
      <c r="G440" s="24">
        <f t="shared" si="76"/>
        <v>0.1</v>
      </c>
      <c r="H440" s="721"/>
      <c r="I440" s="24">
        <f t="shared" si="77"/>
        <v>0</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0.1</v>
      </c>
      <c r="F441" s="721"/>
      <c r="G441" s="24">
        <f t="shared" si="76"/>
        <v>0.1</v>
      </c>
      <c r="H441" s="721"/>
      <c r="I441" s="24">
        <f t="shared" si="77"/>
        <v>0</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0.1</v>
      </c>
      <c r="F442" s="721"/>
      <c r="G442" s="24">
        <f t="shared" si="76"/>
        <v>0.1</v>
      </c>
      <c r="H442" s="721"/>
      <c r="I442" s="24">
        <f t="shared" si="77"/>
        <v>0</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0.1</v>
      </c>
      <c r="F443" s="721"/>
      <c r="G443" s="24">
        <f t="shared" si="76"/>
        <v>0.1</v>
      </c>
      <c r="H443" s="721"/>
      <c r="I443" s="24">
        <f t="shared" si="77"/>
        <v>0</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0.1</v>
      </c>
      <c r="F444" s="721"/>
      <c r="G444" s="24">
        <f t="shared" si="76"/>
        <v>0.1</v>
      </c>
      <c r="H444" s="721"/>
      <c r="I444" s="24">
        <f t="shared" si="77"/>
        <v>0</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0.1</v>
      </c>
      <c r="F445" s="721"/>
      <c r="G445" s="24">
        <f t="shared" si="76"/>
        <v>0.1</v>
      </c>
      <c r="H445" s="721"/>
      <c r="I445" s="24">
        <f t="shared" si="77"/>
        <v>0</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0.1</v>
      </c>
      <c r="F446" s="721"/>
      <c r="G446" s="24">
        <f t="shared" si="76"/>
        <v>0.1</v>
      </c>
      <c r="H446" s="721"/>
      <c r="I446" s="24">
        <f t="shared" si="77"/>
        <v>0</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0.1</v>
      </c>
      <c r="F447" s="721"/>
      <c r="G447" s="24">
        <f t="shared" si="76"/>
        <v>0.1</v>
      </c>
      <c r="H447" s="721"/>
      <c r="I447" s="24">
        <f t="shared" si="77"/>
        <v>0</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0.1</v>
      </c>
      <c r="F448" s="721"/>
      <c r="G448" s="24">
        <f t="shared" si="76"/>
        <v>0.1</v>
      </c>
      <c r="H448" s="721"/>
      <c r="I448" s="24">
        <f t="shared" si="77"/>
        <v>0</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0.1</v>
      </c>
      <c r="F449" s="721"/>
      <c r="G449" s="24">
        <f t="shared" si="76"/>
        <v>0.1</v>
      </c>
      <c r="H449" s="721"/>
      <c r="I449" s="24">
        <f t="shared" si="77"/>
        <v>0</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0.1</v>
      </c>
      <c r="F450" s="721"/>
      <c r="G450" s="24">
        <f t="shared" si="76"/>
        <v>0.1</v>
      </c>
      <c r="H450" s="721"/>
      <c r="I450" s="24">
        <f t="shared" si="77"/>
        <v>0</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0.1</v>
      </c>
      <c r="F451" s="721"/>
      <c r="G451" s="24">
        <f t="shared" si="76"/>
        <v>0.1</v>
      </c>
      <c r="H451" s="721"/>
      <c r="I451" s="24">
        <f t="shared" si="77"/>
        <v>0</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0.1</v>
      </c>
      <c r="F452" s="721"/>
      <c r="G452" s="24">
        <f t="shared" si="76"/>
        <v>0.1</v>
      </c>
      <c r="H452" s="721"/>
      <c r="I452" s="24">
        <f t="shared" si="77"/>
        <v>0</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0.1</v>
      </c>
      <c r="F453" s="721"/>
      <c r="G453" s="24">
        <f t="shared" si="76"/>
        <v>0.1</v>
      </c>
      <c r="H453" s="721"/>
      <c r="I453" s="24">
        <f t="shared" si="77"/>
        <v>0</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0.1</v>
      </c>
      <c r="F454" s="721"/>
      <c r="G454" s="24">
        <f t="shared" si="76"/>
        <v>0.1</v>
      </c>
      <c r="H454" s="721"/>
      <c r="I454" s="24">
        <f t="shared" si="77"/>
        <v>0</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0.1</v>
      </c>
      <c r="F455" s="721"/>
      <c r="G455" s="24">
        <f t="shared" si="76"/>
        <v>0.1</v>
      </c>
      <c r="H455" s="721"/>
      <c r="I455" s="24">
        <f t="shared" si="77"/>
        <v>0</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0.1</v>
      </c>
      <c r="F456" s="721"/>
      <c r="G456" s="24">
        <f t="shared" si="76"/>
        <v>0.1</v>
      </c>
      <c r="H456" s="721"/>
      <c r="I456" s="24">
        <f t="shared" si="77"/>
        <v>0</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0.1</v>
      </c>
      <c r="F457" s="721"/>
      <c r="G457" s="24">
        <f t="shared" si="76"/>
        <v>0.1</v>
      </c>
      <c r="H457" s="721"/>
      <c r="I457" s="24">
        <f t="shared" si="77"/>
        <v>0</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0.1</v>
      </c>
      <c r="F458" s="721"/>
      <c r="G458" s="24">
        <f t="shared" si="76"/>
        <v>0.1</v>
      </c>
      <c r="H458" s="721"/>
      <c r="I458" s="24">
        <f t="shared" si="77"/>
        <v>0</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0.1</v>
      </c>
      <c r="F459" s="721"/>
      <c r="G459" s="24">
        <f t="shared" si="76"/>
        <v>0.1</v>
      </c>
      <c r="H459" s="721"/>
      <c r="I459" s="24">
        <f t="shared" si="77"/>
        <v>0</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0.1</v>
      </c>
      <c r="F460" s="721"/>
      <c r="G460" s="24">
        <f t="shared" si="76"/>
        <v>0.1</v>
      </c>
      <c r="H460" s="721"/>
      <c r="I460" s="24">
        <f t="shared" si="77"/>
        <v>0</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0.1</v>
      </c>
      <c r="F461" s="721"/>
      <c r="G461" s="24">
        <f t="shared" si="76"/>
        <v>0.1</v>
      </c>
      <c r="H461" s="721"/>
      <c r="I461" s="24">
        <f t="shared" si="77"/>
        <v>0</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0.1</v>
      </c>
      <c r="F462" s="721"/>
      <c r="G462" s="24">
        <f t="shared" si="76"/>
        <v>0.1</v>
      </c>
      <c r="H462" s="721"/>
      <c r="I462" s="24">
        <f t="shared" si="77"/>
        <v>0</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0.1</v>
      </c>
      <c r="F463" s="721"/>
      <c r="G463" s="24">
        <f t="shared" si="76"/>
        <v>0.1</v>
      </c>
      <c r="H463" s="721"/>
      <c r="I463" s="24">
        <f t="shared" si="77"/>
        <v>0</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0.1</v>
      </c>
      <c r="F464" s="721"/>
      <c r="G464" s="24">
        <f t="shared" si="76"/>
        <v>0.1</v>
      </c>
      <c r="H464" s="721"/>
      <c r="I464" s="24">
        <f t="shared" si="77"/>
        <v>0</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0.1</v>
      </c>
      <c r="F465" s="721"/>
      <c r="G465" s="24">
        <f t="shared" si="76"/>
        <v>0.1</v>
      </c>
      <c r="H465" s="721"/>
      <c r="I465" s="24">
        <f t="shared" si="77"/>
        <v>0</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0.1</v>
      </c>
      <c r="F466" s="721"/>
      <c r="G466" s="24">
        <f t="shared" si="76"/>
        <v>0.1</v>
      </c>
      <c r="H466" s="721"/>
      <c r="I466" s="24">
        <f t="shared" si="77"/>
        <v>0</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0.1</v>
      </c>
      <c r="F467" s="721"/>
      <c r="G467" s="24">
        <f t="shared" si="76"/>
        <v>0.1</v>
      </c>
      <c r="H467" s="721"/>
      <c r="I467" s="24">
        <f t="shared" si="77"/>
        <v>0</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0.1</v>
      </c>
      <c r="F468" s="721"/>
      <c r="G468" s="24">
        <f t="shared" si="76"/>
        <v>0.1</v>
      </c>
      <c r="H468" s="721"/>
      <c r="I468" s="24">
        <f t="shared" si="77"/>
        <v>0</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0.1</v>
      </c>
      <c r="F469" s="721"/>
      <c r="G469" s="24">
        <f t="shared" si="76"/>
        <v>0.1</v>
      </c>
      <c r="H469" s="721"/>
      <c r="I469" s="24">
        <f t="shared" si="77"/>
        <v>0</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0.1</v>
      </c>
      <c r="F470" s="721"/>
      <c r="G470" s="24">
        <f t="shared" si="76"/>
        <v>0.1</v>
      </c>
      <c r="H470" s="721"/>
      <c r="I470" s="24">
        <f t="shared" si="77"/>
        <v>0</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0.1</v>
      </c>
      <c r="F471" s="721"/>
      <c r="G471" s="24">
        <f t="shared" si="76"/>
        <v>0.1</v>
      </c>
      <c r="H471" s="721"/>
      <c r="I471" s="24">
        <f t="shared" si="77"/>
        <v>0</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0.1</v>
      </c>
      <c r="F472" s="721"/>
      <c r="G472" s="24">
        <f t="shared" si="76"/>
        <v>0.1</v>
      </c>
      <c r="H472" s="721"/>
      <c r="I472" s="24">
        <f t="shared" si="77"/>
        <v>0</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0.1</v>
      </c>
      <c r="F473" s="721"/>
      <c r="G473" s="24">
        <f t="shared" si="76"/>
        <v>0.1</v>
      </c>
      <c r="H473" s="721"/>
      <c r="I473" s="24">
        <f t="shared" si="77"/>
        <v>0</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0.1</v>
      </c>
      <c r="F474" s="721"/>
      <c r="G474" s="24">
        <f t="shared" ref="G474:G524" si="87">(SUMIF($7:$7,F474,$8:$8)-SUMIF($7:$7,$F$24,$8:$8)+100)/100</f>
        <v>0.1</v>
      </c>
      <c r="H474" s="721"/>
      <c r="I474" s="24">
        <f t="shared" ref="I474:I524" si="88">(SUMIF($9:$9,H474,$10:$10)-SUMIF($9:$9,$H$24,$10:$10)+100)/100</f>
        <v>0</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0.1</v>
      </c>
      <c r="F475" s="721"/>
      <c r="G475" s="24">
        <f t="shared" si="87"/>
        <v>0.1</v>
      </c>
      <c r="H475" s="721"/>
      <c r="I475" s="24">
        <f t="shared" si="88"/>
        <v>0</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0.1</v>
      </c>
      <c r="F476" s="721"/>
      <c r="G476" s="24">
        <f t="shared" si="87"/>
        <v>0.1</v>
      </c>
      <c r="H476" s="721"/>
      <c r="I476" s="24">
        <f t="shared" si="88"/>
        <v>0</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0.1</v>
      </c>
      <c r="F477" s="721"/>
      <c r="G477" s="24">
        <f t="shared" si="87"/>
        <v>0.1</v>
      </c>
      <c r="H477" s="721"/>
      <c r="I477" s="24">
        <f t="shared" si="88"/>
        <v>0</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0.1</v>
      </c>
      <c r="F478" s="721"/>
      <c r="G478" s="24">
        <f t="shared" si="87"/>
        <v>0.1</v>
      </c>
      <c r="H478" s="721"/>
      <c r="I478" s="24">
        <f t="shared" si="88"/>
        <v>0</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0.1</v>
      </c>
      <c r="F479" s="721"/>
      <c r="G479" s="24">
        <f t="shared" si="87"/>
        <v>0.1</v>
      </c>
      <c r="H479" s="721"/>
      <c r="I479" s="24">
        <f t="shared" si="88"/>
        <v>0</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0.1</v>
      </c>
      <c r="F480" s="721"/>
      <c r="G480" s="24">
        <f t="shared" si="87"/>
        <v>0.1</v>
      </c>
      <c r="H480" s="721"/>
      <c r="I480" s="24">
        <f t="shared" si="88"/>
        <v>0</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0.1</v>
      </c>
      <c r="F481" s="721"/>
      <c r="G481" s="24">
        <f t="shared" si="87"/>
        <v>0.1</v>
      </c>
      <c r="H481" s="721"/>
      <c r="I481" s="24">
        <f t="shared" si="88"/>
        <v>0</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0.1</v>
      </c>
      <c r="F482" s="721"/>
      <c r="G482" s="24">
        <f t="shared" si="87"/>
        <v>0.1</v>
      </c>
      <c r="H482" s="721"/>
      <c r="I482" s="24">
        <f t="shared" si="88"/>
        <v>0</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0.1</v>
      </c>
      <c r="F483" s="721"/>
      <c r="G483" s="24">
        <f t="shared" si="87"/>
        <v>0.1</v>
      </c>
      <c r="H483" s="721"/>
      <c r="I483" s="24">
        <f t="shared" si="88"/>
        <v>0</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0.1</v>
      </c>
      <c r="F484" s="721"/>
      <c r="G484" s="24">
        <f t="shared" si="87"/>
        <v>0.1</v>
      </c>
      <c r="H484" s="721"/>
      <c r="I484" s="24">
        <f t="shared" si="88"/>
        <v>0</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0.1</v>
      </c>
      <c r="F485" s="721"/>
      <c r="G485" s="24">
        <f t="shared" si="87"/>
        <v>0.1</v>
      </c>
      <c r="H485" s="721"/>
      <c r="I485" s="24">
        <f t="shared" si="88"/>
        <v>0</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0.1</v>
      </c>
      <c r="F486" s="721"/>
      <c r="G486" s="24">
        <f t="shared" si="87"/>
        <v>0.1</v>
      </c>
      <c r="H486" s="721"/>
      <c r="I486" s="24">
        <f t="shared" si="88"/>
        <v>0</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0.1</v>
      </c>
      <c r="F487" s="721"/>
      <c r="G487" s="24">
        <f t="shared" si="87"/>
        <v>0.1</v>
      </c>
      <c r="H487" s="721"/>
      <c r="I487" s="24">
        <f t="shared" si="88"/>
        <v>0</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0.1</v>
      </c>
      <c r="F488" s="721"/>
      <c r="G488" s="24">
        <f t="shared" si="87"/>
        <v>0.1</v>
      </c>
      <c r="H488" s="721"/>
      <c r="I488" s="24">
        <f t="shared" si="88"/>
        <v>0</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0.1</v>
      </c>
      <c r="F489" s="721"/>
      <c r="G489" s="24">
        <f t="shared" si="87"/>
        <v>0.1</v>
      </c>
      <c r="H489" s="721"/>
      <c r="I489" s="24">
        <f t="shared" si="88"/>
        <v>0</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0.1</v>
      </c>
      <c r="F490" s="721"/>
      <c r="G490" s="24">
        <f t="shared" si="87"/>
        <v>0.1</v>
      </c>
      <c r="H490" s="721"/>
      <c r="I490" s="24">
        <f t="shared" si="88"/>
        <v>0</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0.1</v>
      </c>
      <c r="F491" s="721"/>
      <c r="G491" s="24">
        <f t="shared" si="87"/>
        <v>0.1</v>
      </c>
      <c r="H491" s="721"/>
      <c r="I491" s="24">
        <f t="shared" si="88"/>
        <v>0</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0.1</v>
      </c>
      <c r="F492" s="721"/>
      <c r="G492" s="24">
        <f t="shared" si="87"/>
        <v>0.1</v>
      </c>
      <c r="H492" s="721"/>
      <c r="I492" s="24">
        <f t="shared" si="88"/>
        <v>0</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0.1</v>
      </c>
      <c r="F493" s="721"/>
      <c r="G493" s="24">
        <f t="shared" si="87"/>
        <v>0.1</v>
      </c>
      <c r="H493" s="721"/>
      <c r="I493" s="24">
        <f t="shared" si="88"/>
        <v>0</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0.1</v>
      </c>
      <c r="F494" s="721"/>
      <c r="G494" s="24">
        <f t="shared" si="87"/>
        <v>0.1</v>
      </c>
      <c r="H494" s="721"/>
      <c r="I494" s="24">
        <f t="shared" si="88"/>
        <v>0</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0.1</v>
      </c>
      <c r="F495" s="721"/>
      <c r="G495" s="24">
        <f t="shared" si="87"/>
        <v>0.1</v>
      </c>
      <c r="H495" s="721"/>
      <c r="I495" s="24">
        <f t="shared" si="88"/>
        <v>0</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0.1</v>
      </c>
      <c r="F496" s="721"/>
      <c r="G496" s="24">
        <f t="shared" si="87"/>
        <v>0.1</v>
      </c>
      <c r="H496" s="721"/>
      <c r="I496" s="24">
        <f t="shared" si="88"/>
        <v>0</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0.1</v>
      </c>
      <c r="F497" s="721"/>
      <c r="G497" s="24">
        <f t="shared" si="87"/>
        <v>0.1</v>
      </c>
      <c r="H497" s="721"/>
      <c r="I497" s="24">
        <f t="shared" si="88"/>
        <v>0</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0.1</v>
      </c>
      <c r="F498" s="721"/>
      <c r="G498" s="24">
        <f t="shared" si="87"/>
        <v>0.1</v>
      </c>
      <c r="H498" s="721"/>
      <c r="I498" s="24">
        <f t="shared" si="88"/>
        <v>0</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0.1</v>
      </c>
      <c r="F499" s="721"/>
      <c r="G499" s="24">
        <f t="shared" si="87"/>
        <v>0.1</v>
      </c>
      <c r="H499" s="721"/>
      <c r="I499" s="24">
        <f t="shared" si="88"/>
        <v>0</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0.1</v>
      </c>
      <c r="F500" s="721"/>
      <c r="G500" s="24">
        <f t="shared" si="87"/>
        <v>0.1</v>
      </c>
      <c r="H500" s="721"/>
      <c r="I500" s="24">
        <f t="shared" si="88"/>
        <v>0</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0.1</v>
      </c>
      <c r="F501" s="721"/>
      <c r="G501" s="24">
        <f t="shared" si="87"/>
        <v>0.1</v>
      </c>
      <c r="H501" s="721"/>
      <c r="I501" s="24">
        <f t="shared" si="88"/>
        <v>0</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0.1</v>
      </c>
      <c r="F502" s="721"/>
      <c r="G502" s="24">
        <f t="shared" si="87"/>
        <v>0.1</v>
      </c>
      <c r="H502" s="721"/>
      <c r="I502" s="24">
        <f t="shared" si="88"/>
        <v>0</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0.1</v>
      </c>
      <c r="F503" s="721"/>
      <c r="G503" s="24">
        <f t="shared" si="87"/>
        <v>0.1</v>
      </c>
      <c r="H503" s="721"/>
      <c r="I503" s="24">
        <f t="shared" si="88"/>
        <v>0</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0.1</v>
      </c>
      <c r="F504" s="721"/>
      <c r="G504" s="24">
        <f t="shared" si="87"/>
        <v>0.1</v>
      </c>
      <c r="H504" s="721"/>
      <c r="I504" s="24">
        <f t="shared" si="88"/>
        <v>0</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0.1</v>
      </c>
      <c r="F505" s="721"/>
      <c r="G505" s="24">
        <f t="shared" si="87"/>
        <v>0.1</v>
      </c>
      <c r="H505" s="721"/>
      <c r="I505" s="24">
        <f t="shared" si="88"/>
        <v>0</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0.1</v>
      </c>
      <c r="F506" s="721"/>
      <c r="G506" s="24">
        <f t="shared" si="87"/>
        <v>0.1</v>
      </c>
      <c r="H506" s="721"/>
      <c r="I506" s="24">
        <f t="shared" si="88"/>
        <v>0</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0.1</v>
      </c>
      <c r="F507" s="721"/>
      <c r="G507" s="24">
        <f t="shared" si="87"/>
        <v>0.1</v>
      </c>
      <c r="H507" s="721"/>
      <c r="I507" s="24">
        <f t="shared" si="88"/>
        <v>0</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0.1</v>
      </c>
      <c r="F508" s="721"/>
      <c r="G508" s="24">
        <f t="shared" si="87"/>
        <v>0.1</v>
      </c>
      <c r="H508" s="721"/>
      <c r="I508" s="24">
        <f t="shared" si="88"/>
        <v>0</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0.1</v>
      </c>
      <c r="F509" s="721"/>
      <c r="G509" s="24">
        <f t="shared" si="87"/>
        <v>0.1</v>
      </c>
      <c r="H509" s="721"/>
      <c r="I509" s="24">
        <f t="shared" si="88"/>
        <v>0</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0.1</v>
      </c>
      <c r="F510" s="721"/>
      <c r="G510" s="24">
        <f t="shared" si="87"/>
        <v>0.1</v>
      </c>
      <c r="H510" s="721"/>
      <c r="I510" s="24">
        <f t="shared" si="88"/>
        <v>0</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0.1</v>
      </c>
      <c r="F511" s="721"/>
      <c r="G511" s="24">
        <f t="shared" si="87"/>
        <v>0.1</v>
      </c>
      <c r="H511" s="721"/>
      <c r="I511" s="24">
        <f t="shared" si="88"/>
        <v>0</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0.1</v>
      </c>
      <c r="F512" s="721"/>
      <c r="G512" s="24">
        <f t="shared" si="87"/>
        <v>0.1</v>
      </c>
      <c r="H512" s="721"/>
      <c r="I512" s="24">
        <f t="shared" si="88"/>
        <v>0</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0.1</v>
      </c>
      <c r="F513" s="721"/>
      <c r="G513" s="24">
        <f t="shared" si="87"/>
        <v>0.1</v>
      </c>
      <c r="H513" s="721"/>
      <c r="I513" s="24">
        <f t="shared" si="88"/>
        <v>0</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0.1</v>
      </c>
      <c r="F514" s="721"/>
      <c r="G514" s="24">
        <f t="shared" si="87"/>
        <v>0.1</v>
      </c>
      <c r="H514" s="721"/>
      <c r="I514" s="24">
        <f t="shared" si="88"/>
        <v>0</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0.1</v>
      </c>
      <c r="F515" s="721"/>
      <c r="G515" s="24">
        <f t="shared" si="87"/>
        <v>0.1</v>
      </c>
      <c r="H515" s="721"/>
      <c r="I515" s="24">
        <f t="shared" si="88"/>
        <v>0</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0.1</v>
      </c>
      <c r="F516" s="721"/>
      <c r="G516" s="24">
        <f t="shared" si="87"/>
        <v>0.1</v>
      </c>
      <c r="H516" s="721"/>
      <c r="I516" s="24">
        <f t="shared" si="88"/>
        <v>0</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0.1</v>
      </c>
      <c r="F517" s="721"/>
      <c r="G517" s="24">
        <f t="shared" si="87"/>
        <v>0.1</v>
      </c>
      <c r="H517" s="721"/>
      <c r="I517" s="24">
        <f t="shared" si="88"/>
        <v>0</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0.1</v>
      </c>
      <c r="F518" s="721"/>
      <c r="G518" s="24">
        <f t="shared" si="87"/>
        <v>0.1</v>
      </c>
      <c r="H518" s="721"/>
      <c r="I518" s="24">
        <f t="shared" si="88"/>
        <v>0</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0.1</v>
      </c>
      <c r="F519" s="721"/>
      <c r="G519" s="24">
        <f t="shared" si="87"/>
        <v>0.1</v>
      </c>
      <c r="H519" s="721"/>
      <c r="I519" s="24">
        <f t="shared" si="88"/>
        <v>0</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0.1</v>
      </c>
      <c r="F520" s="721"/>
      <c r="G520" s="24">
        <f t="shared" si="87"/>
        <v>0.1</v>
      </c>
      <c r="H520" s="721"/>
      <c r="I520" s="24">
        <f t="shared" si="88"/>
        <v>0</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0.1</v>
      </c>
      <c r="F521" s="721"/>
      <c r="G521" s="24">
        <f t="shared" si="87"/>
        <v>0.1</v>
      </c>
      <c r="H521" s="721"/>
      <c r="I521" s="24">
        <f t="shared" si="88"/>
        <v>0</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0.1</v>
      </c>
      <c r="F522" s="721"/>
      <c r="G522" s="24">
        <f t="shared" si="87"/>
        <v>0.1</v>
      </c>
      <c r="H522" s="721"/>
      <c r="I522" s="24">
        <f t="shared" si="88"/>
        <v>0</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0.1</v>
      </c>
      <c r="F523" s="721"/>
      <c r="G523" s="24">
        <f t="shared" si="87"/>
        <v>0.1</v>
      </c>
      <c r="H523" s="721"/>
      <c r="I523" s="24">
        <f t="shared" si="88"/>
        <v>0</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0.1</v>
      </c>
      <c r="F524" s="721"/>
      <c r="G524" s="24">
        <f t="shared" si="87"/>
        <v>0.1</v>
      </c>
      <c r="H524" s="721"/>
      <c r="I524" s="24">
        <f t="shared" si="88"/>
        <v>0</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33395</v>
      </c>
      <c r="C2" s="2" t="s">
        <v>133</v>
      </c>
      <c r="D2" s="244"/>
      <c r="E2" s="244"/>
      <c r="F2" s="244"/>
      <c r="G2" s="244"/>
    </row>
    <row r="3" spans="1:7" s="245" customFormat="1" ht="18" customHeight="1" thickBot="1">
      <c r="A3" s="248" t="s">
        <v>85</v>
      </c>
      <c r="B3" s="249">
        <f ca="1">ROUND(B2*10000/'数据-汇总表'!E3,0)</f>
        <v>749422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9</v>
      </c>
      <c r="D9" s="1036">
        <f>'数据-汇总表'!E5</f>
        <v>445.61</v>
      </c>
      <c r="E9" s="270">
        <f>'数据-取费表'!B27</f>
        <v>200</v>
      </c>
      <c r="F9" s="266"/>
      <c r="G9" s="271"/>
    </row>
    <row r="10" spans="1:7" s="259" customFormat="1" ht="13.5" customHeight="1">
      <c r="A10" s="954" t="s">
        <v>801</v>
      </c>
      <c r="B10" s="269" t="s">
        <v>94</v>
      </c>
      <c r="C10" s="270">
        <f>ROUND(D10*E10/10000,0)</f>
        <v>0</v>
      </c>
      <c r="D10" s="1036">
        <f>'数据-汇总表'!E6</f>
        <v>0</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9</v>
      </c>
      <c r="D19" s="1040">
        <f>'数据-汇总表'!E3</f>
        <v>445.61</v>
      </c>
      <c r="E19" s="256">
        <f>'数据-取费表'!B31</f>
        <v>200</v>
      </c>
      <c r="F19" s="276"/>
      <c r="G19" s="1" t="s">
        <v>1074</v>
      </c>
    </row>
    <row r="20" spans="1:7" s="259" customFormat="1" ht="13.5" customHeight="1">
      <c r="A20" s="952" t="s">
        <v>1057</v>
      </c>
      <c r="B20" s="255" t="s">
        <v>104</v>
      </c>
      <c r="C20" s="277">
        <f>ROUND((C5+C19)*F20,0)</f>
        <v>619</v>
      </c>
      <c r="D20" s="277"/>
      <c r="E20" s="277"/>
      <c r="F20" s="278">
        <f>'数据-取费表'!B37</f>
        <v>0.03</v>
      </c>
      <c r="G20" s="1292"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7">
        <f ca="1">ROUND(SUM(C23:C25),0)</f>
        <v>2034</v>
      </c>
      <c r="D22" s="280">
        <f ca="1">C26</f>
        <v>1.4E-3</v>
      </c>
      <c r="E22" s="281" t="s">
        <v>126</v>
      </c>
      <c r="F22" s="282">
        <f ca="1">'数据-取费表'!B40</f>
        <v>4.7500000000000001E-2</v>
      </c>
      <c r="G22" s="1292" t="str">
        <f>IF('数据-取费表'!B22&lt;=1,"单利计息","复利计息")</f>
        <v>复利计息</v>
      </c>
    </row>
    <row r="23" spans="1:7" s="259" customFormat="1" ht="13.5" customHeight="1">
      <c r="A23" s="955" t="s">
        <v>794</v>
      </c>
      <c r="B23" s="260" t="s">
        <v>1061</v>
      </c>
      <c r="C23" s="1358">
        <f ca="1">ROUND(IF('数据-取费表'!B22&lt;=1,C5*F22*'数据-取费表'!B23,C5*(POWER((1+F22),'数据-取费表'!B23)-1)),0)</f>
        <v>2004</v>
      </c>
      <c r="D23" s="283"/>
      <c r="E23" s="283"/>
      <c r="F23" s="284"/>
      <c r="G23" s="285" t="s">
        <v>108</v>
      </c>
    </row>
    <row r="24" spans="1:7" s="259" customFormat="1" ht="13.5" customHeight="1">
      <c r="A24" s="955" t="s">
        <v>792</v>
      </c>
      <c r="B24" s="260" t="s">
        <v>1056</v>
      </c>
      <c r="C24" s="1358">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8">
        <f ca="1">ROUND(IF('数据-取费表'!B22&lt;=1,C20*F22*'数据-取费表'!B23/2,C20*(POWER((1+F22),'数据-取费表'!B23/2)-1)),0)</f>
        <v>29</v>
      </c>
      <c r="D25" s="283"/>
      <c r="E25" s="286"/>
      <c r="F25" s="284"/>
      <c r="G25" s="287" t="s">
        <v>110</v>
      </c>
    </row>
    <row r="26" spans="1:7" s="259" customFormat="1">
      <c r="A26" s="955" t="s">
        <v>795</v>
      </c>
      <c r="B26" s="260" t="s">
        <v>1060</v>
      </c>
      <c r="C26" s="283">
        <f ca="1">ROUND(IF('数据-取费表'!B22&lt;=1,F21*F22*'数据-取费表'!B23/2,F21*(POWER((1+F22),'数据-取费表'!B23/2)-1)),4)</f>
        <v>1.4E-3</v>
      </c>
      <c r="D26" s="283"/>
      <c r="E26" s="286"/>
      <c r="F26" s="284"/>
      <c r="G26" s="288"/>
    </row>
    <row r="27" spans="1:7" s="259" customFormat="1" ht="24.75">
      <c r="A27" s="952" t="s">
        <v>787</v>
      </c>
      <c r="B27" s="289" t="s">
        <v>112</v>
      </c>
      <c r="C27" s="290">
        <f>C28</f>
        <v>6371</v>
      </c>
      <c r="D27" s="280">
        <f>C29</f>
        <v>8.9999999999999993E-3</v>
      </c>
      <c r="E27" s="281" t="s">
        <v>126</v>
      </c>
      <c r="F27" s="291">
        <f>'数据-取费表'!Q16</f>
        <v>0.3</v>
      </c>
      <c r="G27" s="292" t="s">
        <v>1069</v>
      </c>
    </row>
    <row r="28" spans="1:7" s="259" customFormat="1" ht="13.5" customHeight="1">
      <c r="A28" s="955" t="s">
        <v>794</v>
      </c>
      <c r="B28" s="293" t="s">
        <v>1062</v>
      </c>
      <c r="C28" s="294">
        <f>ROUND((C5+C19+C20)*F27*'数据-取费表'!B21/'数据-取费表'!B20,0)</f>
        <v>6371</v>
      </c>
      <c r="D28" s="280"/>
      <c r="E28" s="281"/>
      <c r="F28" s="291"/>
      <c r="G28" s="292"/>
    </row>
    <row r="29" spans="1:7" s="259" customFormat="1" ht="13.5" customHeight="1">
      <c r="A29" s="955" t="s">
        <v>792</v>
      </c>
      <c r="B29" s="293" t="s">
        <v>1063</v>
      </c>
      <c r="C29" s="283">
        <f>ROUND(C21*F27*'数据-取费表'!B21/'数据-取费表'!B20,4)</f>
        <v>8.9999999999999993E-3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32709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497</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446</v>
      </c>
      <c r="D34" s="262"/>
      <c r="E34" s="265"/>
      <c r="F34" s="302">
        <f>IF('数据-取费表'!B24=0,1,'数据-取费表'!N16)</f>
        <v>1</v>
      </c>
      <c r="G34" s="264" t="s">
        <v>116</v>
      </c>
    </row>
    <row r="35" spans="1:7" ht="13.5" customHeight="1">
      <c r="A35" s="955" t="s">
        <v>796</v>
      </c>
      <c r="B35" s="260" t="s">
        <v>60</v>
      </c>
      <c r="C35" s="265">
        <f>ROUND(C34*F35,0)</f>
        <v>13</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22</v>
      </c>
      <c r="D36" s="265"/>
      <c r="E36" s="265"/>
      <c r="F36" s="304">
        <f>'数据-取费表'!B34</f>
        <v>0.05</v>
      </c>
      <c r="G36" s="305" t="s">
        <v>62</v>
      </c>
    </row>
    <row r="37" spans="1:7" s="303" customFormat="1" ht="13.5" customHeight="1">
      <c r="A37" s="955" t="s">
        <v>798</v>
      </c>
      <c r="B37" s="260" t="s">
        <v>118</v>
      </c>
      <c r="C37" s="294">
        <f>ROUND(E37*D37*F34/10000,0)</f>
        <v>9</v>
      </c>
      <c r="D37" s="262">
        <f>'数据-汇总表'!E3</f>
        <v>445.61</v>
      </c>
      <c r="E37" s="294">
        <f>'数据-取费表'!B35</f>
        <v>200</v>
      </c>
      <c r="F37" s="304"/>
      <c r="G37" s="306" t="s">
        <v>119</v>
      </c>
    </row>
    <row r="38" spans="1:7" ht="13.5" customHeight="1">
      <c r="A38" s="955" t="s">
        <v>799</v>
      </c>
      <c r="B38" s="260" t="s">
        <v>63</v>
      </c>
      <c r="C38" s="265">
        <f>ROUND(C34*F38,0)</f>
        <v>7</v>
      </c>
      <c r="D38" s="265"/>
      <c r="E38" s="265"/>
      <c r="F38" s="304">
        <f>'数据-取费表'!B36</f>
        <v>1.4999999999999999E-2</v>
      </c>
      <c r="G38" s="264" t="s">
        <v>117</v>
      </c>
    </row>
    <row r="39" spans="1:7" s="259" customFormat="1" ht="13.5" customHeight="1">
      <c r="A39" s="952" t="s">
        <v>783</v>
      </c>
      <c r="B39" s="255" t="s">
        <v>104</v>
      </c>
      <c r="C39" s="277">
        <f>ROUND(C33*F20,0)</f>
        <v>15</v>
      </c>
      <c r="D39" s="277"/>
      <c r="E39" s="277"/>
      <c r="F39" s="278"/>
      <c r="G39" s="1292"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25</v>
      </c>
      <c r="D41" s="280">
        <f ca="1">C44</f>
        <v>1.4E-3</v>
      </c>
      <c r="E41" s="281" t="s">
        <v>129</v>
      </c>
      <c r="F41" s="282"/>
      <c r="G41" s="1292" t="str">
        <f>IF('数据-取费表'!B22&lt;=1,"单利计息","复利计息")</f>
        <v>复利计息</v>
      </c>
    </row>
    <row r="42" spans="1:7" ht="13.5" customHeight="1">
      <c r="A42" s="955" t="s">
        <v>794</v>
      </c>
      <c r="B42" s="260" t="s">
        <v>1061</v>
      </c>
      <c r="C42" s="283">
        <f ca="1">ROUND(IF('数据-取费表'!B22&lt;=1,C33*F22*'数据-取费表'!B21/2,C33*(POWER((1+F22),'数据-取费表'!B21/2)-1)),0)</f>
        <v>24</v>
      </c>
      <c r="D42" s="283"/>
      <c r="E42" s="283"/>
      <c r="F42" s="284"/>
      <c r="G42" s="3155" t="s">
        <v>121</v>
      </c>
    </row>
    <row r="43" spans="1:7" ht="13.5" customHeight="1">
      <c r="A43" s="955" t="s">
        <v>792</v>
      </c>
      <c r="B43" s="260" t="s">
        <v>1064</v>
      </c>
      <c r="C43" s="283">
        <f ca="1">ROUND(IF('数据-取费表'!B22&lt;=1,C39*F22*'数据-取费表'!B21/2,C39*(POWER((1+F22),'数据-取费表'!B21/2)-1)),0)</f>
        <v>1</v>
      </c>
      <c r="D43" s="283"/>
      <c r="E43" s="283"/>
      <c r="F43" s="284"/>
      <c r="G43" s="3156"/>
    </row>
    <row r="44" spans="1:7" ht="13.5" customHeight="1">
      <c r="A44" s="955" t="s">
        <v>793</v>
      </c>
      <c r="B44" s="260" t="s">
        <v>1066</v>
      </c>
      <c r="C44" s="283">
        <f ca="1">ROUND(IF('数据-取费表'!B22&lt;=1,C40*F22*'数据-取费表'!B21/2,C40*(POWER((1+F22),'数据-取费表'!B21/2)-1)),4)</f>
        <v>1.4E-3</v>
      </c>
      <c r="D44" s="283"/>
      <c r="E44" s="283"/>
      <c r="F44" s="284"/>
      <c r="G44" s="3157"/>
    </row>
    <row r="45" spans="1:7" s="259" customFormat="1" ht="13.5" customHeight="1">
      <c r="A45" s="952" t="s">
        <v>786</v>
      </c>
      <c r="B45" s="289" t="s">
        <v>112</v>
      </c>
      <c r="C45" s="290">
        <f>C46</f>
        <v>154</v>
      </c>
      <c r="D45" s="280">
        <f>C47</f>
        <v>8.9999999999999993E-3</v>
      </c>
      <c r="E45" s="281" t="s">
        <v>129</v>
      </c>
      <c r="F45" s="291"/>
      <c r="G45" s="292" t="s">
        <v>1072</v>
      </c>
    </row>
    <row r="46" spans="1:7" s="259" customFormat="1" ht="13.5" customHeight="1">
      <c r="A46" s="955" t="s">
        <v>794</v>
      </c>
      <c r="B46" s="293" t="s">
        <v>1065</v>
      </c>
      <c r="C46" s="294">
        <f>ROUND((C33+C39)*F27,0)</f>
        <v>154</v>
      </c>
      <c r="D46" s="308"/>
      <c r="E46" s="281"/>
      <c r="F46" s="291"/>
      <c r="G46" s="292"/>
    </row>
    <row r="47" spans="1:7" s="259" customFormat="1" ht="13.5" customHeight="1">
      <c r="A47" s="955" t="s">
        <v>792</v>
      </c>
      <c r="B47" s="293" t="s">
        <v>1067</v>
      </c>
      <c r="C47" s="283">
        <f>ROUND(C40*F27,4)</f>
        <v>8.9999999999999993E-3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762</v>
      </c>
      <c r="D49" s="277"/>
      <c r="E49" s="277"/>
      <c r="F49" s="309"/>
      <c r="G49" s="279" t="s">
        <v>1073</v>
      </c>
    </row>
    <row r="50" spans="1:7" s="303" customFormat="1" ht="24">
      <c r="A50" s="952" t="s">
        <v>789</v>
      </c>
      <c r="B50" s="255" t="s">
        <v>124</v>
      </c>
      <c r="C50" s="277"/>
      <c r="D50" s="277"/>
      <c r="E50" s="277"/>
      <c r="F50" s="309">
        <f>IF('数据-取费表'!B24=0,'数据-取费表'!N16,1)</f>
        <v>0.9</v>
      </c>
      <c r="G50" s="292" t="s">
        <v>125</v>
      </c>
    </row>
    <row r="51" spans="1:7" ht="16.5" customHeight="1">
      <c r="A51" s="952" t="s">
        <v>790</v>
      </c>
      <c r="B51" s="255" t="s">
        <v>132</v>
      </c>
      <c r="C51" s="277">
        <f ca="1">ROUND(C49*F50,0)</f>
        <v>686</v>
      </c>
      <c r="D51" s="277"/>
      <c r="E51" s="277"/>
      <c r="F51" s="309"/>
      <c r="G51" s="279" t="s">
        <v>64</v>
      </c>
    </row>
    <row r="52" spans="1:7" s="253" customFormat="1" ht="16.5" thickBot="1">
      <c r="A52" s="310" t="s">
        <v>65</v>
      </c>
      <c r="B52" s="311"/>
      <c r="C52" s="312">
        <f ca="1">C31+C51</f>
        <v>33395</v>
      </c>
      <c r="D52" s="311"/>
      <c r="E52" s="311"/>
      <c r="F52" s="311"/>
      <c r="G52" s="313"/>
    </row>
    <row r="55" spans="1:7" ht="15">
      <c r="B55" s="315" t="s">
        <v>66</v>
      </c>
      <c r="C55" s="316"/>
    </row>
    <row r="56" spans="1:7">
      <c r="B56" s="318" t="s">
        <v>67</v>
      </c>
      <c r="C56" s="319">
        <f ca="1">ROUND(C51/C52,3)</f>
        <v>2.1000000000000001E-2</v>
      </c>
    </row>
    <row r="57" spans="1:7">
      <c r="B57" s="318" t="s">
        <v>68</v>
      </c>
      <c r="C57" s="320">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92" t="s">
        <v>156</v>
      </c>
      <c r="B1" s="3292"/>
      <c r="C1" s="3292"/>
      <c r="D1" s="3292"/>
      <c r="E1" s="3292"/>
      <c r="F1" s="3292"/>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93" t="s">
        <v>169</v>
      </c>
      <c r="B2" s="3293"/>
      <c r="C2" s="3293"/>
      <c r="D2" s="3293"/>
      <c r="E2" s="3293"/>
      <c r="F2" s="3293"/>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94"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95"/>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92" t="s">
        <v>871</v>
      </c>
      <c r="B1" s="3292"/>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43017</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1643</v>
      </c>
      <c r="B2" s="2981" t="s">
        <v>1644</v>
      </c>
      <c r="C2" s="2981" t="s">
        <v>1645</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82"/>
      <c r="B3" s="2982"/>
      <c r="C3" s="2982"/>
      <c r="D3" s="1048" t="s">
        <v>1640</v>
      </c>
      <c r="E3" s="1048" t="s">
        <v>1646</v>
      </c>
      <c r="F3" s="1048" t="s">
        <v>1640</v>
      </c>
      <c r="G3" s="1048" t="s">
        <v>1641</v>
      </c>
      <c r="H3" s="1048" t="s">
        <v>1640</v>
      </c>
      <c r="I3" s="1048" t="s">
        <v>1641</v>
      </c>
    </row>
    <row r="4" spans="1:9" ht="30">
      <c r="A4" s="1976" t="str">
        <f>项目基本情况!S2</f>
        <v>北京市朝阳区霄云路8号院房地产</v>
      </c>
      <c r="B4" s="1048">
        <f>项目基本情况!C17</f>
        <v>445.61</v>
      </c>
      <c r="C4" s="1048">
        <f>项目基本情况!C18</f>
        <v>0</v>
      </c>
      <c r="D4" s="1048" t="e">
        <f ca="1">结果表!D118</f>
        <v>#REF!</v>
      </c>
      <c r="E4" s="1048" t="e">
        <f ca="1">结果表!E118</f>
        <v>#REF!</v>
      </c>
      <c r="F4" s="1048" t="e">
        <f ca="1">结果表!F118</f>
        <v>#REF!</v>
      </c>
      <c r="G4" s="1048" t="e">
        <f ca="1">结果表!G118</f>
        <v>#REF!</v>
      </c>
      <c r="H4" s="1048">
        <f ca="1">结果表!H118</f>
        <v>3548</v>
      </c>
      <c r="I4" s="1048">
        <f ca="1">结果表!I118</f>
        <v>79621</v>
      </c>
    </row>
    <row r="5" spans="1:9" ht="30" customHeight="1">
      <c r="A5" s="2982" t="s">
        <v>1642</v>
      </c>
      <c r="B5" s="2982"/>
      <c r="C5" s="2982"/>
      <c r="D5" s="2983" t="e">
        <f ca="1">结果表!D119</f>
        <v>#REF!</v>
      </c>
      <c r="E5" s="2983"/>
      <c r="F5" s="2983" t="e">
        <f ca="1">结果表!F119</f>
        <v>#REF!</v>
      </c>
      <c r="G5" s="2983"/>
      <c r="H5" s="2983" t="str">
        <f ca="1">结果表!H119</f>
        <v>叁仟伍佰肆拾捌万元整</v>
      </c>
      <c r="I5" s="2983"/>
    </row>
    <row r="6" spans="1:9" ht="15.75">
      <c r="A6" s="2984" t="str">
        <f>结果表!A120</f>
        <v>估价师知悉的法定优先受偿款</v>
      </c>
      <c r="B6" s="2984"/>
      <c r="C6" s="2984"/>
      <c r="D6" s="2984">
        <f>结果表!D120</f>
        <v>0</v>
      </c>
      <c r="E6" s="2984"/>
      <c r="F6" s="2984"/>
      <c r="G6" s="2984"/>
      <c r="H6" s="2984"/>
      <c r="I6" s="2984"/>
    </row>
    <row r="7" spans="1:9" ht="15">
      <c r="A7" s="2982" t="s">
        <v>1642</v>
      </c>
      <c r="B7" s="2982"/>
      <c r="C7" s="2982"/>
      <c r="D7" s="2985" t="str">
        <f>结果表!D121</f>
        <v>零元整</v>
      </c>
      <c r="E7" s="2986"/>
      <c r="F7" s="2986"/>
      <c r="G7" s="2986"/>
      <c r="H7" s="2986"/>
      <c r="I7" s="2987"/>
    </row>
    <row r="8" spans="1:9" ht="15.75">
      <c r="A8" s="2984" t="str">
        <f>结果表!A122</f>
        <v/>
      </c>
      <c r="B8" s="2984"/>
      <c r="C8" s="2984"/>
      <c r="D8" s="2984" t="str">
        <f>结果表!D122</f>
        <v>——</v>
      </c>
      <c r="E8" s="2984"/>
      <c r="F8" s="2984"/>
      <c r="G8" s="2984"/>
      <c r="H8" s="2984"/>
      <c r="I8" s="2984"/>
    </row>
    <row r="9" spans="1:9" ht="15">
      <c r="A9" s="2982" t="s">
        <v>1642</v>
      </c>
      <c r="B9" s="2982"/>
      <c r="C9" s="2982"/>
      <c r="D9" s="2983" t="e">
        <f>结果表!D123</f>
        <v>#VALUE!</v>
      </c>
      <c r="E9" s="2983"/>
      <c r="F9" s="2983"/>
      <c r="G9" s="2983"/>
      <c r="H9" s="2983"/>
      <c r="I9" s="2983"/>
    </row>
    <row r="10" spans="1:9" ht="15.75">
      <c r="A10" s="2984" t="str">
        <f>结果表!A124</f>
        <v>抵押担保权已注销时的房地产抵押价值</v>
      </c>
      <c r="B10" s="2984"/>
      <c r="C10" s="2984"/>
      <c r="D10" s="2984">
        <f ca="1">结果表!D124</f>
        <v>3548</v>
      </c>
      <c r="E10" s="2984"/>
      <c r="F10" s="2984"/>
      <c r="G10" s="2984"/>
      <c r="H10" s="2984"/>
      <c r="I10" s="2984"/>
    </row>
    <row r="11" spans="1:9" ht="15">
      <c r="A11" s="2982" t="s">
        <v>1642</v>
      </c>
      <c r="B11" s="2982"/>
      <c r="C11" s="2982"/>
      <c r="D11" s="2983" t="str">
        <f ca="1">结果表!D125</f>
        <v>叁仟伍佰肆拾捌万元整</v>
      </c>
      <c r="E11" s="2983"/>
      <c r="F11" s="2983"/>
      <c r="G11" s="2983"/>
      <c r="H11" s="2983"/>
      <c r="I11" s="2983"/>
    </row>
    <row r="12" spans="1:9" ht="15.75">
      <c r="A12" s="2984" t="str">
        <f>结果表!A126</f>
        <v/>
      </c>
      <c r="B12" s="2984"/>
      <c r="C12" s="2984"/>
      <c r="D12" s="2984" t="str">
        <f>结果表!D126</f>
        <v>——</v>
      </c>
      <c r="E12" s="2984"/>
      <c r="F12" s="2984"/>
      <c r="G12" s="2984"/>
      <c r="H12" s="2984"/>
      <c r="I12" s="2984"/>
    </row>
    <row r="13" spans="1:9" ht="15.75" thickBot="1">
      <c r="A13" s="2988" t="s">
        <v>1642</v>
      </c>
      <c r="B13" s="2988"/>
      <c r="C13" s="2988"/>
      <c r="D13" s="2989" t="e">
        <f>结果表!D127</f>
        <v>#VALUE!</v>
      </c>
      <c r="E13" s="2989"/>
      <c r="F13" s="2989"/>
      <c r="G13" s="2989"/>
      <c r="H13" s="2989"/>
      <c r="I13" s="2989"/>
    </row>
    <row r="14" spans="1:9" ht="15" thickTop="1">
      <c r="A14" s="2990" t="s">
        <v>1647</v>
      </c>
      <c r="B14" s="2990"/>
      <c r="C14" s="2990"/>
      <c r="D14" s="2990"/>
      <c r="E14" s="2990"/>
      <c r="F14" s="2990"/>
      <c r="G14" s="2990"/>
      <c r="H14" s="2990"/>
      <c r="I14" s="2990"/>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1" t="s">
        <v>1664</v>
      </c>
      <c r="B1" s="2991"/>
      <c r="C1" s="2991"/>
      <c r="D1" s="2991"/>
    </row>
    <row r="2" spans="1:4" ht="18">
      <c r="A2" s="2992" t="s">
        <v>1648</v>
      </c>
      <c r="B2" s="2992"/>
      <c r="C2" s="2992"/>
      <c r="D2" s="2992"/>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2992" t="s">
        <v>1654</v>
      </c>
      <c r="B6" s="2992"/>
      <c r="C6" s="2992"/>
      <c r="D6" s="2992"/>
    </row>
    <row r="7" spans="1:4" ht="18.75">
      <c r="A7" s="1980" t="s">
        <v>1649</v>
      </c>
      <c r="B7" s="1982" t="s">
        <v>1655</v>
      </c>
      <c r="C7" s="1980" t="s">
        <v>1651</v>
      </c>
      <c r="D7" s="1980" t="s">
        <v>1652</v>
      </c>
    </row>
    <row r="8" spans="1:4" ht="56.25" customHeight="1">
      <c r="A8" s="1986" t="s">
        <v>869</v>
      </c>
      <c r="B8" s="1986" t="s">
        <v>1</v>
      </c>
      <c r="C8" s="1983"/>
      <c r="D8" s="1984" t="s">
        <v>1653</v>
      </c>
    </row>
    <row r="9" spans="1:4">
      <c r="A9" s="729"/>
      <c r="B9" s="729"/>
      <c r="C9" s="729"/>
      <c r="D9" s="729"/>
    </row>
    <row r="10" spans="1:4" ht="18.75">
      <c r="A10" s="1987" t="s">
        <v>1656</v>
      </c>
      <c r="B10" s="729"/>
      <c r="C10" s="729"/>
      <c r="D10" s="729"/>
    </row>
    <row r="11" spans="1:4" ht="30" customHeight="1">
      <c r="A11" s="2993" t="s">
        <v>1657</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5"/>
      <c r="C12" s="2995"/>
      <c r="D12" s="2995"/>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5"/>
      <c r="C13" s="2995"/>
      <c r="D13" s="2995"/>
    </row>
    <row r="14" spans="1:4" ht="15.75" customHeight="1">
      <c r="A14" s="2994" t="str">
        <f>IF(项目基本情况!B8="抵押","4.本次评估估价师所知悉的法定优先受偿款情况说明如下：","——")</f>
        <v>4.本次评估估价师所知悉的法定优先受偿款情况说明如下：</v>
      </c>
      <c r="B14" s="2995"/>
      <c r="C14" s="2995"/>
      <c r="D14" s="2995"/>
    </row>
    <row r="15" spans="1:4" ht="42" customHeight="1">
      <c r="A15" s="2994" t="str">
        <f>IF(项目基本情况!B8="抵押","（1）"&amp;CONCATENATE(项目基本情况!L20,项目基本情况!L21,项目基本情况!L22),"——")</f>
        <v>（1）根据估价对象《房屋所有权证》复印件、《国有土地使用权》复印件，截至价值时点，估价对象抵押权未见登记。</v>
      </c>
      <c r="B15" s="2994"/>
      <c r="C15" s="2994"/>
      <c r="D15" s="2994"/>
    </row>
    <row r="16" spans="1:4" ht="30" customHeight="1">
      <c r="A16" s="2997" t="s">
        <v>1658</v>
      </c>
      <c r="B16" s="2997"/>
      <c r="C16" s="2997"/>
      <c r="D16" s="2997"/>
    </row>
    <row r="17" spans="1:4" ht="144" customHeight="1">
      <c r="A17" s="2997" t="s">
        <v>1659</v>
      </c>
      <c r="B17" s="2997"/>
      <c r="C17" s="2997"/>
      <c r="D17" s="2997"/>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8"/>
      <c r="C21" s="2998"/>
      <c r="D21" s="2998"/>
    </row>
    <row r="22" spans="1:4" ht="18.75" customHeight="1">
      <c r="A22" s="2999" t="s">
        <v>1660</v>
      </c>
      <c r="B22" s="2999"/>
      <c r="C22" s="2999"/>
      <c r="D22" s="2999"/>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96">
        <v>42551</v>
      </c>
      <c r="D31" s="29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05" t="s">
        <v>1671</v>
      </c>
      <c r="B15" s="3000" t="s">
        <v>136</v>
      </c>
      <c r="C15" s="3001"/>
    </row>
    <row r="16" spans="1:7" ht="13.5">
      <c r="A16" s="3006"/>
      <c r="B16" s="3000" t="s">
        <v>69</v>
      </c>
      <c r="C16" s="3001"/>
    </row>
    <row r="17" spans="1:3" ht="13.5">
      <c r="A17" s="3006"/>
      <c r="B17" s="3003" t="s">
        <v>1672</v>
      </c>
      <c r="C17" s="2003" t="s">
        <v>1671</v>
      </c>
    </row>
    <row r="18" spans="1:3" ht="13.5">
      <c r="A18" s="3006"/>
      <c r="B18" s="3003"/>
      <c r="C18" s="2003" t="s">
        <v>1673</v>
      </c>
    </row>
    <row r="19" spans="1:3" ht="13.5">
      <c r="A19" s="3006"/>
      <c r="B19" s="3003"/>
      <c r="C19" s="2003" t="s">
        <v>1674</v>
      </c>
    </row>
    <row r="20" spans="1:3" ht="13.5">
      <c r="A20" s="3007"/>
      <c r="B20" s="3002" t="s">
        <v>1675</v>
      </c>
      <c r="C20" s="3001"/>
    </row>
    <row r="21" spans="1:3" ht="13.5">
      <c r="A21" s="2004" t="s">
        <v>1676</v>
      </c>
      <c r="B21" s="2005"/>
      <c r="C21" s="2006"/>
    </row>
    <row r="22" spans="1:3" ht="13.5">
      <c r="A22" s="3004" t="s">
        <v>1677</v>
      </c>
      <c r="B22" s="3002" t="s">
        <v>1678</v>
      </c>
      <c r="C22" s="3001"/>
    </row>
    <row r="23" spans="1:3" ht="13.5">
      <c r="A23" s="3004"/>
      <c r="B23" s="3002" t="s">
        <v>1679</v>
      </c>
      <c r="C23" s="3001"/>
    </row>
    <row r="24" spans="1:3" ht="13.5">
      <c r="A24" s="3004"/>
      <c r="B24" s="3002" t="s">
        <v>1680</v>
      </c>
      <c r="C24" s="3001"/>
    </row>
    <row r="25" spans="1:3" ht="13.5">
      <c r="A25" s="3004"/>
      <c r="B25" s="3003" t="s">
        <v>1681</v>
      </c>
      <c r="C25" s="2003" t="s">
        <v>1682</v>
      </c>
    </row>
    <row r="26" spans="1:3" ht="13.5">
      <c r="A26" s="3004"/>
      <c r="B26" s="3003"/>
      <c r="C26" s="2003" t="s">
        <v>1683</v>
      </c>
    </row>
    <row r="27" spans="1:3" ht="13.5">
      <c r="A27" s="3004"/>
      <c r="B27" s="3003"/>
      <c r="C27" s="2003" t="s">
        <v>1684</v>
      </c>
    </row>
    <row r="28" spans="1:3" ht="13.5">
      <c r="A28" s="3004"/>
      <c r="B28" s="3003"/>
      <c r="C28" s="2003" t="s">
        <v>1685</v>
      </c>
    </row>
    <row r="29" spans="1:3" ht="13.5">
      <c r="A29" s="3004"/>
      <c r="B29" s="3003"/>
      <c r="C29" s="2003" t="s">
        <v>1686</v>
      </c>
    </row>
    <row r="30" spans="1:3" ht="13.5">
      <c r="A30" s="3004"/>
      <c r="B30" s="3003"/>
      <c r="C30" s="2003" t="s">
        <v>1687</v>
      </c>
    </row>
    <row r="31" spans="1:3" ht="13.5">
      <c r="A31" s="3004"/>
      <c r="B31" s="3003"/>
      <c r="C31" s="2003" t="s">
        <v>1688</v>
      </c>
    </row>
    <row r="32" spans="1:3" ht="13.5">
      <c r="A32" s="3004"/>
      <c r="B32" s="3003"/>
      <c r="C32" s="2003" t="s">
        <v>1689</v>
      </c>
    </row>
    <row r="33" spans="1:3" ht="13.5">
      <c r="A33" s="3004"/>
      <c r="B33" s="3003"/>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43062</v>
      </c>
      <c r="C2" s="1023" t="s">
        <v>826</v>
      </c>
      <c r="D2" s="1023"/>
    </row>
    <row r="3" spans="1:6" ht="24" customHeight="1">
      <c r="A3" s="1024" t="s">
        <v>827</v>
      </c>
      <c r="B3" s="1025" t="s">
        <v>828</v>
      </c>
      <c r="C3" s="2347" t="s">
        <v>829</v>
      </c>
      <c r="D3" s="2350" t="s">
        <v>830</v>
      </c>
      <c r="E3" s="1026" t="s">
        <v>831</v>
      </c>
      <c r="F3" s="1025" t="s">
        <v>829</v>
      </c>
    </row>
    <row r="4" spans="1:6" ht="24" customHeight="1">
      <c r="A4" s="1706" t="s">
        <v>832</v>
      </c>
      <c r="B4" s="1026">
        <f ca="1">IF(C4&lt;B2,"已过期",1119970066)</f>
        <v>1119970066</v>
      </c>
      <c r="C4" s="2348">
        <v>43849</v>
      </c>
      <c r="D4" s="2351" t="s">
        <v>832</v>
      </c>
      <c r="E4" s="1026">
        <f ca="1">IF(F4&lt;B2,"已过期",96010014)</f>
        <v>96010014</v>
      </c>
      <c r="F4" s="1034">
        <v>47118</v>
      </c>
    </row>
    <row r="5" spans="1:6" ht="24" customHeight="1">
      <c r="A5" s="1706" t="s">
        <v>833</v>
      </c>
      <c r="B5" s="1026">
        <f ca="1">IF(C5&lt;B2,"已过期",1119970074)</f>
        <v>1119970074</v>
      </c>
      <c r="C5" s="2348">
        <v>43849</v>
      </c>
      <c r="D5" s="2351" t="s">
        <v>833</v>
      </c>
      <c r="E5" s="1026">
        <f ca="1">IF(F5&lt;B2,"已过期",2002110027)</f>
        <v>2002110027</v>
      </c>
      <c r="F5" s="1034">
        <v>46752</v>
      </c>
    </row>
    <row r="6" spans="1:6" ht="24" customHeight="1">
      <c r="A6" s="1706" t="s">
        <v>834</v>
      </c>
      <c r="B6" s="1026">
        <f ca="1">IF(C6&lt;B2,"已过期",1119970111)</f>
        <v>1119970111</v>
      </c>
      <c r="C6" s="2348">
        <v>43849</v>
      </c>
      <c r="D6" s="2351" t="s">
        <v>834</v>
      </c>
      <c r="E6" s="1026">
        <f ca="1">IF(F6&lt;B2,"已过期",94010078)</f>
        <v>94010078</v>
      </c>
      <c r="F6" s="1034">
        <v>46387</v>
      </c>
    </row>
    <row r="7" spans="1:6" ht="24" customHeight="1">
      <c r="A7" s="1706" t="s">
        <v>835</v>
      </c>
      <c r="B7" s="1026">
        <f ca="1">IF(C7&lt;B2,"已过期",1120050019)</f>
        <v>1120050019</v>
      </c>
      <c r="C7" s="2348">
        <v>43359</v>
      </c>
      <c r="D7" s="2351" t="s">
        <v>835</v>
      </c>
      <c r="E7" s="1026">
        <f ca="1">IF(F7&lt;B2,"已过期",2002110030)</f>
        <v>2002110030</v>
      </c>
      <c r="F7" s="1034">
        <v>46387</v>
      </c>
    </row>
    <row r="8" spans="1:6" ht="24" customHeight="1">
      <c r="A8" s="1706" t="s">
        <v>836</v>
      </c>
      <c r="B8" s="1026">
        <f ca="1">IF(C8&lt;B2,"已过期",1120000080)</f>
        <v>1120000080</v>
      </c>
      <c r="C8" s="2348">
        <v>43849</v>
      </c>
      <c r="D8" s="2351" t="s">
        <v>836</v>
      </c>
      <c r="E8" s="1026">
        <f ca="1">IF(F8&lt;B2,"已过期",2000110082)</f>
        <v>2000110082</v>
      </c>
      <c r="F8" s="1034">
        <v>46387</v>
      </c>
    </row>
    <row r="9" spans="1:6" ht="24" customHeight="1">
      <c r="A9" s="1706" t="s">
        <v>837</v>
      </c>
      <c r="B9" s="1026">
        <f ca="1">IF(C9&lt;B2,"已过期",1419970001)</f>
        <v>1419970001</v>
      </c>
      <c r="C9" s="2348">
        <v>43867</v>
      </c>
      <c r="D9" s="2351" t="s">
        <v>837</v>
      </c>
      <c r="E9" s="1026">
        <f ca="1">IF(F9&lt;B2,"已过期",2002110125)</f>
        <v>2002110125</v>
      </c>
      <c r="F9" s="1034">
        <v>47118</v>
      </c>
    </row>
    <row r="10" spans="1:6" ht="24" customHeight="1">
      <c r="A10" s="1706" t="s">
        <v>838</v>
      </c>
      <c r="B10" s="1026">
        <f ca="1">IF(C10&lt;B2,"已过期",1120060040)</f>
        <v>1120060040</v>
      </c>
      <c r="C10" s="2348">
        <v>43483</v>
      </c>
      <c r="D10" s="2351" t="s">
        <v>838</v>
      </c>
      <c r="E10" s="1026">
        <f ca="1">IF(F10&lt;B2,"已过期",2004110096)</f>
        <v>2004110096</v>
      </c>
      <c r="F10" s="1034">
        <v>47118</v>
      </c>
    </row>
    <row r="11" spans="1:6" ht="24" customHeight="1">
      <c r="A11" s="1706" t="s">
        <v>839</v>
      </c>
      <c r="B11" s="1026">
        <f ca="1">IF(C11&lt;B2,"已过期",1120100036)</f>
        <v>1120100036</v>
      </c>
      <c r="C11" s="2348">
        <v>43622</v>
      </c>
      <c r="D11" s="2351" t="s">
        <v>839</v>
      </c>
      <c r="E11" s="1026">
        <f ca="1">IF(F11&lt;B2,"已过期",2010110070)</f>
        <v>2010110070</v>
      </c>
      <c r="F11" s="1034">
        <v>47907</v>
      </c>
    </row>
    <row r="12" spans="1:6" ht="24" customHeight="1">
      <c r="A12" s="1706"/>
      <c r="B12" s="1026"/>
      <c r="C12" s="2348"/>
      <c r="D12" s="2351"/>
      <c r="E12" s="1026"/>
      <c r="F12" s="1026"/>
    </row>
    <row r="13" spans="1:6" ht="24" customHeight="1">
      <c r="A13" s="1706" t="s">
        <v>840</v>
      </c>
      <c r="B13" s="1026">
        <f ca="1">IF(C13&lt;B2,"已过期",1120070131)</f>
        <v>1120070131</v>
      </c>
      <c r="C13" s="2348">
        <v>43814</v>
      </c>
      <c r="D13" s="2351" t="s">
        <v>840</v>
      </c>
      <c r="E13" s="1026">
        <v>2014110011</v>
      </c>
      <c r="F13" s="1034">
        <v>49302</v>
      </c>
    </row>
    <row r="14" spans="1:6" ht="24" customHeight="1">
      <c r="A14" s="1706" t="s">
        <v>841</v>
      </c>
      <c r="B14" s="1026">
        <f ca="1">IF(C14&lt;B2,"已过期",1120130020)</f>
        <v>1120130020</v>
      </c>
      <c r="C14" s="2348">
        <v>43622</v>
      </c>
      <c r="D14" s="2351"/>
      <c r="E14" s="1026"/>
      <c r="F14" s="1026"/>
    </row>
    <row r="15" spans="1:6" ht="24" customHeight="1">
      <c r="A15" s="1707" t="s">
        <v>1149</v>
      </c>
      <c r="B15" s="1026">
        <v>1120070085</v>
      </c>
      <c r="C15" s="2348">
        <v>43814</v>
      </c>
      <c r="D15" s="2352" t="s">
        <v>1149</v>
      </c>
      <c r="E15" s="1026">
        <v>2004110128</v>
      </c>
      <c r="F15" s="1027">
        <v>47118</v>
      </c>
    </row>
    <row r="16" spans="1:6" ht="24" customHeight="1">
      <c r="A16" s="1706" t="s">
        <v>842</v>
      </c>
      <c r="B16" s="1026">
        <f ca="1">IF(C16&lt;B2,"已过期",1120140022)</f>
        <v>1120140022</v>
      </c>
      <c r="C16" s="2348">
        <v>44029</v>
      </c>
      <c r="D16" s="2351" t="s">
        <v>842</v>
      </c>
      <c r="E16" s="1026">
        <f ca="1">IF(F16&lt;B2,"已过期",2008110059)</f>
        <v>2008110059</v>
      </c>
      <c r="F16" s="1034">
        <v>47177</v>
      </c>
    </row>
    <row r="17" spans="1:7" ht="24" customHeight="1">
      <c r="A17" s="1706"/>
      <c r="B17" s="1026"/>
      <c r="C17" s="2348"/>
      <c r="D17" s="2351"/>
      <c r="E17" s="1026"/>
      <c r="F17" s="1034"/>
    </row>
    <row r="18" spans="1:7" ht="24" customHeight="1">
      <c r="A18" s="1706"/>
      <c r="B18" s="1026"/>
      <c r="C18" s="2348"/>
      <c r="D18" s="2351"/>
      <c r="E18" s="1026"/>
      <c r="F18" s="1034"/>
    </row>
    <row r="19" spans="1:7" ht="24" customHeight="1">
      <c r="A19" s="1706"/>
      <c r="B19" s="1026"/>
      <c r="C19" s="2348"/>
      <c r="D19" s="2351"/>
      <c r="E19" s="1026"/>
      <c r="F19" s="1026"/>
    </row>
    <row r="20" spans="1:7" ht="24" customHeight="1">
      <c r="A20" s="1706"/>
      <c r="B20" s="1026"/>
      <c r="C20" s="2348"/>
      <c r="D20" s="2351"/>
      <c r="E20" s="1026"/>
      <c r="F20" s="1026"/>
    </row>
    <row r="21" spans="1:7" ht="24" customHeight="1">
      <c r="A21" s="1706"/>
      <c r="B21" s="1026"/>
      <c r="C21" s="2348"/>
      <c r="D21" s="2351" t="s">
        <v>843</v>
      </c>
      <c r="E21" s="1026">
        <f ca="1">IF(F21&lt;B2,"已过期",2011110090)</f>
        <v>2011110090</v>
      </c>
      <c r="F21" s="1034">
        <v>48302</v>
      </c>
    </row>
    <row r="22" spans="1:7" ht="24" customHeight="1">
      <c r="A22" s="1706" t="s">
        <v>844</v>
      </c>
      <c r="B22" s="1026">
        <f ca="1">IF(C22&lt;B2,"已过期",1120020033)</f>
        <v>1120020033</v>
      </c>
      <c r="C22" s="2348">
        <v>43304</v>
      </c>
      <c r="D22" s="2351" t="s">
        <v>844</v>
      </c>
      <c r="E22" s="1026">
        <f ca="1">IF(F22&lt;B2,"已过期",2000110137)</f>
        <v>2000110137</v>
      </c>
      <c r="F22" s="1034">
        <v>46387</v>
      </c>
    </row>
    <row r="23" spans="1:7" ht="24" customHeight="1">
      <c r="A23" s="1706" t="s">
        <v>845</v>
      </c>
      <c r="B23" s="1026">
        <f ca="1">IF(C23&lt;B2,"已过期",1120130048)</f>
        <v>1120130048</v>
      </c>
      <c r="C23" s="2348">
        <v>43686</v>
      </c>
      <c r="D23" s="2351"/>
      <c r="E23" s="1026"/>
      <c r="F23" s="1026"/>
    </row>
    <row r="24" spans="1:7" s="1028" customFormat="1" ht="24" customHeight="1">
      <c r="A24" s="1707" t="s">
        <v>1334</v>
      </c>
      <c r="B24" s="1707" t="s">
        <v>1334</v>
      </c>
      <c r="C24" s="2349" t="s">
        <v>1334</v>
      </c>
      <c r="D24" s="2352" t="s">
        <v>1334</v>
      </c>
      <c r="E24" s="1707" t="s">
        <v>1334</v>
      </c>
      <c r="F24" s="1707" t="s">
        <v>1334</v>
      </c>
    </row>
    <row r="25" spans="1:7" ht="24" customHeight="1">
      <c r="A25" s="3008" t="s">
        <v>846</v>
      </c>
      <c r="B25" s="3008"/>
      <c r="C25" s="3008"/>
      <c r="D25" s="3008"/>
      <c r="E25" s="3008"/>
      <c r="F25" s="3008"/>
      <c r="G25" s="3008"/>
    </row>
    <row r="26" spans="1:7" s="1029" customFormat="1" ht="24" customHeight="1">
      <c r="A26" s="3009" t="s">
        <v>847</v>
      </c>
      <c r="B26" s="3009"/>
      <c r="C26" s="3010"/>
      <c r="D26" s="3011" t="s">
        <v>848</v>
      </c>
      <c r="E26" s="3009"/>
      <c r="F26" s="3009"/>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5" t="s">
        <v>1385</v>
      </c>
      <c r="F29" s="1206">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2017-11-23T02:03:42Z</dcterms:modified>
</cp:coreProperties>
</file>