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320" windowHeight="10428" tabRatio="875" firstSheet="13"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r:id="rId45"/>
    <sheet name="成本逼近法（015）" sheetId="76" state="hidden"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9" i="79" l="1"/>
  <c r="C14" i="66" l="1"/>
  <c r="I23" i="76" l="1"/>
  <c r="I3" i="59" l="1"/>
  <c r="L3" i="59"/>
  <c r="B27" i="79" l="1"/>
  <c r="C25" i="79" s="1"/>
  <c r="C21"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I20" i="79"/>
  <c r="C21" i="78"/>
  <c r="I11" i="78"/>
  <c r="I10" i="78" s="1"/>
  <c r="I9" i="78" s="1"/>
  <c r="G1" i="77"/>
  <c r="C21" i="77"/>
  <c r="I11" i="77"/>
  <c r="I10" i="77" s="1"/>
  <c r="I9" i="77" s="1"/>
  <c r="D14" i="66" l="1"/>
  <c r="B5" i="79"/>
  <c r="I17" i="78"/>
  <c r="I18" i="78"/>
  <c r="I19" i="78" s="1"/>
  <c r="I17" i="77"/>
  <c r="I18" i="77"/>
  <c r="I19" i="77" s="1"/>
  <c r="I23" i="78" l="1"/>
  <c r="B4" i="78" s="1"/>
  <c r="B2" i="78" s="1"/>
  <c r="I20" i="78"/>
  <c r="I23" i="77"/>
  <c r="B4" i="77" s="1"/>
  <c r="B2" i="77" s="1"/>
  <c r="I20" i="77"/>
  <c r="B5" i="78" l="1"/>
  <c r="B5" i="77"/>
  <c r="C21" i="76"/>
  <c r="I11" i="76"/>
  <c r="I10" i="76" s="1"/>
  <c r="I9" i="76" s="1"/>
  <c r="I17" i="76" l="1"/>
  <c r="I18" i="76"/>
  <c r="I19" i="76" s="1"/>
  <c r="I17" i="69"/>
  <c r="B4" i="76" l="1"/>
  <c r="B2" i="76" s="1"/>
  <c r="I20" i="76"/>
  <c r="B5" i="76" l="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F35" i="15"/>
  <c r="E12" i="67"/>
  <c r="F37" i="15"/>
  <c r="I3" i="65"/>
  <c r="F7" i="15"/>
  <c r="J36" i="15"/>
  <c r="F45" i="44"/>
  <c r="F40" i="15"/>
  <c r="E13" i="67"/>
  <c r="F12" i="67"/>
  <c r="M31" i="44"/>
  <c r="M26" i="15"/>
  <c r="J5" i="65"/>
  <c r="F37" i="44"/>
  <c r="F36" i="15"/>
  <c r="M11" i="44"/>
  <c r="J17" i="44"/>
  <c r="F9" i="15"/>
  <c r="F13" i="15"/>
  <c r="F43" i="44"/>
  <c r="C19" i="44"/>
  <c r="E10" i="67"/>
  <c r="B11" i="67"/>
  <c r="F38" i="15"/>
  <c r="M28" i="44"/>
  <c r="L47" i="15"/>
  <c r="N6" i="65"/>
  <c r="E14" i="67"/>
  <c r="J15" i="15"/>
  <c r="M28" i="15"/>
  <c r="J4" i="65"/>
  <c r="N7" i="65"/>
  <c r="B10" i="67"/>
  <c r="E9" i="67"/>
  <c r="E8" i="67"/>
  <c r="M29" i="44"/>
  <c r="L48" i="15"/>
  <c r="F8" i="15"/>
  <c r="M24" i="44"/>
  <c r="F11" i="67"/>
  <c r="F9" i="67"/>
  <c r="F41" i="15"/>
  <c r="F6" i="15"/>
  <c r="F15" i="44"/>
  <c r="M27" i="15"/>
  <c r="M29" i="15"/>
  <c r="B14" i="67"/>
  <c r="N5" i="65"/>
  <c r="I4" i="65"/>
  <c r="L49" i="44"/>
  <c r="C20" i="9"/>
  <c r="F46" i="44"/>
  <c r="M6" i="15"/>
  <c r="I6" i="65"/>
  <c r="M26" i="44"/>
  <c r="I5" i="65"/>
  <c r="B8" i="67"/>
  <c r="F9" i="44"/>
  <c r="M21" i="15"/>
  <c r="L48" i="44"/>
  <c r="F11" i="44"/>
  <c r="M25" i="44"/>
  <c r="J3" i="65"/>
  <c r="F13" i="67"/>
  <c r="N4" i="65"/>
  <c r="F43" i="15"/>
  <c r="F42" i="15"/>
  <c r="F8" i="44"/>
  <c r="F18" i="44"/>
  <c r="M10" i="44"/>
  <c r="M23" i="44"/>
  <c r="M23" i="15"/>
  <c r="M8" i="44"/>
  <c r="J6" i="65"/>
  <c r="F8" i="67"/>
  <c r="F14" i="67"/>
  <c r="F39" i="44"/>
  <c r="M30" i="44"/>
  <c r="F40" i="44"/>
  <c r="F16" i="15"/>
  <c r="B13" i="67"/>
  <c r="B12" i="67"/>
  <c r="M8" i="15"/>
  <c r="F38" i="44"/>
  <c r="F28" i="44"/>
  <c r="M9" i="15"/>
  <c r="M22" i="15"/>
  <c r="I7" i="65"/>
  <c r="B9" i="67"/>
  <c r="F26" i="15"/>
  <c r="E11" i="67"/>
  <c r="J7" i="65"/>
  <c r="M24" i="15"/>
  <c r="D20" i="9"/>
  <c r="F10" i="44"/>
  <c r="F10" i="67"/>
  <c r="N3" i="65"/>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C18" i="44"/>
  <c r="M17" i="15"/>
  <c r="C16" i="15"/>
  <c r="F33" i="44"/>
  <c r="F31" i="15"/>
  <c r="C17" i="15"/>
  <c r="E2" i="65"/>
  <c r="F58" i="15"/>
  <c r="M19" i="44"/>
  <c r="E3" i="6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C19" i="9"/>
  <c r="D19" i="9"/>
  <c r="C21"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6" i="44"/>
  <c r="C14" i="15"/>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<sst xmlns="http://schemas.openxmlformats.org/spreadsheetml/2006/main" count="8229" uniqueCount="3162">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</sst>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xf numFmtId="0" fontId="0" fillId="17" borderId="2" xfId="0" applyFill="1" applyBorder="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2061年1月12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6.2" thickBot="1">
      <c r="A72" s="2855" t="s">
        <v>2691</v>
      </c>
      <c r="B72" s="2861">
        <f>'预评函-3'!B21</f>
        <v>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C1" zoomScale="90" zoomScaleNormal="100" zoomScaleSheetLayoutView="90" workbookViewId="0">
      <selection activeCell="I19" sqref="I19"/>
    </sheetView>
  </sheetViews>
  <sheetFormatPr defaultColWidth="10" defaultRowHeight="15.6"/>
  <cols>
    <col min="1" max="1" width="15.33203125" style="1675" customWidth="1"/>
    <col min="2" max="2" width="11.33203125" style="1675" customWidth="1"/>
    <col min="3" max="3" width="12.6640625" style="1675" customWidth="1"/>
    <col min="4" max="4" width="13.4414062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62" t="str">
        <f>IF(B10="北京市","北京市",C10)&amp;F10&amp;B16&amp;"国有建设用地使用权"&amp;B9&amp;"预评估"</f>
        <v>出让国有建设用地使用权预评估</v>
      </c>
      <c r="C1" s="3263"/>
      <c r="D1" s="3263"/>
      <c r="E1" s="3263"/>
      <c r="F1" s="3263"/>
      <c r="G1" s="3263"/>
      <c r="H1" s="3263"/>
      <c r="I1" s="3264"/>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68" t="s">
        <v>1944</v>
      </c>
      <c r="E8" s="1828"/>
      <c r="F8" s="1656"/>
      <c r="G8" s="1644"/>
      <c r="H8" s="1644"/>
      <c r="I8" s="1691"/>
      <c r="J8" s="1678"/>
      <c r="K8" s="1758"/>
      <c r="L8" s="1707"/>
      <c r="M8" s="1707"/>
      <c r="N8" s="1678"/>
      <c r="O8" s="1679"/>
      <c r="P8" s="1678"/>
      <c r="Q8" s="1678"/>
      <c r="R8" s="1678"/>
      <c r="S8" s="1678"/>
      <c r="T8" s="1678"/>
      <c r="U8" s="1678"/>
    </row>
    <row r="9" spans="1:21" ht="16.2" thickBot="1">
      <c r="A9" s="1657" t="s">
        <v>1943</v>
      </c>
      <c r="B9" s="1658"/>
      <c r="C9" s="1659"/>
      <c r="D9" s="3269"/>
      <c r="E9" s="1658"/>
      <c r="F9" s="1731"/>
      <c r="G9" s="1726"/>
      <c r="H9" s="1726"/>
      <c r="I9" s="1727"/>
      <c r="J9" s="1678"/>
      <c r="K9" s="1758"/>
      <c r="L9" s="1707"/>
      <c r="M9" s="1707"/>
      <c r="N9" s="1678"/>
      <c r="O9" s="1679"/>
      <c r="P9" s="1678"/>
      <c r="Q9" s="1678"/>
      <c r="R9" s="1678"/>
      <c r="S9" s="1678"/>
      <c r="T9" s="1678"/>
      <c r="U9" s="1678"/>
    </row>
    <row r="10" spans="1:21" ht="16.2"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5"/>
      <c r="C12" s="3266"/>
      <c r="D12" s="3267"/>
      <c r="E12" s="1683" t="s">
        <v>2061</v>
      </c>
      <c r="F12" s="3283" t="s">
        <v>2890</v>
      </c>
      <c r="G12" s="3284"/>
      <c r="H12" s="3284"/>
      <c r="I12" s="3285"/>
      <c r="J12" s="1678"/>
      <c r="K12" s="1758"/>
      <c r="L12" s="1707"/>
      <c r="M12" s="1707"/>
      <c r="N12" s="1678"/>
      <c r="O12" s="1679"/>
      <c r="P12" s="1678"/>
      <c r="Q12" s="1678"/>
      <c r="R12" s="1678"/>
      <c r="S12" s="1678"/>
      <c r="T12" s="1678"/>
      <c r="U12" s="1678"/>
    </row>
    <row r="13" spans="1:21">
      <c r="A13" s="1671" t="s">
        <v>2059</v>
      </c>
      <c r="B13" s="3265"/>
      <c r="C13" s="3266"/>
      <c r="D13" s="3267"/>
      <c r="E13" s="1683" t="s">
        <v>2061</v>
      </c>
      <c r="F13" s="3283" t="s">
        <v>2891</v>
      </c>
      <c r="G13" s="3284"/>
      <c r="H13" s="3284"/>
      <c r="I13" s="3285"/>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6.8">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工业2061年1月12日</v>
      </c>
    </row>
    <row r="17" spans="1:21">
      <c r="A17" s="1747"/>
      <c r="B17" s="1666"/>
      <c r="C17" s="1667" t="s">
        <v>1955</v>
      </c>
      <c r="D17" s="1684"/>
      <c r="E17" s="1684"/>
      <c r="F17" s="1684"/>
      <c r="G17" s="1684"/>
      <c r="H17" s="1684"/>
      <c r="I17" s="3217">
        <v>58818</v>
      </c>
      <c r="J17" s="1678"/>
      <c r="K17" s="2419" t="str">
        <f>CONCATENATE(K16,L16,M16,N16,O16,P16,Q16,R16,S16,T16,,U16)</f>
        <v>工业2061年1月12日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39.4</v>
      </c>
      <c r="J19" s="1678"/>
      <c r="K19" s="1758"/>
      <c r="L19" s="1707"/>
      <c r="M19" s="1707"/>
      <c r="N19" s="1678"/>
      <c r="O19" s="1679"/>
      <c r="P19" s="1678"/>
      <c r="Q19" s="1678"/>
      <c r="R19" s="1678"/>
      <c r="S19" s="1678"/>
      <c r="T19" s="1678"/>
      <c r="U19" s="1678"/>
    </row>
    <row r="20" spans="1:21">
      <c r="A20" s="1770"/>
      <c r="B20" s="1771"/>
      <c r="C20" s="1772" t="s">
        <v>2060</v>
      </c>
      <c r="D20" s="3280"/>
      <c r="E20" s="3281"/>
      <c r="F20" s="3281"/>
      <c r="G20" s="3281"/>
      <c r="H20" s="3281"/>
      <c r="I20" s="3282"/>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70" t="s">
        <v>1998</v>
      </c>
      <c r="F21" s="3271"/>
      <c r="G21" s="3271"/>
      <c r="H21" s="3271"/>
      <c r="I21" s="3272"/>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70" t="s">
        <v>2892</v>
      </c>
      <c r="F22" s="3271"/>
      <c r="G22" s="3271"/>
      <c r="H22" s="3271"/>
      <c r="I22" s="3272"/>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3" t="s">
        <v>1966</v>
      </c>
      <c r="C24" s="3274"/>
      <c r="D24" s="3275" t="s">
        <v>1967</v>
      </c>
      <c r="E24" s="3276"/>
      <c r="F24" s="1692" t="s">
        <v>1968</v>
      </c>
      <c r="G24" s="1678"/>
      <c r="H24" s="1678"/>
      <c r="I24" s="1691"/>
      <c r="J24" s="1678"/>
      <c r="K24" s="3261"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6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6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88" t="s">
        <v>2001</v>
      </c>
      <c r="B31" s="1748" t="s">
        <v>2002</v>
      </c>
      <c r="C31" s="3286"/>
      <c r="D31" s="3287"/>
      <c r="E31" s="1678"/>
      <c r="F31" s="1678"/>
      <c r="G31" s="1678"/>
      <c r="H31" s="1678"/>
      <c r="I31" s="1691"/>
      <c r="J31" s="1678"/>
      <c r="K31" s="2422"/>
      <c r="L31" s="1678"/>
      <c r="M31" s="1678"/>
      <c r="N31" s="1678"/>
      <c r="O31" s="1678"/>
      <c r="P31" s="1678"/>
      <c r="Q31" s="1678"/>
      <c r="R31" s="1678"/>
      <c r="S31" s="1678"/>
      <c r="T31" s="1678"/>
      <c r="U31" s="1678"/>
    </row>
    <row r="32" spans="1:21">
      <c r="A32" s="328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9"/>
      <c r="B34" s="1645" t="s">
        <v>2005</v>
      </c>
      <c r="C34" s="3290"/>
      <c r="D34" s="3291"/>
      <c r="E34" s="1678"/>
      <c r="F34" s="1678"/>
      <c r="G34" s="1678"/>
      <c r="H34" s="1678"/>
      <c r="I34" s="1691"/>
      <c r="J34" s="1678"/>
      <c r="K34" s="2422"/>
      <c r="L34" s="1678"/>
      <c r="M34" s="1678"/>
      <c r="N34" s="1678"/>
      <c r="O34" s="1678"/>
      <c r="P34" s="1678"/>
      <c r="Q34" s="1678"/>
      <c r="R34" s="1678"/>
      <c r="S34" s="1678"/>
      <c r="T34" s="1678"/>
      <c r="U34" s="1678"/>
    </row>
    <row r="35" spans="1:21">
      <c r="A35" s="3292" t="s">
        <v>847</v>
      </c>
      <c r="B35" s="1706"/>
      <c r="C35" s="1760" t="str">
        <f>IF(B35="场地平整","——","具体情况：")</f>
        <v>具体情况：</v>
      </c>
      <c r="D35" s="3294"/>
      <c r="E35" s="3295"/>
      <c r="F35" s="3295"/>
      <c r="G35" s="3295"/>
      <c r="H35" s="3295"/>
      <c r="I35" s="3296"/>
      <c r="J35" s="1678"/>
      <c r="K35" s="1759"/>
      <c r="L35" s="1707"/>
      <c r="M35" s="1707"/>
      <c r="N35" s="1678"/>
      <c r="O35" s="1679"/>
      <c r="P35" s="1678"/>
      <c r="Q35" s="1678"/>
      <c r="R35" s="1678"/>
      <c r="S35" s="1678"/>
      <c r="T35" s="1678"/>
      <c r="U35" s="1678"/>
    </row>
    <row r="36" spans="1:21">
      <c r="A36" s="3288"/>
      <c r="B36" s="3297" t="s">
        <v>2054</v>
      </c>
      <c r="C36" s="3298"/>
      <c r="D36" s="1776"/>
      <c r="E36" s="3299"/>
      <c r="F36" s="3299"/>
      <c r="G36" s="1671" t="str">
        <f>IF(B35="场地未平整","估价结果处理","")</f>
        <v/>
      </c>
      <c r="H36" s="3300"/>
      <c r="I36" s="3300"/>
      <c r="J36" s="1678"/>
      <c r="K36" s="1759"/>
      <c r="L36" s="1707"/>
      <c r="M36" s="1707"/>
      <c r="N36" s="1678"/>
      <c r="O36" s="1679"/>
      <c r="P36" s="1678"/>
      <c r="Q36" s="1678"/>
      <c r="R36" s="1678"/>
      <c r="S36" s="1678"/>
      <c r="T36" s="1678"/>
      <c r="U36" s="1678"/>
    </row>
    <row r="37" spans="1:21" ht="31.2">
      <c r="A37" s="3288"/>
      <c r="B37" s="327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8"/>
      <c r="B38" s="3278"/>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89"/>
      <c r="B39" s="327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0" t="s">
        <v>1985</v>
      </c>
      <c r="T40" s="1715" t="str">
        <f>NUMBERSTRING(7-K40,1)&amp;"通"</f>
        <v>七通</v>
      </c>
      <c r="U40" s="1678"/>
    </row>
    <row r="41" spans="1:21">
      <c r="A41" s="1647"/>
      <c r="B41" s="3293" t="s">
        <v>1721</v>
      </c>
      <c r="C41" s="3293"/>
      <c r="D41" s="3293"/>
      <c r="E41" s="329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0"/>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46.8">
      <c r="A3" s="3301"/>
      <c r="B3" s="3301"/>
      <c r="C3" s="3301"/>
      <c r="D3" s="3302"/>
      <c r="E3" s="330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312" t="s">
        <v>203</v>
      </c>
      <c r="B2" s="3312"/>
      <c r="C2" s="3312"/>
      <c r="D2" s="1960" t="s">
        <v>204</v>
      </c>
      <c r="E2" s="106" t="s">
        <v>205</v>
      </c>
      <c r="F2" s="1969"/>
      <c r="G2" s="1194"/>
      <c r="H2" s="1195"/>
      <c r="I2" s="1196" t="s">
        <v>857</v>
      </c>
      <c r="J2" s="1969"/>
      <c r="K2" s="1969"/>
      <c r="L2" s="1969"/>
    </row>
    <row r="3" spans="1:16" ht="15" thickBot="1">
      <c r="A3" s="3313" t="s">
        <v>206</v>
      </c>
      <c r="B3" s="3313"/>
      <c r="C3" s="3313"/>
      <c r="D3" s="107">
        <f>'数据-基础表'!AY6</f>
        <v>15557.09</v>
      </c>
      <c r="E3" s="107">
        <f>'数据-基础表'!AZ5</f>
        <v>10288.000000000002</v>
      </c>
      <c r="F3" s="1969"/>
      <c r="G3" s="280" t="s">
        <v>858</v>
      </c>
      <c r="H3" s="275" t="s">
        <v>859</v>
      </c>
      <c r="I3" s="1961">
        <f>ROUND('数据-基础表'!B3/'数据-基础表'!A3,2)</f>
        <v>0.66</v>
      </c>
      <c r="J3" s="1969"/>
      <c r="K3" s="1969"/>
      <c r="L3" s="1969"/>
    </row>
    <row r="4" spans="1:16" ht="14.4">
      <c r="A4" s="3314"/>
      <c r="B4" s="3315"/>
      <c r="C4" s="3316"/>
      <c r="D4" s="108" t="s">
        <v>204</v>
      </c>
      <c r="E4" s="109" t="s">
        <v>205</v>
      </c>
      <c r="F4" s="1969"/>
      <c r="G4" s="1197"/>
      <c r="H4" s="275" t="s">
        <v>860</v>
      </c>
      <c r="I4" s="1961">
        <f>ROUND(SUMIF('数据-基础表'!I9:AS9,"地上",'数据-基础表'!I5:AS5)/'数据-基础表'!A3,2)</f>
        <v>0.66</v>
      </c>
      <c r="J4" s="1969"/>
      <c r="K4" s="1969"/>
      <c r="L4" s="1969"/>
    </row>
    <row r="5" spans="1:16" ht="14.4">
      <c r="A5" s="110" t="s">
        <v>207</v>
      </c>
      <c r="B5" s="3317" t="s">
        <v>230</v>
      </c>
      <c r="C5" s="3317"/>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7" t="s">
        <v>208</v>
      </c>
      <c r="C6" s="3317"/>
      <c r="D6" s="111">
        <f>ROUND($D$3*E6/$E$3,2)</f>
        <v>15557.09</v>
      </c>
      <c r="E6" s="112">
        <f>E3-E5</f>
        <v>10288.000000000002</v>
      </c>
      <c r="F6" s="1969"/>
      <c r="G6" s="1197"/>
      <c r="H6" s="275" t="s">
        <v>860</v>
      </c>
      <c r="I6" s="1961">
        <f>ROUND(F31/D31,2)</f>
        <v>0.66</v>
      </c>
      <c r="J6" s="1969"/>
      <c r="K6" s="1969"/>
      <c r="L6" s="1969"/>
    </row>
    <row r="7" spans="1:16" ht="14.4">
      <c r="A7" s="3309"/>
      <c r="B7" s="3310"/>
      <c r="C7" s="3311"/>
      <c r="D7" s="108" t="s">
        <v>204</v>
      </c>
      <c r="E7" s="114" t="s">
        <v>231</v>
      </c>
      <c r="F7" s="1969"/>
      <c r="G7" s="1152" t="s">
        <v>1645</v>
      </c>
      <c r="H7" s="1153"/>
      <c r="I7" s="1831"/>
      <c r="J7" s="1969"/>
      <c r="K7" s="1969"/>
      <c r="L7" s="1969"/>
    </row>
    <row r="8" spans="1:16" ht="14.4">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15557.09</v>
      </c>
      <c r="E16" s="120">
        <f>SUM(E8:E15)</f>
        <v>10288.000000000002</v>
      </c>
      <c r="F16" s="1969"/>
      <c r="G16" s="1971"/>
      <c r="H16" s="968" t="s">
        <v>219</v>
      </c>
      <c r="I16" s="969"/>
      <c r="J16" s="1969"/>
      <c r="K16" s="3303" t="s">
        <v>2566</v>
      </c>
      <c r="L16" s="3304"/>
      <c r="M16" s="3304"/>
      <c r="N16" s="3304"/>
      <c r="O16" s="3304"/>
      <c r="P16" s="3305"/>
    </row>
    <row r="17" spans="1:19" ht="14.4">
      <c r="A17" s="121" t="s">
        <v>216</v>
      </c>
      <c r="B17" s="122" t="s">
        <v>217</v>
      </c>
      <c r="C17" s="2283" t="s">
        <v>2313</v>
      </c>
      <c r="D17" s="108" t="s">
        <v>204</v>
      </c>
      <c r="E17" s="124" t="s">
        <v>205</v>
      </c>
      <c r="F17" s="125"/>
      <c r="G17" s="1362"/>
      <c r="H17" s="970" t="s">
        <v>218</v>
      </c>
      <c r="I17" s="971" t="s">
        <v>2312</v>
      </c>
      <c r="J17" s="1969"/>
      <c r="K17" s="3306" t="s">
        <v>2567</v>
      </c>
      <c r="L17" s="3307"/>
      <c r="M17" s="3308"/>
      <c r="N17" s="3306" t="s">
        <v>2568</v>
      </c>
      <c r="O17" s="3307"/>
      <c r="P17" s="3308"/>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ht="14.4">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ht="14.4">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ht="14.4">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工业</v>
      </c>
      <c r="B6" s="2322" t="str">
        <f>IF(A6=0,"","经营性")</f>
        <v>经营性</v>
      </c>
      <c r="C6" s="173" t="s">
        <v>981</v>
      </c>
      <c r="D6" s="2293">
        <f>SUMIF(项目基本情况!D$15:I$15,C6,项目基本情况!D$18:I$18)</f>
        <v>50</v>
      </c>
      <c r="E6" s="2294">
        <f>IF(B6="","",SUMIF(项目基本情况!D$15:I$15,C6,项目基本情况!D$17:I$17))</f>
        <v>58818</v>
      </c>
      <c r="F6" s="174">
        <f>SUMIF(项目基本情况!D$15:I$15,C6,项目基本情况!D$19:I$19)</f>
        <v>39.4</v>
      </c>
      <c r="G6" s="175">
        <f>IF(ISERROR(ROUND(POWER(1+H6,D6-F6)*(POWER(1+H6,F6)-1)/(POWER(1+H6,D6)-1),3)),0,ROUND(POWER(1+H6,D6-F6)*(POWER(1+H6,F6)-1)/(POWER(1+H6,D6)-1),3))</f>
        <v>0.95099999999999996</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0.89900000000000002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0.95099999999999996</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0.89900000000000002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318" t="s">
        <v>1663</v>
      </c>
      <c r="B1" s="3319"/>
      <c r="C1" s="3319"/>
      <c r="D1" s="3319"/>
      <c r="E1" s="3319"/>
      <c r="F1" s="3319"/>
      <c r="G1" s="331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3.2">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3.2">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7.6">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3.8"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8.8">
      <c r="A8" s="1225"/>
      <c r="B8" s="1227" t="s">
        <v>2547</v>
      </c>
      <c r="C8" s="3034" t="s">
        <v>2917</v>
      </c>
      <c r="D8" s="1995"/>
      <c r="E8" s="1995"/>
      <c r="F8" s="1540"/>
      <c r="G8" s="1540"/>
      <c r="H8" s="1993"/>
      <c r="I8" s="1993"/>
      <c r="J8" s="1993"/>
      <c r="K8" s="1993"/>
      <c r="L8" s="1993"/>
      <c r="M8" s="1993"/>
      <c r="N8" s="1993"/>
      <c r="O8" s="1993"/>
      <c r="P8" s="1993"/>
      <c r="Q8" s="1993"/>
      <c r="R8" s="1993"/>
    </row>
    <row r="9" spans="1:18" ht="43.2">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2547</v>
      </c>
      <c r="G20" s="1005" t="str">
        <f>G6</f>
        <v>估价对象所在区域基础设施水平</v>
      </c>
    </row>
    <row r="21" spans="1:7" ht="28.8">
      <c r="A21" s="2553"/>
      <c r="B21" s="1227" t="s">
        <v>2546</v>
      </c>
      <c r="C21" s="1005" t="str">
        <f>C7</f>
        <v>估价对象所在区域公共配套设施齐备情况</v>
      </c>
      <c r="D21" s="1994"/>
      <c r="E21" s="2550"/>
      <c r="F21" s="1243" t="s">
        <v>1661</v>
      </c>
      <c r="G21" s="3038"/>
    </row>
    <row r="22" spans="1:7" ht="28.8">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ColWidth="14.6640625" defaultRowHeight="14.4"/>
  <cols>
    <col min="1" max="1" width="24.33203125" customWidth="1"/>
  </cols>
  <sheetData>
    <row r="1" spans="1:10" ht="15.6">
      <c r="A1" s="2996" t="s">
        <v>2844</v>
      </c>
      <c r="B1" s="2996">
        <f>SUM(B14:B23)</f>
        <v>0</v>
      </c>
      <c r="C1" s="2997"/>
      <c r="D1" s="2997"/>
      <c r="E1" s="2997"/>
      <c r="F1" s="2997"/>
    </row>
    <row r="2" spans="1:10" ht="15.6">
      <c r="A2" s="2996" t="s">
        <v>2845</v>
      </c>
      <c r="B2" s="2996">
        <f>SUM(C14:C23)</f>
        <v>9549</v>
      </c>
      <c r="C2" s="2997"/>
      <c r="D2" s="2997"/>
      <c r="E2" s="2997"/>
      <c r="F2" s="2997"/>
    </row>
    <row r="3" spans="1:10" ht="15.6">
      <c r="A3" s="2996" t="s">
        <v>2846</v>
      </c>
      <c r="B3" s="2998">
        <f>项目基本情况!D3</f>
        <v>44435</v>
      </c>
      <c r="C3" s="2997"/>
      <c r="D3" s="2997"/>
      <c r="E3" s="2997"/>
      <c r="F3" s="2997"/>
    </row>
    <row r="4" spans="1:10" ht="31.2">
      <c r="A4" s="2996" t="s">
        <v>2847</v>
      </c>
      <c r="B4" s="2996" t="s">
        <v>2848</v>
      </c>
      <c r="C4" s="2996" t="s">
        <v>2849</v>
      </c>
      <c r="D4" s="2996" t="s">
        <v>2850</v>
      </c>
      <c r="E4" s="2997"/>
      <c r="F4" s="2997"/>
    </row>
    <row r="5" spans="1:10" ht="15.6">
      <c r="A5" s="2996" t="s">
        <v>2851</v>
      </c>
      <c r="B5" s="2996">
        <f>SUM(D14:D23)</f>
        <v>1066.6233</v>
      </c>
      <c r="C5" s="2996" t="e">
        <f>ROUND(B5*10000/$B$1,0)</f>
        <v>#DIV/0!</v>
      </c>
      <c r="D5" s="2996">
        <f>ROUND(B5*10000/$B$2,0)</f>
        <v>1117</v>
      </c>
      <c r="E5" s="2997"/>
      <c r="F5" s="2997"/>
    </row>
    <row r="6" spans="1:10" ht="15.6">
      <c r="A6" s="2996" t="s">
        <v>2852</v>
      </c>
      <c r="B6" s="2996">
        <f>SUM(G14:G23)</f>
        <v>0</v>
      </c>
      <c r="C6" s="2996" t="e">
        <f t="shared" ref="C6:C8" si="0">ROUND(B6*10000/$B$1,0)</f>
        <v>#DIV/0!</v>
      </c>
      <c r="D6" s="2996">
        <f t="shared" ref="D6:D8" si="1">ROUND(B6*10000/$B$2,0)</f>
        <v>0</v>
      </c>
      <c r="E6" s="2997"/>
      <c r="F6" s="2997"/>
    </row>
    <row r="7" spans="1:10" ht="15.6">
      <c r="A7" s="2996" t="s">
        <v>2853</v>
      </c>
      <c r="B7" s="2996">
        <f>SUM(H14:H23)</f>
        <v>0</v>
      </c>
      <c r="C7" s="2996" t="e">
        <f t="shared" si="0"/>
        <v>#DIV/0!</v>
      </c>
      <c r="D7" s="2996">
        <f t="shared" si="1"/>
        <v>0</v>
      </c>
      <c r="E7" s="2997"/>
      <c r="F7" s="2997"/>
    </row>
    <row r="8" spans="1:10" ht="15.6">
      <c r="A8" s="2996" t="s">
        <v>2854</v>
      </c>
      <c r="B8" s="2996">
        <f>SUM(I14:I23)</f>
        <v>0</v>
      </c>
      <c r="C8" s="2996" t="e">
        <f t="shared" si="0"/>
        <v>#DIV/0!</v>
      </c>
      <c r="D8" s="2996">
        <f t="shared" si="1"/>
        <v>0</v>
      </c>
      <c r="E8" s="2997"/>
      <c r="F8" s="2997"/>
    </row>
    <row r="9" spans="1:10" ht="15.6">
      <c r="A9" s="2996" t="s">
        <v>2855</v>
      </c>
      <c r="B9" s="2999"/>
      <c r="C9" s="2997"/>
      <c r="D9" s="2997"/>
      <c r="E9" s="2997"/>
      <c r="F9" s="2997"/>
    </row>
    <row r="10" spans="1:10" ht="15.6">
      <c r="A10" s="2996" t="s">
        <v>2856</v>
      </c>
      <c r="B10" s="2999"/>
      <c r="C10" s="2997"/>
      <c r="D10" s="2997"/>
      <c r="E10" s="2997"/>
      <c r="F10" s="2997"/>
    </row>
    <row r="11" spans="1:10" ht="15.6">
      <c r="A11" s="2996" t="s">
        <v>2873</v>
      </c>
      <c r="B11" s="2999"/>
      <c r="C11" s="2997"/>
      <c r="D11" s="2997"/>
      <c r="E11" s="2997"/>
      <c r="F11" s="2997"/>
    </row>
    <row r="12" spans="1:10" ht="15.6">
      <c r="A12" s="2997"/>
      <c r="B12" s="2997"/>
      <c r="C12" s="2997"/>
      <c r="D12" s="2997"/>
      <c r="E12" s="2997"/>
      <c r="F12" s="2997"/>
    </row>
    <row r="13" spans="1:10" ht="31.2">
      <c r="A13" s="3002" t="s">
        <v>2872</v>
      </c>
      <c r="B13" s="3000" t="s">
        <v>2844</v>
      </c>
      <c r="C13" s="3000" t="s">
        <v>2845</v>
      </c>
      <c r="D13" s="3000" t="s">
        <v>2857</v>
      </c>
      <c r="E13" s="2996" t="s">
        <v>2871</v>
      </c>
      <c r="F13" s="2996" t="s">
        <v>2850</v>
      </c>
      <c r="G13" s="3000" t="s">
        <v>2858</v>
      </c>
      <c r="H13" s="3000" t="s">
        <v>2859</v>
      </c>
      <c r="I13" s="3000" t="s">
        <v>2860</v>
      </c>
      <c r="J13" s="3222" t="s">
        <v>3151</v>
      </c>
    </row>
    <row r="14" spans="1:10" ht="15.6">
      <c r="A14" s="3003" t="s">
        <v>2870</v>
      </c>
      <c r="B14" s="3000"/>
      <c r="C14" s="3000">
        <f>'成本逼近法（014）'!G1</f>
        <v>9549</v>
      </c>
      <c r="D14" s="3000">
        <f>'成本逼近法（014）'!B2</f>
        <v>1066.6233</v>
      </c>
      <c r="E14" s="3000" t="e">
        <f>ROUND(D14*10000/B14,0)</f>
        <v>#DIV/0!</v>
      </c>
      <c r="F14" s="3000">
        <f>ROUND(D14*10000/C14,0)</f>
        <v>1117</v>
      </c>
      <c r="G14" s="3000" t="str">
        <f>结果表!C44</f>
        <v>——</v>
      </c>
      <c r="H14" s="3000" t="str">
        <f>结果表!C45</f>
        <v>——</v>
      </c>
      <c r="I14" s="3000" t="str">
        <f>结果表!C46</f>
        <v>——</v>
      </c>
      <c r="J14">
        <f>ROUND(F14*666.67/10000,2)</f>
        <v>74.47</v>
      </c>
    </row>
    <row r="15" spans="1:10" ht="15.6">
      <c r="A15" s="3003" t="s">
        <v>2861</v>
      </c>
      <c r="B15" s="3000"/>
      <c r="C15" s="3000"/>
      <c r="D15" s="3000"/>
      <c r="E15" s="3000" t="e">
        <f t="shared" ref="E15:E23" si="2">ROUND(D15*10000/B15,0)</f>
        <v>#DIV/0!</v>
      </c>
      <c r="F15" s="3000" t="e">
        <f t="shared" ref="F15:F23" si="3">ROUND(D15*10000/C15,0)</f>
        <v>#DIV/0!</v>
      </c>
      <c r="G15" s="3001"/>
      <c r="H15" s="3001"/>
      <c r="I15" s="3004"/>
      <c r="J15" t="e">
        <f t="shared" ref="J15:J17" si="4">ROUND(F15*666.67/10000,2)</f>
        <v>#DIV/0!</v>
      </c>
    </row>
    <row r="16" spans="1:10" ht="15.6">
      <c r="A16" s="3003" t="s">
        <v>2862</v>
      </c>
      <c r="B16" s="3000"/>
      <c r="C16" s="3000"/>
      <c r="D16" s="3000"/>
      <c r="E16" s="3000" t="e">
        <f t="shared" si="2"/>
        <v>#DIV/0!</v>
      </c>
      <c r="F16" s="3000" t="e">
        <f t="shared" si="3"/>
        <v>#DIV/0!</v>
      </c>
      <c r="G16" s="3001"/>
      <c r="H16" s="3001"/>
      <c r="I16" s="3004"/>
      <c r="J16" t="e">
        <f t="shared" si="4"/>
        <v>#DIV/0!</v>
      </c>
    </row>
    <row r="17" spans="1:10" ht="15.6">
      <c r="A17" s="3003" t="s">
        <v>2863</v>
      </c>
      <c r="B17" s="3000"/>
      <c r="C17" s="3000"/>
      <c r="D17" s="3000"/>
      <c r="E17" s="3000" t="e">
        <f t="shared" si="2"/>
        <v>#DIV/0!</v>
      </c>
      <c r="F17" s="3000" t="e">
        <f t="shared" si="3"/>
        <v>#DIV/0!</v>
      </c>
      <c r="G17" s="3001"/>
      <c r="H17" s="3001"/>
      <c r="I17" s="3004"/>
      <c r="J17" t="e">
        <f t="shared" si="4"/>
        <v>#DIV/0!</v>
      </c>
    </row>
    <row r="18" spans="1:10" ht="15.6">
      <c r="A18" s="3003" t="s">
        <v>2864</v>
      </c>
      <c r="B18" s="3004"/>
      <c r="C18" s="3004"/>
      <c r="D18" s="3004"/>
      <c r="E18" s="3000" t="e">
        <f t="shared" si="2"/>
        <v>#DIV/0!</v>
      </c>
      <c r="F18" s="3000" t="e">
        <f t="shared" si="3"/>
        <v>#DIV/0!</v>
      </c>
      <c r="G18" s="3004"/>
      <c r="H18" s="3004"/>
      <c r="I18" s="3004"/>
    </row>
    <row r="19" spans="1:10" ht="15.6">
      <c r="A19" s="3003" t="s">
        <v>2865</v>
      </c>
      <c r="B19" s="3004"/>
      <c r="C19" s="3004"/>
      <c r="D19" s="3004"/>
      <c r="E19" s="3000" t="e">
        <f t="shared" si="2"/>
        <v>#DIV/0!</v>
      </c>
      <c r="F19" s="3000" t="e">
        <f t="shared" si="3"/>
        <v>#DIV/0!</v>
      </c>
      <c r="G19" s="3004"/>
      <c r="H19" s="3004"/>
      <c r="I19" s="3004"/>
    </row>
    <row r="20" spans="1:10" ht="15.6">
      <c r="A20" s="3003" t="s">
        <v>2866</v>
      </c>
      <c r="B20" s="3004"/>
      <c r="C20" s="3004"/>
      <c r="D20" s="3004"/>
      <c r="E20" s="3000" t="e">
        <f t="shared" si="2"/>
        <v>#DIV/0!</v>
      </c>
      <c r="F20" s="3000" t="e">
        <f t="shared" si="3"/>
        <v>#DIV/0!</v>
      </c>
      <c r="G20" s="3004"/>
      <c r="H20" s="3004"/>
      <c r="I20" s="3004"/>
    </row>
    <row r="21" spans="1:10" ht="15.6">
      <c r="A21" s="3003" t="s">
        <v>2867</v>
      </c>
      <c r="B21" s="3004"/>
      <c r="C21" s="3004"/>
      <c r="D21" s="3004"/>
      <c r="E21" s="3000" t="e">
        <f t="shared" si="2"/>
        <v>#DIV/0!</v>
      </c>
      <c r="F21" s="3000" t="e">
        <f t="shared" si="3"/>
        <v>#DIV/0!</v>
      </c>
      <c r="G21" s="3004"/>
      <c r="H21" s="3004"/>
      <c r="I21" s="3004"/>
    </row>
    <row r="22" spans="1:10" ht="15.6">
      <c r="A22" s="3003" t="s">
        <v>2868</v>
      </c>
      <c r="B22" s="3004"/>
      <c r="C22" s="3004"/>
      <c r="D22" s="3004"/>
      <c r="E22" s="3000" t="e">
        <f t="shared" si="2"/>
        <v>#DIV/0!</v>
      </c>
      <c r="F22" s="3000" t="e">
        <f t="shared" si="3"/>
        <v>#DIV/0!</v>
      </c>
      <c r="G22" s="3004"/>
      <c r="H22" s="3004"/>
      <c r="I22" s="3004"/>
    </row>
    <row r="23" spans="1:10" ht="15.6">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65" t="str">
        <f>项目基本情况!K2</f>
        <v>出让国有建设用地使用权</v>
      </c>
      <c r="B2" s="3366"/>
      <c r="C2" s="3367"/>
      <c r="D2" s="3367"/>
      <c r="E2" s="3367"/>
      <c r="F2" s="3367"/>
      <c r="G2" s="3366"/>
      <c r="H2" s="3366"/>
      <c r="I2" s="3368"/>
      <c r="J2" s="2015"/>
      <c r="K2" s="2014"/>
      <c r="L2" s="2014"/>
      <c r="M2" s="2014"/>
      <c r="N2" s="2014"/>
      <c r="O2" s="2014"/>
      <c r="P2" s="2014"/>
      <c r="Q2" s="2014"/>
      <c r="R2" s="2014"/>
      <c r="S2" s="2014"/>
      <c r="T2" s="2014"/>
      <c r="U2" s="2014"/>
      <c r="V2" s="2014"/>
    </row>
    <row r="3" spans="1:22" ht="13.8">
      <c r="A3" s="3376" t="s">
        <v>298</v>
      </c>
      <c r="B3" s="3377"/>
      <c r="C3" s="3377"/>
      <c r="D3" s="3377"/>
      <c r="E3" s="3377"/>
      <c r="F3" s="3377"/>
      <c r="G3" s="3377"/>
      <c r="H3" s="3377"/>
      <c r="I3" s="3377"/>
      <c r="J3" s="2015"/>
      <c r="K3" s="2014"/>
      <c r="L3" s="2014"/>
      <c r="M3" s="2014"/>
      <c r="N3" s="2014"/>
      <c r="O3" s="2014"/>
      <c r="P3" s="2014"/>
      <c r="Q3" s="2014"/>
      <c r="R3" s="2014"/>
      <c r="S3" s="2014"/>
      <c r="T3" s="2014"/>
      <c r="U3" s="2014"/>
      <c r="V3" s="2014"/>
    </row>
    <row r="4" spans="1:22" ht="14.4">
      <c r="A4" s="258" t="s">
        <v>299</v>
      </c>
      <c r="B4" s="259" t="s">
        <v>300</v>
      </c>
      <c r="C4" s="260" t="s">
        <v>3129</v>
      </c>
      <c r="D4" s="260" t="s">
        <v>3129</v>
      </c>
      <c r="E4" s="3340" t="s">
        <v>301</v>
      </c>
      <c r="F4" s="3382"/>
      <c r="G4" s="3382"/>
      <c r="H4" s="3382"/>
      <c r="I4" s="3341"/>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3.8">
      <c r="A5" s="3369" t="s">
        <v>302</v>
      </c>
      <c r="B5" s="3370">
        <v>25</v>
      </c>
      <c r="C5" s="3378"/>
      <c r="D5" s="3381"/>
      <c r="E5" s="261" t="s">
        <v>303</v>
      </c>
      <c r="F5" s="262"/>
      <c r="G5" s="262"/>
      <c r="H5" s="262"/>
      <c r="I5" s="263"/>
      <c r="J5" s="2015"/>
      <c r="K5" s="2014"/>
      <c r="L5" s="2014"/>
      <c r="M5" s="2014"/>
      <c r="N5" s="2014"/>
      <c r="O5" s="2014"/>
      <c r="P5" s="2014"/>
      <c r="Q5" s="2014"/>
      <c r="R5" s="2014"/>
      <c r="S5" s="2014"/>
      <c r="T5" s="2014"/>
      <c r="U5" s="2014"/>
      <c r="V5" s="2014"/>
    </row>
    <row r="6" spans="1:22" ht="13.8">
      <c r="A6" s="3369"/>
      <c r="B6" s="3370"/>
      <c r="C6" s="3379"/>
      <c r="D6" s="3381"/>
      <c r="E6" s="261" t="s">
        <v>304</v>
      </c>
      <c r="F6" s="262"/>
      <c r="G6" s="262"/>
      <c r="H6" s="262"/>
      <c r="I6" s="263"/>
      <c r="J6" s="2015"/>
      <c r="K6" s="2014"/>
      <c r="L6" s="2014"/>
      <c r="M6" s="2014"/>
      <c r="N6" s="2014"/>
      <c r="O6" s="2014"/>
      <c r="P6" s="2014"/>
      <c r="Q6" s="2014"/>
      <c r="R6" s="2014"/>
      <c r="S6" s="2014"/>
      <c r="T6" s="2014"/>
      <c r="U6" s="2014"/>
      <c r="V6" s="2014"/>
    </row>
    <row r="7" spans="1:22" ht="13.8">
      <c r="A7" s="3369"/>
      <c r="B7" s="3370"/>
      <c r="C7" s="3380"/>
      <c r="D7" s="3381"/>
      <c r="E7" s="261" t="s">
        <v>305</v>
      </c>
      <c r="F7" s="262"/>
      <c r="G7" s="262"/>
      <c r="H7" s="262"/>
      <c r="I7" s="263"/>
      <c r="J7" s="2015"/>
      <c r="K7" s="2014"/>
      <c r="L7" s="2014"/>
      <c r="M7" s="2014"/>
      <c r="N7" s="2014"/>
      <c r="O7" s="2014"/>
      <c r="P7" s="2014"/>
      <c r="Q7" s="2014"/>
      <c r="R7" s="2014"/>
      <c r="S7" s="2014"/>
      <c r="T7" s="2014"/>
      <c r="U7" s="2014"/>
      <c r="V7" s="2014"/>
    </row>
    <row r="8" spans="1:22" ht="13.8">
      <c r="A8" s="3369" t="s">
        <v>306</v>
      </c>
      <c r="B8" s="3370">
        <v>15</v>
      </c>
      <c r="C8" s="3378"/>
      <c r="D8" s="3381"/>
      <c r="E8" s="261" t="s">
        <v>307</v>
      </c>
      <c r="F8" s="262"/>
      <c r="G8" s="262"/>
      <c r="H8" s="262"/>
      <c r="I8" s="263"/>
      <c r="J8" s="2015"/>
      <c r="K8" s="2014"/>
      <c r="L8" s="2014"/>
      <c r="M8" s="2014"/>
      <c r="N8" s="2014"/>
      <c r="O8" s="2014"/>
      <c r="P8" s="2014"/>
      <c r="Q8" s="2014"/>
      <c r="R8" s="2014"/>
      <c r="S8" s="2014"/>
      <c r="T8" s="2014"/>
      <c r="U8" s="2014"/>
      <c r="V8" s="2014"/>
    </row>
    <row r="9" spans="1:22" ht="13.8">
      <c r="A9" s="3369"/>
      <c r="B9" s="3370"/>
      <c r="C9" s="3380"/>
      <c r="D9" s="3381"/>
      <c r="E9" s="261" t="s">
        <v>308</v>
      </c>
      <c r="F9" s="262"/>
      <c r="G9" s="262"/>
      <c r="H9" s="262"/>
      <c r="I9" s="263"/>
      <c r="J9" s="2015"/>
      <c r="K9" s="2014"/>
      <c r="L9" s="2014"/>
      <c r="M9" s="2014"/>
      <c r="N9" s="2014"/>
      <c r="O9" s="2014"/>
      <c r="P9" s="2014"/>
      <c r="Q9" s="2014"/>
      <c r="R9" s="2014"/>
      <c r="S9" s="2014"/>
      <c r="T9" s="2014"/>
      <c r="U9" s="2014"/>
      <c r="V9" s="2014"/>
    </row>
    <row r="10" spans="1:22" ht="13.8">
      <c r="A10" s="3369" t="s">
        <v>309</v>
      </c>
      <c r="B10" s="3370">
        <v>15</v>
      </c>
      <c r="C10" s="3378"/>
      <c r="D10" s="3381"/>
      <c r="E10" s="261" t="s">
        <v>310</v>
      </c>
      <c r="F10" s="262"/>
      <c r="G10" s="262"/>
      <c r="H10" s="262"/>
      <c r="I10" s="263"/>
      <c r="J10" s="2015"/>
      <c r="K10" s="2014"/>
      <c r="L10" s="2014"/>
      <c r="M10" s="2014"/>
      <c r="N10" s="2014"/>
      <c r="O10" s="2014"/>
      <c r="P10" s="2014"/>
      <c r="Q10" s="2014"/>
      <c r="R10" s="2014"/>
      <c r="S10" s="2014"/>
      <c r="T10" s="2014"/>
      <c r="U10" s="2014"/>
      <c r="V10" s="2014"/>
    </row>
    <row r="11" spans="1:22" ht="13.8">
      <c r="A11" s="3369"/>
      <c r="B11" s="3370"/>
      <c r="C11" s="3380"/>
      <c r="D11" s="3381"/>
      <c r="E11" s="261" t="s">
        <v>311</v>
      </c>
      <c r="F11" s="262"/>
      <c r="G11" s="262"/>
      <c r="H11" s="262"/>
      <c r="I11" s="263"/>
      <c r="J11" s="2015"/>
      <c r="K11" s="2014"/>
      <c r="L11" s="2014"/>
      <c r="M11" s="2014"/>
      <c r="N11" s="2014"/>
      <c r="O11" s="2014"/>
      <c r="P11" s="2014"/>
      <c r="Q11" s="2014"/>
      <c r="R11" s="2014"/>
      <c r="S11" s="2014"/>
      <c r="T11" s="2014"/>
      <c r="U11" s="2014"/>
      <c r="V11" s="2014"/>
    </row>
    <row r="12" spans="1:22" ht="13.8">
      <c r="A12" s="3369" t="s">
        <v>312</v>
      </c>
      <c r="B12" s="3370">
        <v>15</v>
      </c>
      <c r="C12" s="3378"/>
      <c r="D12" s="3381"/>
      <c r="E12" s="261" t="s">
        <v>313</v>
      </c>
      <c r="F12" s="262"/>
      <c r="G12" s="262"/>
      <c r="H12" s="262"/>
      <c r="I12" s="263"/>
      <c r="J12" s="2015"/>
      <c r="K12" s="2014"/>
      <c r="L12" s="2014"/>
      <c r="M12" s="2014"/>
      <c r="N12" s="2014"/>
      <c r="O12" s="2014"/>
      <c r="P12" s="2014"/>
      <c r="Q12" s="2014"/>
      <c r="R12" s="2014"/>
      <c r="S12" s="2014"/>
      <c r="T12" s="2014"/>
      <c r="U12" s="2014"/>
      <c r="V12" s="2014"/>
    </row>
    <row r="13" spans="1:22" ht="13.8">
      <c r="A13" s="3369"/>
      <c r="B13" s="3370"/>
      <c r="C13" s="3380"/>
      <c r="D13" s="3381"/>
      <c r="E13" s="261" t="s">
        <v>314</v>
      </c>
      <c r="F13" s="262"/>
      <c r="G13" s="262"/>
      <c r="H13" s="262"/>
      <c r="I13" s="263"/>
      <c r="J13" s="2015"/>
      <c r="K13" s="2014"/>
      <c r="L13" s="2014"/>
      <c r="M13" s="2014"/>
      <c r="N13" s="2014"/>
      <c r="O13" s="2014"/>
      <c r="P13" s="2014"/>
      <c r="Q13" s="2014"/>
      <c r="R13" s="2014"/>
      <c r="S13" s="2014"/>
      <c r="T13" s="2014"/>
      <c r="U13" s="2014"/>
      <c r="V13" s="2014"/>
    </row>
    <row r="14" spans="1:22" ht="13.8">
      <c r="A14" s="3369" t="s">
        <v>315</v>
      </c>
      <c r="B14" s="3370">
        <v>30</v>
      </c>
      <c r="C14" s="3378">
        <v>1</v>
      </c>
      <c r="D14" s="3381">
        <v>1</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69"/>
      <c r="B15" s="3370"/>
      <c r="C15" s="3379"/>
      <c r="D15" s="3381"/>
      <c r="E15" s="261" t="s">
        <v>317</v>
      </c>
      <c r="F15" s="262"/>
      <c r="G15" s="262"/>
      <c r="H15" s="262"/>
      <c r="I15" s="263"/>
      <c r="J15" s="2015"/>
      <c r="K15" s="2014"/>
      <c r="L15" s="2014"/>
      <c r="M15" s="2014"/>
      <c r="N15" s="2014"/>
      <c r="O15" s="2014"/>
      <c r="P15" s="2014"/>
      <c r="Q15" s="2014"/>
      <c r="R15" s="2014"/>
      <c r="S15" s="2014"/>
      <c r="T15" s="2014"/>
      <c r="U15" s="2014"/>
      <c r="V15" s="2014"/>
    </row>
    <row r="16" spans="1:22" ht="13.8">
      <c r="A16" s="3369"/>
      <c r="B16" s="3370"/>
      <c r="C16" s="3380"/>
      <c r="D16" s="3381"/>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84"/>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7.399999999999999">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 thickBot="1">
      <c r="A33" s="298" t="s">
        <v>340</v>
      </c>
      <c r="B33" s="1381" t="s">
        <v>1690</v>
      </c>
      <c r="C33" s="264" t="e">
        <f ca="1">ROUND(C32*10000/'数据-汇总表'!E3,0)</f>
        <v>#REF!</v>
      </c>
      <c r="D33" s="1382" t="s">
        <v>1691</v>
      </c>
      <c r="E33" s="334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1692</v>
      </c>
      <c r="C34" s="264" t="e">
        <f ca="1">ROUND(C32*10000/'数据-汇总表'!D3,0)</f>
        <v>#REF!</v>
      </c>
      <c r="D34" s="1384" t="s">
        <v>1691</v>
      </c>
      <c r="E34" s="334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t="e">
        <f ca="1">ROUND(C32/('数据-汇总表'!D3/666.67),0)</f>
        <v>#REF!</v>
      </c>
      <c r="D35" s="1387" t="s">
        <v>1693</v>
      </c>
      <c r="E35" s="3344"/>
      <c r="F35" s="301" t="s">
        <v>342</v>
      </c>
      <c r="G35" s="982"/>
      <c r="H35" s="981" t="s">
        <v>343</v>
      </c>
      <c r="I35" s="311"/>
      <c r="J35" s="2014"/>
      <c r="K35" s="3348" t="s">
        <v>350</v>
      </c>
      <c r="L35" s="3348" t="s">
        <v>351</v>
      </c>
      <c r="M35" s="1260" t="s">
        <v>352</v>
      </c>
      <c r="N35" s="3348" t="s">
        <v>353</v>
      </c>
      <c r="O35" s="3348" t="s">
        <v>354</v>
      </c>
      <c r="P35" s="2014"/>
      <c r="V35" s="2014"/>
    </row>
    <row r="36" spans="1:26" ht="16.5" customHeight="1">
      <c r="A36" s="303" t="s">
        <v>344</v>
      </c>
      <c r="B36" s="304" t="s">
        <v>333</v>
      </c>
      <c r="C36" s="305" t="s">
        <v>345</v>
      </c>
      <c r="D36" s="305" t="s">
        <v>346</v>
      </c>
      <c r="E36" s="306" t="s">
        <v>347</v>
      </c>
      <c r="F36" s="311"/>
      <c r="G36" s="311"/>
      <c r="H36" s="311"/>
      <c r="I36" s="311"/>
      <c r="J36" s="2016"/>
      <c r="K36" s="3349"/>
      <c r="L36" s="3349"/>
      <c r="M36" s="1262" t="s">
        <v>355</v>
      </c>
      <c r="N36" s="3349"/>
      <c r="O36" s="3349"/>
      <c r="P36" s="2014"/>
      <c r="V36" s="2014"/>
    </row>
    <row r="37" spans="1:26" ht="16.5" customHeight="1" thickBot="1">
      <c r="A37" s="1256" t="s">
        <v>348</v>
      </c>
      <c r="B37" s="307"/>
      <c r="C37" s="294"/>
      <c r="D37" s="294"/>
      <c r="E37" s="295"/>
      <c r="F37" s="311"/>
      <c r="G37" s="311"/>
      <c r="H37" s="311"/>
      <c r="I37" s="311"/>
      <c r="J37" s="2016"/>
      <c r="K37" s="3350"/>
      <c r="L37" s="3350"/>
      <c r="M37" s="1263"/>
      <c r="N37" s="3350"/>
      <c r="O37" s="3350"/>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25" t="str">
        <f>MID(A44,3,LEN(A44)-2)</f>
        <v/>
      </c>
      <c r="L39" s="3326"/>
      <c r="M39" s="3326"/>
      <c r="N39" s="3327"/>
      <c r="O39" s="1389" t="str">
        <f>C44</f>
        <v>——</v>
      </c>
      <c r="P39" s="2014"/>
      <c r="V39" s="2014"/>
    </row>
    <row r="40" spans="1:26" ht="18" thickBot="1">
      <c r="A40" s="104" t="s">
        <v>873</v>
      </c>
      <c r="B40" s="311"/>
      <c r="C40" s="311"/>
      <c r="D40" s="311"/>
      <c r="E40" s="311"/>
      <c r="F40" s="311"/>
      <c r="G40" s="311"/>
      <c r="H40" s="311"/>
      <c r="I40" s="311"/>
      <c r="J40" s="2016"/>
      <c r="K40" s="3325" t="str">
        <f t="shared" ref="K40:K41" si="0">MID(A45,3,LEN(A45)-2)</f>
        <v/>
      </c>
      <c r="L40" s="3326"/>
      <c r="M40" s="3326"/>
      <c r="N40" s="3327"/>
      <c r="O40" s="1389" t="str">
        <f>C45</f>
        <v>——</v>
      </c>
      <c r="P40" s="2014"/>
      <c r="V40" s="2014"/>
    </row>
    <row r="41" spans="1:26" ht="16.2" thickBot="1">
      <c r="A41" s="312" t="s">
        <v>356</v>
      </c>
      <c r="B41" s="313"/>
      <c r="C41" s="314" t="s">
        <v>357</v>
      </c>
      <c r="D41" s="315" t="s">
        <v>358</v>
      </c>
      <c r="E41" s="315" t="s">
        <v>359</v>
      </c>
      <c r="F41" s="316" t="s">
        <v>360</v>
      </c>
      <c r="G41" s="311"/>
      <c r="H41" s="311"/>
      <c r="I41" s="311"/>
      <c r="J41" s="2016"/>
      <c r="K41" s="3325" t="str">
        <f t="shared" si="0"/>
        <v/>
      </c>
      <c r="L41" s="3326"/>
      <c r="M41" s="3326"/>
      <c r="N41" s="3327"/>
      <c r="O41" s="1389" t="str">
        <f>C46</f>
        <v>——</v>
      </c>
      <c r="P41" s="2014"/>
      <c r="V41" s="2014"/>
    </row>
    <row r="42" spans="1:26" ht="31.2">
      <c r="A42" s="3385" t="s">
        <v>2067</v>
      </c>
      <c r="B42" s="3386"/>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30">
      <c r="A43" s="3395" t="s">
        <v>2730</v>
      </c>
      <c r="B43" s="3396"/>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30.6" thickBot="1">
      <c r="A44" s="3385" t="str">
        <f>IF(OR(项目基本情况!E8="抵押价格",项目基本情况!E8="已注销及未注销"),"3.抵押价格","——")</f>
        <v>——</v>
      </c>
      <c r="B44" s="3386"/>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3.8">
      <c r="A45" s="3390" t="str">
        <f>IF(项目基本情况!E8="已注销及未注销","4.抵押担保权已注销时的抵押价格",IF(项目基本情况!E8="已注销","3.抵押担保权已注销时的抵押价格","——"))</f>
        <v>——</v>
      </c>
      <c r="B45" s="339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87" t="str">
        <f>IF(项目基本情况!E9="抵押净值",IF(A45="——","4.抵押净值","5.抵押净值"),"——")</f>
        <v>——</v>
      </c>
      <c r="B46" s="338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3" t="s">
        <v>374</v>
      </c>
      <c r="B63" s="3354"/>
      <c r="C63" s="3355"/>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2" t="s">
        <v>378</v>
      </c>
      <c r="B64" s="3393"/>
      <c r="C64" s="3393"/>
      <c r="D64" s="3393"/>
      <c r="E64" s="3393"/>
      <c r="F64" s="3393"/>
      <c r="G64" s="339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89" t="s">
        <v>386</v>
      </c>
      <c r="B66" s="3360"/>
      <c r="C66" s="3360"/>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29" t="s">
        <v>385</v>
      </c>
      <c r="M66" s="3330"/>
      <c r="N66" s="2423"/>
      <c r="O66" s="2424"/>
      <c r="P66" s="2425"/>
      <c r="Q66" s="2014"/>
      <c r="R66" s="2014"/>
      <c r="S66" s="2014"/>
      <c r="T66" s="2014"/>
      <c r="U66" s="2014"/>
      <c r="V66" s="2014"/>
    </row>
    <row r="67" spans="1:22" ht="25.5" customHeight="1">
      <c r="A67" s="352" t="s">
        <v>390</v>
      </c>
      <c r="B67" s="3372" t="s">
        <v>391</v>
      </c>
      <c r="C67" s="3372"/>
      <c r="D67" s="353">
        <v>0</v>
      </c>
      <c r="E67" s="41" t="s">
        <v>392</v>
      </c>
      <c r="F67" s="62" t="s">
        <v>21</v>
      </c>
      <c r="G67" s="3356"/>
      <c r="H67" s="311"/>
      <c r="I67" s="1288"/>
      <c r="J67" s="2021"/>
      <c r="K67" s="1962">
        <v>2</v>
      </c>
      <c r="L67" s="3328" t="s">
        <v>389</v>
      </c>
      <c r="M67" s="3328"/>
      <c r="N67" s="1321">
        <f>'数据-取费表'!B2</f>
        <v>44435</v>
      </c>
      <c r="O67" s="1321"/>
      <c r="P67" s="1321"/>
      <c r="Q67" s="2014"/>
      <c r="R67" s="2014"/>
      <c r="S67" s="2014"/>
      <c r="T67" s="2014"/>
      <c r="U67" s="2014"/>
      <c r="V67" s="2014"/>
    </row>
    <row r="68" spans="1:22" ht="25.5" customHeight="1">
      <c r="A68" s="354"/>
      <c r="B68" s="3372" t="s">
        <v>394</v>
      </c>
      <c r="C68" s="3372"/>
      <c r="D68" s="355"/>
      <c r="E68" s="77"/>
      <c r="F68" s="356"/>
      <c r="G68" s="3357"/>
      <c r="H68" s="311"/>
      <c r="I68" s="1288"/>
      <c r="J68" s="2021"/>
      <c r="K68" s="1962">
        <v>3</v>
      </c>
      <c r="L68" s="3328" t="s">
        <v>393</v>
      </c>
      <c r="M68" s="3328"/>
      <c r="N68" s="1289" t="e">
        <f ca="1">C42</f>
        <v>#REF!</v>
      </c>
      <c r="O68" s="1289"/>
      <c r="P68" s="1289"/>
      <c r="Q68" s="2014"/>
      <c r="R68" s="2014"/>
      <c r="S68" s="2014"/>
      <c r="T68" s="2014"/>
      <c r="U68" s="2014"/>
      <c r="V68" s="2014"/>
    </row>
    <row r="69" spans="1:22" ht="12" customHeight="1">
      <c r="A69" s="357"/>
      <c r="B69" s="3372" t="s">
        <v>395</v>
      </c>
      <c r="C69" s="3372"/>
      <c r="D69" s="358"/>
      <c r="E69" s="73"/>
      <c r="F69" s="356"/>
      <c r="G69" s="3358"/>
      <c r="H69" s="311"/>
      <c r="I69" s="1288"/>
      <c r="J69" s="2021"/>
      <c r="K69" s="1290">
        <v>4</v>
      </c>
      <c r="L69" s="3334" t="s">
        <v>2883</v>
      </c>
      <c r="M69" s="3335"/>
      <c r="N69" s="1291" t="str">
        <f>C44</f>
        <v>——</v>
      </c>
      <c r="O69" s="1291"/>
      <c r="P69" s="1291"/>
      <c r="Q69" s="2014"/>
      <c r="R69" s="2014"/>
      <c r="S69" s="2014"/>
      <c r="T69" s="2014"/>
      <c r="U69" s="2014"/>
      <c r="V69" s="2014"/>
    </row>
    <row r="70" spans="1:22" ht="24" customHeight="1">
      <c r="A70" s="359" t="s">
        <v>396</v>
      </c>
      <c r="B70" s="3372" t="s">
        <v>397</v>
      </c>
      <c r="C70" s="3372"/>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71" t="s">
        <v>405</v>
      </c>
      <c r="C71" s="3383"/>
      <c r="D71" s="358" t="e">
        <f ca="1">ROUND(D63*'数据-取费表'!B41/(1+'数据-取费表'!C42),0)</f>
        <v>#REF!</v>
      </c>
      <c r="E71" s="17" t="s">
        <v>398</v>
      </c>
      <c r="F71" s="360">
        <f>'数据-取费表'!B41</f>
        <v>0</v>
      </c>
      <c r="G71" s="361"/>
      <c r="H71" s="311"/>
      <c r="I71" s="1288"/>
      <c r="J71" s="2021"/>
      <c r="K71" s="3012" t="s">
        <v>399</v>
      </c>
      <c r="L71" s="3336" t="s">
        <v>400</v>
      </c>
      <c r="M71" s="3336"/>
      <c r="N71" s="3012" t="s">
        <v>401</v>
      </c>
      <c r="O71" s="3012" t="s">
        <v>402</v>
      </c>
      <c r="P71" s="3012" t="s">
        <v>403</v>
      </c>
      <c r="Q71" s="2014"/>
      <c r="R71" s="2014"/>
      <c r="S71" s="2014"/>
      <c r="T71" s="2014"/>
      <c r="U71" s="2014"/>
      <c r="V71" s="2014"/>
    </row>
    <row r="72" spans="1:22" ht="12" customHeight="1">
      <c r="A72" s="359" t="s">
        <v>407</v>
      </c>
      <c r="B72" s="3371" t="s">
        <v>408</v>
      </c>
      <c r="C72" s="3383"/>
      <c r="D72" s="358" t="e">
        <f ca="1">C86</f>
        <v>#REF!</v>
      </c>
      <c r="E72" s="73" t="s">
        <v>409</v>
      </c>
      <c r="F72" s="360">
        <f>'数据-取费表'!B41</f>
        <v>0</v>
      </c>
      <c r="G72" s="361"/>
      <c r="H72" s="1294"/>
      <c r="I72" s="1288"/>
      <c r="J72" s="2021"/>
      <c r="K72" s="1962">
        <v>1</v>
      </c>
      <c r="L72" s="3333" t="s">
        <v>406</v>
      </c>
      <c r="M72" s="3333"/>
      <c r="N72" s="1292" t="e">
        <f ca="1">D66</f>
        <v>#REF!</v>
      </c>
      <c r="O72" s="1845" t="str">
        <f>E66</f>
        <v>销售额×税（费）率</v>
      </c>
      <c r="P72" s="1293">
        <f>F66</f>
        <v>0</v>
      </c>
      <c r="Q72" s="2014"/>
      <c r="R72" s="2014"/>
      <c r="S72" s="2014"/>
      <c r="T72" s="2014"/>
      <c r="U72" s="2014"/>
      <c r="V72" s="2014"/>
    </row>
    <row r="73" spans="1:22" ht="24" customHeight="1">
      <c r="A73" s="3359" t="s">
        <v>411</v>
      </c>
      <c r="B73" s="3360"/>
      <c r="C73" s="3360"/>
      <c r="D73" s="362">
        <f>IF(H73="个人住宅",0,ROUND(D63*I73,0))</f>
        <v>0</v>
      </c>
      <c r="E73" s="17" t="s">
        <v>412</v>
      </c>
      <c r="F73" s="360" t="str">
        <f>IF(H73="正常",I73,"免征")</f>
        <v>免征</v>
      </c>
      <c r="G73" s="361"/>
      <c r="H73" s="191" t="s">
        <v>2455</v>
      </c>
      <c r="I73" s="360">
        <f>'数据-取费表'!B49</f>
        <v>0</v>
      </c>
      <c r="J73" s="2021"/>
      <c r="K73" s="1962">
        <v>2</v>
      </c>
      <c r="L73" s="3333" t="s">
        <v>410</v>
      </c>
      <c r="M73" s="3333"/>
      <c r="N73" s="1292">
        <f t="shared" ref="N73:P74" si="1">D73</f>
        <v>0</v>
      </c>
      <c r="O73" s="1845" t="str">
        <f t="shared" si="1"/>
        <v>销售额×税（费）率</v>
      </c>
      <c r="P73" s="1293" t="str">
        <f t="shared" si="1"/>
        <v>免征</v>
      </c>
      <c r="Q73" s="2014"/>
      <c r="R73" s="2014"/>
      <c r="S73" s="2014"/>
      <c r="T73" s="2014"/>
      <c r="U73" s="2014"/>
      <c r="V73" s="2014"/>
    </row>
    <row r="74" spans="1:22" ht="25.2">
      <c r="A74" s="3359" t="s">
        <v>415</v>
      </c>
      <c r="B74" s="3360"/>
      <c r="C74" s="3360"/>
      <c r="D74" s="362" t="e">
        <f ca="1">IF(H74="个人住宅",D75,D76)</f>
        <v>#REF!</v>
      </c>
      <c r="E74" s="17" t="s">
        <v>416</v>
      </c>
      <c r="F74" s="360" t="str">
        <f>IF(H74="正常",F76,"免征")</f>
        <v>——</v>
      </c>
      <c r="G74" s="983" t="s">
        <v>417</v>
      </c>
      <c r="H74" s="363" t="s">
        <v>413</v>
      </c>
      <c r="I74" s="42"/>
      <c r="J74" s="2021"/>
      <c r="K74" s="1962">
        <v>3</v>
      </c>
      <c r="L74" s="3333" t="s">
        <v>414</v>
      </c>
      <c r="M74" s="3333"/>
      <c r="N74" s="1292" t="e">
        <f t="shared" ca="1" si="1"/>
        <v>#REF!</v>
      </c>
      <c r="O74" s="1845" t="str">
        <f t="shared" si="1"/>
        <v>增值额×税（费）率</v>
      </c>
      <c r="P74" s="1295" t="str">
        <f t="shared" si="1"/>
        <v>——</v>
      </c>
      <c r="Q74" s="2014"/>
      <c r="R74" s="2014"/>
      <c r="S74" s="2014"/>
      <c r="T74" s="2014"/>
      <c r="U74" s="2014"/>
      <c r="V74" s="2014"/>
    </row>
    <row r="75" spans="1:22" ht="24">
      <c r="A75" s="359" t="s">
        <v>418</v>
      </c>
      <c r="B75" s="3340" t="s">
        <v>419</v>
      </c>
      <c r="C75" s="3341"/>
      <c r="D75" s="364">
        <v>0</v>
      </c>
      <c r="E75" s="41" t="s">
        <v>420</v>
      </c>
      <c r="F75" s="365"/>
      <c r="G75" s="361"/>
      <c r="H75" s="42"/>
      <c r="I75" s="42"/>
      <c r="J75" s="2021"/>
      <c r="K75" s="3005">
        <f>IF(H77="非个人房产","",4)</f>
        <v>4</v>
      </c>
      <c r="L75" s="3333" t="str">
        <f>IF(H77="非个人房产","——","个人所得税")</f>
        <v>个人所得税</v>
      </c>
      <c r="M75" s="3333"/>
      <c r="N75" s="1296" t="e">
        <f ca="1">D77</f>
        <v>#REF!</v>
      </c>
      <c r="O75" s="1858" t="str">
        <f>E77</f>
        <v>销售额×税（费）率</v>
      </c>
      <c r="P75" s="1297">
        <f>F77</f>
        <v>0.01</v>
      </c>
      <c r="Q75" s="2014"/>
      <c r="R75" s="2014"/>
      <c r="S75" s="2014"/>
      <c r="T75" s="2014"/>
      <c r="U75" s="2014"/>
      <c r="V75" s="2014"/>
    </row>
    <row r="76" spans="1:22" ht="25.2">
      <c r="A76" s="359" t="s">
        <v>396</v>
      </c>
      <c r="B76" s="3340" t="s">
        <v>422</v>
      </c>
      <c r="C76" s="3382"/>
      <c r="D76" s="362" t="e">
        <f ca="1">IF(H76="转让取得",C99,C115)</f>
        <v>#REF!</v>
      </c>
      <c r="E76" s="17" t="s">
        <v>423</v>
      </c>
      <c r="F76" s="53" t="s">
        <v>21</v>
      </c>
      <c r="G76" s="361"/>
      <c r="H76" s="363" t="s">
        <v>424</v>
      </c>
      <c r="I76" s="42"/>
      <c r="J76" s="2021"/>
      <c r="K76" s="3005" t="str">
        <f>IF(项目基本情况!K6="上海银行",IF(K75="",4,K75+1),"")</f>
        <v/>
      </c>
      <c r="L76" s="3321" t="str">
        <f>IF(项目基本情况!K6="上海银行","其他处置费用","")</f>
        <v/>
      </c>
      <c r="M76" s="3322"/>
      <c r="N76" s="1292" t="str">
        <f>IF(项目基本情况!K6="上海银行",N89,"")</f>
        <v/>
      </c>
      <c r="O76" s="3323" t="str">
        <f>IF(项目基本情况!K6="上海银行","包含处置中涉及的律师、诉讼、拍卖、评估等费用","")</f>
        <v/>
      </c>
      <c r="P76" s="3324"/>
      <c r="Q76" s="2014"/>
      <c r="R76" s="2014"/>
      <c r="S76" s="2014"/>
      <c r="T76" s="2014"/>
      <c r="U76" s="2014"/>
      <c r="V76" s="2014"/>
    </row>
    <row r="77" spans="1:22" ht="27" thickBot="1">
      <c r="A77" s="3351" t="s">
        <v>426</v>
      </c>
      <c r="B77" s="3352"/>
      <c r="C77" s="3352"/>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47">
        <f>IF(AND(K75="",K76=""),4,IF(项目基本情况!K6="上海银行",K76+1,K75+1))</f>
        <v>5</v>
      </c>
      <c r="L77" s="3333"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47"/>
      <c r="L78" s="3333"/>
      <c r="M78" s="3011" t="s">
        <v>425</v>
      </c>
      <c r="N78" s="1298"/>
      <c r="O78" s="1299" t="str">
        <f ca="1">NUMBERSTRING(INT(O77*10000),2)&amp;"元整"</f>
        <v>零元整</v>
      </c>
      <c r="P78" s="1300"/>
      <c r="Q78" s="2014"/>
      <c r="R78" s="2014"/>
      <c r="S78" s="2014"/>
      <c r="T78" s="2014"/>
      <c r="U78" s="2014"/>
      <c r="V78" s="2014"/>
    </row>
    <row r="79" spans="1:22" ht="13.8" thickBot="1">
      <c r="A79" s="3337" t="s">
        <v>427</v>
      </c>
      <c r="B79" s="3337"/>
      <c r="C79" s="3337"/>
      <c r="D79" s="3337"/>
      <c r="E79" s="3337"/>
      <c r="F79" s="42"/>
      <c r="G79" s="42"/>
      <c r="H79" s="1003"/>
      <c r="I79" s="311"/>
      <c r="J79" s="2021"/>
      <c r="K79" s="3331">
        <f>K77+1</f>
        <v>6</v>
      </c>
      <c r="L79" s="3333" t="s">
        <v>2886</v>
      </c>
      <c r="M79" s="3011" t="s">
        <v>421</v>
      </c>
      <c r="N79" s="1298"/>
      <c r="O79" s="1299" t="e">
        <f ca="1">N69-O77</f>
        <v>#VALUE!</v>
      </c>
      <c r="P79" s="1300"/>
      <c r="Q79" s="2014"/>
      <c r="R79" s="2014"/>
      <c r="S79" s="2014"/>
      <c r="T79" s="2014"/>
      <c r="U79" s="2014"/>
      <c r="V79" s="2014"/>
    </row>
    <row r="80" spans="1:22" ht="13.2">
      <c r="A80" s="3338" t="s">
        <v>428</v>
      </c>
      <c r="B80" s="3339"/>
      <c r="C80" s="994"/>
      <c r="D80" s="994" t="s">
        <v>429</v>
      </c>
      <c r="E80" s="370" t="s">
        <v>430</v>
      </c>
      <c r="F80" s="42"/>
      <c r="G80" s="42"/>
      <c r="H80" s="1003"/>
      <c r="I80" s="311"/>
      <c r="J80" s="2014"/>
      <c r="K80" s="3332"/>
      <c r="L80" s="3333"/>
      <c r="M80" s="3011" t="s">
        <v>425</v>
      </c>
      <c r="N80" s="1298"/>
      <c r="O80" s="1299" t="e">
        <f ca="1">NUMBERSTRING(INT(O79*10000),2)&amp;"元整"</f>
        <v>#VALUE!</v>
      </c>
      <c r="P80" s="1300"/>
      <c r="Q80" s="2014"/>
      <c r="R80" s="2014"/>
      <c r="S80" s="2014"/>
      <c r="T80" s="2014"/>
      <c r="U80" s="2014"/>
      <c r="V80" s="2014"/>
    </row>
    <row r="81" spans="1:26" ht="13.8" thickBot="1">
      <c r="A81" s="381" t="s">
        <v>1823</v>
      </c>
      <c r="B81" s="371" t="s">
        <v>431</v>
      </c>
      <c r="C81" s="372" t="e">
        <f ca="1">ROUND((C82+C83)/(1+'数据-取费表'!C42),0)</f>
        <v>#REF!</v>
      </c>
      <c r="D81" s="373"/>
      <c r="E81" s="374"/>
      <c r="F81" s="42"/>
      <c r="G81" s="42"/>
      <c r="H81" s="1003"/>
      <c r="I81" s="311"/>
      <c r="J81" s="2014"/>
      <c r="K81" s="3005">
        <f>K79+1</f>
        <v>7</v>
      </c>
      <c r="L81" s="3345" t="s">
        <v>2887</v>
      </c>
      <c r="M81" s="3346"/>
      <c r="N81" s="1302"/>
      <c r="O81" s="1303" t="e">
        <f ca="1">ROUND(O79*10000/'数据-汇总表'!E3,0)</f>
        <v>#VALUE!</v>
      </c>
      <c r="P81" s="1304"/>
      <c r="Q81" s="2014"/>
      <c r="R81" s="2014"/>
      <c r="S81" s="2014"/>
      <c r="T81" s="2014"/>
      <c r="U81" s="2014"/>
      <c r="V81" s="2014"/>
    </row>
    <row r="82" spans="1:26" ht="13.8"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20"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25.2">
      <c r="A84" s="381" t="s">
        <v>1826</v>
      </c>
      <c r="B84" s="382" t="s">
        <v>434</v>
      </c>
      <c r="C84" s="383">
        <v>2000</v>
      </c>
      <c r="D84" s="384" t="s">
        <v>19</v>
      </c>
      <c r="E84" s="3052" t="s">
        <v>2942</v>
      </c>
      <c r="F84" s="42"/>
      <c r="G84" s="42"/>
      <c r="H84" s="1003"/>
      <c r="I84" s="311"/>
      <c r="J84" s="2014"/>
      <c r="K84" s="3320"/>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3.2">
      <c r="A85" s="381" t="s">
        <v>1827</v>
      </c>
      <c r="B85" s="382" t="s">
        <v>435</v>
      </c>
      <c r="C85" s="385" t="e">
        <f ca="1">C81-C84</f>
        <v>#REF!</v>
      </c>
      <c r="D85" s="378" t="s">
        <v>19</v>
      </c>
      <c r="E85" s="379"/>
      <c r="F85" s="42"/>
      <c r="G85" s="42"/>
      <c r="H85" s="1003"/>
      <c r="I85" s="311"/>
      <c r="J85" s="2014"/>
      <c r="K85" s="3320"/>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8" thickBot="1">
      <c r="A86" s="386" t="s">
        <v>1828</v>
      </c>
      <c r="B86" s="387" t="s">
        <v>436</v>
      </c>
      <c r="C86" s="388" t="e">
        <f ca="1">IF(C85&lt;=0,0,ROUND(C85*D86,0))</f>
        <v>#REF!</v>
      </c>
      <c r="D86" s="389">
        <f>'数据-取费表'!B41</f>
        <v>0</v>
      </c>
      <c r="E86" s="390"/>
      <c r="F86" s="42"/>
      <c r="G86" s="42"/>
      <c r="H86" s="1003"/>
      <c r="I86" s="311"/>
      <c r="J86" s="2014"/>
      <c r="K86" s="3320"/>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0"/>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4.4" thickBot="1">
      <c r="A88" s="3374" t="s">
        <v>437</v>
      </c>
      <c r="B88" s="3375"/>
      <c r="C88" s="3375"/>
      <c r="D88" s="3375"/>
      <c r="E88" s="3375"/>
      <c r="F88" s="3375"/>
      <c r="G88" s="3375"/>
      <c r="H88" s="3375"/>
      <c r="I88" s="1311"/>
      <c r="J88" s="2022"/>
      <c r="K88" s="3320"/>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3.8">
      <c r="A89" s="3338" t="s">
        <v>428</v>
      </c>
      <c r="B89" s="3339"/>
      <c r="C89" s="994"/>
      <c r="D89" s="994" t="s">
        <v>429</v>
      </c>
      <c r="E89" s="391" t="s">
        <v>438</v>
      </c>
      <c r="F89" s="392"/>
      <c r="G89" s="392"/>
      <c r="H89" s="393"/>
      <c r="I89" s="1312"/>
      <c r="J89" s="2024"/>
      <c r="K89" s="3320"/>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3.8">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1" t="s">
        <v>447</v>
      </c>
      <c r="F94" s="3372"/>
      <c r="G94" s="3372"/>
      <c r="H94" s="337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61" t="s">
        <v>2428</v>
      </c>
      <c r="F96" s="3362"/>
      <c r="G96" s="3362"/>
      <c r="H96" s="336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38" t="s">
        <v>428</v>
      </c>
      <c r="B102" s="333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4" t="s">
        <v>462</v>
      </c>
      <c r="F109" s="3362"/>
      <c r="G109" s="336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64" t="s">
        <v>464</v>
      </c>
      <c r="F110" s="3362"/>
      <c r="G110" s="3362"/>
      <c r="H110" s="336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61" t="s">
        <v>2428</v>
      </c>
      <c r="F111" s="3362"/>
      <c r="G111" s="3362"/>
      <c r="H111" s="336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4" t="s">
        <v>2453</v>
      </c>
      <c r="F112" s="3362"/>
      <c r="G112" s="3362"/>
      <c r="H112" s="336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4.4">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32" t="str">
        <f>项目基本情况!B1</f>
        <v>出让国有建设用地使用权预评估</v>
      </c>
      <c r="C37" s="3232"/>
      <c r="D37" s="3232"/>
      <c r="E37" s="3232"/>
      <c r="F37" s="3232"/>
      <c r="G37" s="3232"/>
      <c r="H37" s="3232"/>
      <c r="I37" s="323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419" t="s">
        <v>522</v>
      </c>
      <c r="D6" s="3420"/>
      <c r="E6" s="3419" t="s">
        <v>523</v>
      </c>
      <c r="F6" s="3420"/>
      <c r="G6" s="3419" t="s">
        <v>524</v>
      </c>
      <c r="H6" s="3420"/>
      <c r="I6" s="3419" t="s">
        <v>525</v>
      </c>
      <c r="J6" s="3420"/>
      <c r="K6" s="514" t="s">
        <v>526</v>
      </c>
      <c r="L6" s="2119"/>
      <c r="M6" s="2118"/>
      <c r="N6" s="2118"/>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30" ht="21">
      <c r="A7" s="515"/>
      <c r="B7" s="516"/>
      <c r="C7" s="3430" t="s">
        <v>2931</v>
      </c>
      <c r="D7" s="3431"/>
      <c r="E7" s="3430" t="s">
        <v>2932</v>
      </c>
      <c r="F7" s="3431"/>
      <c r="G7" s="3430" t="s">
        <v>2933</v>
      </c>
      <c r="H7" s="3431"/>
      <c r="I7" s="3430" t="s">
        <v>2934</v>
      </c>
      <c r="J7" s="3431"/>
      <c r="K7" s="514"/>
      <c r="L7" s="2119"/>
      <c r="M7" s="2118"/>
      <c r="N7" s="2118"/>
      <c r="O7" s="2120"/>
      <c r="P7" s="3423"/>
      <c r="Q7" s="3424"/>
      <c r="R7" s="3409"/>
      <c r="S7" s="3410"/>
      <c r="T7" s="3409"/>
      <c r="U7" s="3410"/>
      <c r="V7" s="3427"/>
      <c r="W7" s="3427"/>
      <c r="X7" s="1554"/>
      <c r="Y7" s="3409"/>
      <c r="Z7" s="3410"/>
      <c r="AA7" s="3403"/>
      <c r="AB7" s="3403"/>
      <c r="AC7" s="3403"/>
    </row>
    <row r="8" spans="1:30" ht="21.6" thickBot="1">
      <c r="A8" s="515"/>
      <c r="B8" s="516"/>
      <c r="C8" s="3432" t="s">
        <v>2935</v>
      </c>
      <c r="D8" s="3433"/>
      <c r="E8" s="3432" t="s">
        <v>2935</v>
      </c>
      <c r="F8" s="3433"/>
      <c r="G8" s="3428" t="s">
        <v>2935</v>
      </c>
      <c r="H8" s="3429"/>
      <c r="I8" s="3428" t="s">
        <v>2935</v>
      </c>
      <c r="J8" s="3429"/>
      <c r="K8" s="514" t="s">
        <v>528</v>
      </c>
      <c r="L8" s="2119"/>
      <c r="M8" s="2118"/>
      <c r="N8" s="2118"/>
      <c r="O8" s="2120"/>
      <c r="P8" s="3425"/>
      <c r="Q8" s="3426"/>
      <c r="R8" s="3409"/>
      <c r="S8" s="3410"/>
      <c r="T8" s="3411"/>
      <c r="U8" s="3412"/>
      <c r="V8" s="3427"/>
      <c r="W8" s="3427"/>
      <c r="X8" s="1554"/>
      <c r="Y8" s="3411"/>
      <c r="Z8" s="3412"/>
      <c r="AA8" s="3404"/>
      <c r="AB8" s="3404"/>
      <c r="AC8" s="3404"/>
    </row>
    <row r="9" spans="1:30" s="1216" customFormat="1" ht="21.6"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30" s="1216" customFormat="1" ht="21.6"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7" si="3">D10/F10</f>
        <v>#DIV/0!</v>
      </c>
      <c r="AB10" s="1558" t="e">
        <f t="shared" ref="AB10:AB47" si="4">D10/H10</f>
        <v>#DIV/0!</v>
      </c>
      <c r="AC10" s="1558" t="e">
        <f t="shared" ref="AC10:AC47" si="5">D10/J10</f>
        <v>#DIV/0!</v>
      </c>
    </row>
    <row r="11" spans="1:30" s="1216" customFormat="1" ht="21">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30" s="1334" customFormat="1" ht="28.8">
      <c r="A12" s="2871"/>
      <c r="B12" s="2876" t="s">
        <v>2757</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413"/>
      <c r="Q12" s="1147" t="str">
        <f t="shared" si="6"/>
        <v>土地使用年限（年）</v>
      </c>
      <c r="R12" s="1555" t="s">
        <v>8</v>
      </c>
      <c r="S12" s="1556">
        <f t="shared" si="0"/>
        <v>105</v>
      </c>
      <c r="T12" s="1555" t="s">
        <v>8</v>
      </c>
      <c r="U12" s="1556">
        <f t="shared" si="1"/>
        <v>105</v>
      </c>
      <c r="V12" s="1555" t="s">
        <v>8</v>
      </c>
      <c r="W12" s="1556">
        <f t="shared" si="2"/>
        <v>105</v>
      </c>
      <c r="X12" s="1557"/>
      <c r="Y12" s="3370"/>
      <c r="Z12" s="1146" t="str">
        <f t="shared" si="7"/>
        <v>土地使用年限（年）</v>
      </c>
      <c r="AA12" s="1558">
        <f t="shared" si="3"/>
        <v>0.95238095238095233</v>
      </c>
      <c r="AB12" s="1558">
        <f t="shared" si="4"/>
        <v>0.95238095238095233</v>
      </c>
      <c r="AC12" s="1558">
        <f t="shared" si="5"/>
        <v>0.95238095238095233</v>
      </c>
    </row>
    <row r="13" spans="1:30" ht="21">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30" s="1216" customFormat="1" ht="2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3"/>
      <c r="Q14" s="1147" t="str">
        <f t="shared" si="6"/>
        <v>配建</v>
      </c>
      <c r="R14" s="1555" t="s">
        <v>8</v>
      </c>
      <c r="S14" s="1556">
        <f t="shared" si="0"/>
        <v>100</v>
      </c>
      <c r="T14" s="1555" t="s">
        <v>8</v>
      </c>
      <c r="U14" s="1556">
        <f t="shared" si="1"/>
        <v>100</v>
      </c>
      <c r="V14" s="1555" t="s">
        <v>8</v>
      </c>
      <c r="W14" s="1556">
        <f t="shared" si="2"/>
        <v>100</v>
      </c>
      <c r="X14" s="1557"/>
      <c r="Y14" s="3370"/>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D16/F16</f>
        <v>1</v>
      </c>
      <c r="AB16" s="1558">
        <f>D16/H16</f>
        <v>1</v>
      </c>
      <c r="AC16" s="1558">
        <f>D16/J16</f>
        <v>1</v>
      </c>
    </row>
    <row r="17" spans="1:29" ht="96.6">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5" t="s">
        <v>540</v>
      </c>
      <c r="Q17" s="1559" t="str">
        <f t="shared" si="6"/>
        <v>居住社区成熟度</v>
      </c>
      <c r="R17" s="1560" t="s">
        <v>8</v>
      </c>
      <c r="S17" s="1561">
        <f t="shared" si="0"/>
        <v>100</v>
      </c>
      <c r="T17" s="1560" t="s">
        <v>8</v>
      </c>
      <c r="U17" s="1561">
        <f t="shared" si="1"/>
        <v>100</v>
      </c>
      <c r="V17" s="1560" t="s">
        <v>8</v>
      </c>
      <c r="W17" s="1561">
        <f t="shared" si="2"/>
        <v>100</v>
      </c>
      <c r="X17" s="1554"/>
      <c r="Y17" s="3415" t="s">
        <v>540</v>
      </c>
      <c r="Z17" s="1562" t="str">
        <f t="shared" si="7"/>
        <v>居住社区成熟度</v>
      </c>
      <c r="AA17" s="1563">
        <f t="shared" si="3"/>
        <v>1</v>
      </c>
      <c r="AB17" s="1563">
        <f t="shared" si="4"/>
        <v>1</v>
      </c>
      <c r="AC17" s="1563">
        <f t="shared" si="5"/>
        <v>1</v>
      </c>
    </row>
    <row r="18" spans="1:29" ht="21">
      <c r="A18" s="532"/>
      <c r="B18" s="553"/>
      <c r="C18" s="554"/>
      <c r="D18" s="557"/>
      <c r="E18" s="558"/>
      <c r="F18" s="555"/>
      <c r="G18" s="556"/>
      <c r="H18" s="559"/>
      <c r="I18" s="558"/>
      <c r="J18" s="555"/>
      <c r="K18" s="531"/>
      <c r="L18" s="2128"/>
      <c r="M18" s="2118"/>
      <c r="N18" s="2118"/>
      <c r="O18" s="2127"/>
      <c r="P18" s="3416"/>
      <c r="Q18" s="1559"/>
      <c r="R18" s="1560"/>
      <c r="S18" s="1561"/>
      <c r="T18" s="1560"/>
      <c r="U18" s="1561"/>
      <c r="V18" s="1560"/>
      <c r="W18" s="1561"/>
      <c r="X18" s="1554"/>
      <c r="Y18" s="3416"/>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6"/>
      <c r="Q19" s="1559" t="str">
        <f>B19</f>
        <v>商业繁华度</v>
      </c>
      <c r="R19" s="1560" t="s">
        <v>8</v>
      </c>
      <c r="S19" s="1561">
        <f>F19</f>
        <v>100</v>
      </c>
      <c r="T19" s="1560" t="s">
        <v>8</v>
      </c>
      <c r="U19" s="1561">
        <f>H19</f>
        <v>100</v>
      </c>
      <c r="V19" s="1560" t="s">
        <v>8</v>
      </c>
      <c r="W19" s="1561">
        <f>J19</f>
        <v>100</v>
      </c>
      <c r="X19" s="1554"/>
      <c r="Y19" s="3416"/>
      <c r="Z19" s="1562" t="str">
        <f>Q19</f>
        <v>商业繁华度</v>
      </c>
      <c r="AA19" s="1563">
        <f t="shared" si="3"/>
        <v>1</v>
      </c>
      <c r="AB19" s="1563">
        <f t="shared" si="4"/>
        <v>1</v>
      </c>
      <c r="AC19" s="1563">
        <f t="shared" si="5"/>
        <v>1</v>
      </c>
    </row>
    <row r="20" spans="1:29" ht="21">
      <c r="A20" s="532"/>
      <c r="B20" s="566"/>
      <c r="C20" s="567"/>
      <c r="D20" s="563"/>
      <c r="E20" s="569"/>
      <c r="F20" s="559"/>
      <c r="G20" s="568"/>
      <c r="H20" s="555"/>
      <c r="I20" s="569"/>
      <c r="J20" s="555"/>
      <c r="K20" s="531"/>
      <c r="L20" s="2128"/>
      <c r="M20" s="2118"/>
      <c r="N20" s="2118"/>
      <c r="O20" s="2127"/>
      <c r="P20" s="3416"/>
      <c r="Q20" s="1559"/>
      <c r="R20" s="1560"/>
      <c r="S20" s="1561"/>
      <c r="T20" s="1560"/>
      <c r="U20" s="1561"/>
      <c r="V20" s="1560"/>
      <c r="W20" s="1561"/>
      <c r="X20" s="1554"/>
      <c r="Y20" s="3416"/>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416"/>
      <c r="Q22" s="1559"/>
      <c r="R22" s="1560"/>
      <c r="S22" s="1561"/>
      <c r="T22" s="1560"/>
      <c r="U22" s="1561"/>
      <c r="V22" s="1560"/>
      <c r="W22" s="1561"/>
      <c r="X22" s="1554"/>
      <c r="Y22" s="3416"/>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16"/>
      <c r="Q23" s="1559" t="str">
        <f>B23</f>
        <v>交通便捷度</v>
      </c>
      <c r="R23" s="1560" t="s">
        <v>8</v>
      </c>
      <c r="S23" s="1561">
        <f>F23</f>
        <v>100</v>
      </c>
      <c r="T23" s="1560" t="s">
        <v>8</v>
      </c>
      <c r="U23" s="1561">
        <f>H23</f>
        <v>100</v>
      </c>
      <c r="V23" s="1560" t="s">
        <v>8</v>
      </c>
      <c r="W23" s="1561">
        <f>J23</f>
        <v>100</v>
      </c>
      <c r="X23" s="1554"/>
      <c r="Y23" s="3416"/>
      <c r="Z23" s="1562" t="str">
        <f>Q23</f>
        <v>交通便捷度</v>
      </c>
      <c r="AA23" s="1563">
        <f t="shared" si="3"/>
        <v>1</v>
      </c>
      <c r="AB23" s="1563">
        <f t="shared" si="4"/>
        <v>1</v>
      </c>
      <c r="AC23" s="1563">
        <f t="shared" si="5"/>
        <v>1</v>
      </c>
    </row>
    <row r="24" spans="1:29" ht="21">
      <c r="A24" s="532"/>
      <c r="B24" s="578"/>
      <c r="C24" s="554"/>
      <c r="D24" s="557"/>
      <c r="E24" s="558"/>
      <c r="F24" s="555"/>
      <c r="G24" s="556"/>
      <c r="H24" s="555"/>
      <c r="I24" s="558"/>
      <c r="J24" s="555"/>
      <c r="K24" s="531"/>
      <c r="L24" s="2128"/>
      <c r="M24" s="2118"/>
      <c r="N24" s="2118"/>
      <c r="O24" s="2127"/>
      <c r="P24" s="3416"/>
      <c r="Q24" s="1559"/>
      <c r="R24" s="1560"/>
      <c r="S24" s="1561"/>
      <c r="T24" s="1560"/>
      <c r="U24" s="1561"/>
      <c r="V24" s="1560"/>
      <c r="W24" s="1561"/>
      <c r="X24" s="1554"/>
      <c r="Y24" s="3416"/>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416"/>
      <c r="Q26" s="1559"/>
      <c r="R26" s="1560"/>
      <c r="S26" s="1561"/>
      <c r="T26" s="1560"/>
      <c r="U26" s="1561"/>
      <c r="V26" s="1560"/>
      <c r="W26" s="1561"/>
      <c r="X26" s="1554"/>
      <c r="Y26" s="3416"/>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16"/>
      <c r="Q27" s="1559" t="str">
        <f t="shared" si="8"/>
        <v>自然及人文环境状况</v>
      </c>
      <c r="R27" s="1560" t="s">
        <v>8</v>
      </c>
      <c r="S27" s="1561">
        <f>F27</f>
        <v>100</v>
      </c>
      <c r="T27" s="1560" t="s">
        <v>8</v>
      </c>
      <c r="U27" s="1561">
        <f>H27</f>
        <v>100</v>
      </c>
      <c r="V27" s="1560" t="s">
        <v>8</v>
      </c>
      <c r="W27" s="1561">
        <f>J27</f>
        <v>100</v>
      </c>
      <c r="X27" s="1554"/>
      <c r="Y27" s="3416"/>
      <c r="Z27" s="1562" t="str">
        <f>Q27</f>
        <v>自然及人文环境状况</v>
      </c>
      <c r="AA27" s="1563">
        <f t="shared" si="3"/>
        <v>1</v>
      </c>
      <c r="AB27" s="1563">
        <f t="shared" si="4"/>
        <v>1</v>
      </c>
      <c r="AC27" s="1563">
        <f t="shared" si="5"/>
        <v>1</v>
      </c>
    </row>
    <row r="28" spans="1:29" ht="21">
      <c r="A28" s="515"/>
      <c r="B28" s="566"/>
      <c r="C28" s="554"/>
      <c r="D28" s="557"/>
      <c r="E28" s="576"/>
      <c r="F28" s="555"/>
      <c r="G28" s="554"/>
      <c r="H28" s="555"/>
      <c r="I28" s="576"/>
      <c r="J28" s="555"/>
      <c r="K28" s="531"/>
      <c r="L28" s="2128"/>
      <c r="M28" s="2118"/>
      <c r="N28" s="2118"/>
      <c r="O28" s="2127"/>
      <c r="P28" s="3416"/>
      <c r="Q28" s="1559"/>
      <c r="R28" s="1560"/>
      <c r="S28" s="1561"/>
      <c r="T28" s="1560"/>
      <c r="U28" s="1561"/>
      <c r="V28" s="1560"/>
      <c r="W28" s="1561"/>
      <c r="X28" s="1554"/>
      <c r="Y28" s="3416"/>
      <c r="Z28" s="1562"/>
      <c r="AA28" s="1563">
        <v>1</v>
      </c>
      <c r="AB28" s="1563">
        <v>1</v>
      </c>
      <c r="AC28" s="1563">
        <v>1</v>
      </c>
    </row>
    <row r="29" spans="1:29" s="1216" customFormat="1" ht="41.4">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16"/>
      <c r="Q29" s="1147" t="str">
        <f t="shared" si="8"/>
        <v>公共配套设施</v>
      </c>
      <c r="R29" s="1555" t="s">
        <v>8</v>
      </c>
      <c r="S29" s="1556">
        <f>F29</f>
        <v>100</v>
      </c>
      <c r="T29" s="1555" t="s">
        <v>8</v>
      </c>
      <c r="U29" s="1556">
        <f>H29</f>
        <v>100</v>
      </c>
      <c r="V29" s="1555" t="s">
        <v>8</v>
      </c>
      <c r="W29" s="1556">
        <f>J29</f>
        <v>100</v>
      </c>
      <c r="X29" s="1557"/>
      <c r="Y29" s="3416"/>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21"/>
      <c r="M30" s="2118"/>
      <c r="N30" s="2118"/>
      <c r="O30" s="2123"/>
      <c r="P30" s="3416"/>
      <c r="Q30" s="1147"/>
      <c r="R30" s="1555"/>
      <c r="S30" s="1556"/>
      <c r="T30" s="1555"/>
      <c r="U30" s="1556"/>
      <c r="V30" s="1555"/>
      <c r="W30" s="1556"/>
      <c r="X30" s="1557"/>
      <c r="Y30" s="3416"/>
      <c r="Z30" s="1146"/>
      <c r="AA30" s="1563">
        <v>1</v>
      </c>
      <c r="AB30" s="1563">
        <v>1</v>
      </c>
      <c r="AC30" s="1563">
        <v>1</v>
      </c>
    </row>
    <row r="31" spans="1:29" s="1216" customFormat="1" ht="27.6">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6"/>
      <c r="Q31" s="2543" t="str">
        <f t="shared" ref="Q31" si="9">B31</f>
        <v>基础设施水平</v>
      </c>
      <c r="R31" s="1555" t="s">
        <v>8</v>
      </c>
      <c r="S31" s="1556">
        <f>F31</f>
        <v>100</v>
      </c>
      <c r="T31" s="1555" t="s">
        <v>8</v>
      </c>
      <c r="U31" s="1556">
        <f>H31</f>
        <v>100</v>
      </c>
      <c r="V31" s="1555" t="s">
        <v>8</v>
      </c>
      <c r="W31" s="1556">
        <f>J31</f>
        <v>100</v>
      </c>
      <c r="X31" s="1557"/>
      <c r="Y31" s="3416"/>
      <c r="Z31" s="2540" t="str">
        <f>Q31</f>
        <v>基础设施水平</v>
      </c>
      <c r="AA31" s="1563">
        <f>D31/F31</f>
        <v>1</v>
      </c>
      <c r="AB31" s="1563">
        <f>D31/H31</f>
        <v>1</v>
      </c>
      <c r="AC31" s="1563">
        <f>D31/J31</f>
        <v>1</v>
      </c>
    </row>
    <row r="32" spans="1:29" s="1216" customFormat="1" ht="21">
      <c r="A32" s="577"/>
      <c r="B32" s="566"/>
      <c r="C32" s="579"/>
      <c r="D32" s="557"/>
      <c r="E32" s="2557"/>
      <c r="F32" s="555"/>
      <c r="G32" s="579"/>
      <c r="H32" s="555"/>
      <c r="I32" s="579"/>
      <c r="J32" s="555"/>
      <c r="K32" s="531"/>
      <c r="L32" s="2121"/>
      <c r="M32" s="2118"/>
      <c r="N32" s="2118"/>
      <c r="O32" s="2123"/>
      <c r="P32" s="3416"/>
      <c r="Q32" s="2543"/>
      <c r="R32" s="1555"/>
      <c r="S32" s="1556"/>
      <c r="T32" s="1555"/>
      <c r="U32" s="1556"/>
      <c r="V32" s="1555"/>
      <c r="W32" s="1556"/>
      <c r="X32" s="1557"/>
      <c r="Y32" s="3416"/>
      <c r="Z32" s="2540"/>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416"/>
      <c r="Q35" s="1559"/>
      <c r="R35" s="1560"/>
      <c r="S35" s="1561"/>
      <c r="T35" s="1560"/>
      <c r="U35" s="1561"/>
      <c r="V35" s="1560"/>
      <c r="W35" s="1561"/>
      <c r="X35" s="1554"/>
      <c r="Y35" s="3416"/>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1">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18"/>
      <c r="Q40" s="1559" t="str">
        <f>B40</f>
        <v>宗地面积</v>
      </c>
      <c r="R40" s="1560" t="s">
        <v>8</v>
      </c>
      <c r="S40" s="1561" t="e">
        <f t="shared" si="10"/>
        <v>#N/A</v>
      </c>
      <c r="T40" s="1560" t="s">
        <v>8</v>
      </c>
      <c r="U40" s="1561" t="e">
        <f t="shared" si="11"/>
        <v>#N/A</v>
      </c>
      <c r="V40" s="1560" t="s">
        <v>8</v>
      </c>
      <c r="W40" s="1561" t="e">
        <f t="shared" si="12"/>
        <v>#N/A</v>
      </c>
      <c r="X40" s="1554"/>
      <c r="Y40" s="3418"/>
      <c r="Z40" s="1562" t="str">
        <f t="shared" si="13"/>
        <v>宗地面积</v>
      </c>
      <c r="AA40" s="1563" t="e">
        <f t="shared" si="3"/>
        <v>#N/A</v>
      </c>
      <c r="AB40" s="1563" t="e">
        <f t="shared" si="4"/>
        <v>#N/A</v>
      </c>
      <c r="AC40" s="1563" t="e">
        <f t="shared" si="5"/>
        <v>#N/A</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8"/>
      <c r="Q43" s="1559" t="str">
        <f t="shared" si="14"/>
        <v>宗地开发程度</v>
      </c>
      <c r="R43" s="1555" t="s">
        <v>8</v>
      </c>
      <c r="S43" s="1556">
        <f t="shared" si="10"/>
        <v>100</v>
      </c>
      <c r="T43" s="1555" t="s">
        <v>8</v>
      </c>
      <c r="U43" s="1556">
        <f t="shared" si="11"/>
        <v>100</v>
      </c>
      <c r="V43" s="1555" t="s">
        <v>8</v>
      </c>
      <c r="W43" s="1556">
        <f t="shared" si="12"/>
        <v>100</v>
      </c>
      <c r="X43" s="1557"/>
      <c r="Y43" s="3418"/>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8"/>
      <c r="Q45" s="1559">
        <f t="shared" si="14"/>
        <v>111</v>
      </c>
      <c r="R45" s="1560" t="s">
        <v>8</v>
      </c>
      <c r="S45" s="1561">
        <f t="shared" si="10"/>
        <v>100</v>
      </c>
      <c r="T45" s="1560" t="s">
        <v>8</v>
      </c>
      <c r="U45" s="1561">
        <f t="shared" si="11"/>
        <v>100</v>
      </c>
      <c r="V45" s="1560" t="s">
        <v>8</v>
      </c>
      <c r="W45" s="1561">
        <f t="shared" si="12"/>
        <v>100</v>
      </c>
      <c r="X45" s="1554"/>
      <c r="Y45" s="3418"/>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1">
      <c r="A48" s="607" t="s">
        <v>556</v>
      </c>
      <c r="B48" s="608" t="s">
        <v>2936</v>
      </c>
      <c r="C48" s="609" t="s">
        <v>1</v>
      </c>
      <c r="D48" s="610"/>
      <c r="E48" s="611"/>
      <c r="F48" s="612"/>
      <c r="G48" s="613"/>
      <c r="H48" s="614"/>
      <c r="I48" s="611"/>
      <c r="J48" s="614"/>
      <c r="K48" s="1336"/>
      <c r="L48" s="2130"/>
      <c r="M48" s="2118"/>
      <c r="N48" s="2118"/>
      <c r="O48" s="2131"/>
      <c r="P48" s="3413" t="str">
        <f>A48</f>
        <v>成交单价</v>
      </c>
      <c r="Q48" s="3413"/>
      <c r="R48" s="3427">
        <f>E48</f>
        <v>0</v>
      </c>
      <c r="S48" s="3427"/>
      <c r="T48" s="3427">
        <f>G48</f>
        <v>0</v>
      </c>
      <c r="U48" s="3427"/>
      <c r="V48" s="3427">
        <f>I48</f>
        <v>0</v>
      </c>
      <c r="W48" s="3427"/>
      <c r="X48" s="1546"/>
      <c r="Y48" s="1568"/>
      <c r="Z48" s="1546"/>
      <c r="AA48" s="1546"/>
      <c r="AB48" s="1546"/>
      <c r="AC48" s="1546"/>
    </row>
    <row r="49" spans="1:29" ht="21.6"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13" t="str">
        <f>A49</f>
        <v>比较价格（元/平方米）</v>
      </c>
      <c r="Q49" s="3413"/>
      <c r="R49" s="3437" t="e">
        <f>ROUND(PRODUCT(R48,AA9:AA47),0)</f>
        <v>#DIV/0!</v>
      </c>
      <c r="S49" s="3437"/>
      <c r="T49" s="3437" t="e">
        <f>ROUND(PRODUCT(T48,AB9:AB47),0)</f>
        <v>#DIV/0!</v>
      </c>
      <c r="U49" s="3437"/>
      <c r="V49" s="3437" t="e">
        <f>ROUND(PRODUCT(V48,AC9:AC47),0)</f>
        <v>#DIV/0!</v>
      </c>
      <c r="W49" s="3437"/>
      <c r="X49" s="1546"/>
      <c r="Y49" s="1546"/>
      <c r="Z49" s="1546"/>
      <c r="AA49" s="1546"/>
      <c r="AB49" s="1546"/>
      <c r="AC49" s="1546"/>
    </row>
    <row r="50" spans="1:29" ht="21.6" thickBot="1">
      <c r="A50" s="621" t="s">
        <v>2937</v>
      </c>
      <c r="B50" s="622"/>
      <c r="C50" s="623" t="e">
        <f>R50</f>
        <v>#DIV/0!</v>
      </c>
      <c r="D50" s="623"/>
      <c r="E50" s="623"/>
      <c r="F50" s="623"/>
      <c r="G50" s="623"/>
      <c r="H50" s="623"/>
      <c r="I50" s="623"/>
      <c r="J50" s="623"/>
      <c r="K50" s="1338"/>
      <c r="L50" s="2130"/>
      <c r="M50" s="2118"/>
      <c r="N50" s="2118"/>
      <c r="O50" s="2131"/>
      <c r="P50" s="3434" t="str">
        <f>A50</f>
        <v>估价对象XX用房的比较价格（楼面单价，元/平方米）</v>
      </c>
      <c r="Q50" s="3435"/>
      <c r="R50" s="3436" t="e">
        <f>ROUND(AVERAGE(R49:V49),0)</f>
        <v>#DIV/0!</v>
      </c>
      <c r="S50" s="3436"/>
      <c r="T50" s="3436"/>
      <c r="U50" s="3436"/>
      <c r="V50" s="3436"/>
      <c r="W50" s="3436"/>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7" t="s">
        <v>2281</v>
      </c>
      <c r="H57" s="339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t="e">
        <f>C50</f>
        <v>#DIV/0!</v>
      </c>
      <c r="C58" s="635">
        <v>1</v>
      </c>
      <c r="D58" s="2214">
        <v>1</v>
      </c>
      <c r="E58" s="635">
        <f>'数据-汇总表'!E8+'数据-汇总表'!E9</f>
        <v>10288.000000000002</v>
      </c>
      <c r="F58" s="636" t="e">
        <f t="shared" ref="F58:F67" si="15">ROUND(B58*E58/10000,0)</f>
        <v>#DIV/0!</v>
      </c>
      <c r="G58" s="3399"/>
      <c r="H58" s="340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t="e">
        <f>ROUND($C$50*C59*D59,0)</f>
        <v>#DIV/0!</v>
      </c>
      <c r="C59" s="378">
        <f t="shared" ref="C59:C67" si="16">IF($C$57="北京市系数",I59,J59)</f>
        <v>0</v>
      </c>
      <c r="D59" s="2215">
        <v>0.25</v>
      </c>
      <c r="E59" s="639">
        <v>0</v>
      </c>
      <c r="F59" s="636" t="e">
        <f t="shared" si="15"/>
        <v>#DIV/0!</v>
      </c>
      <c r="G59" s="340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t="e">
        <f t="shared" ref="B60:B67" si="17">ROUND($C$50*C60*D60,0)</f>
        <v>#DIV/0!</v>
      </c>
      <c r="C60" s="378">
        <f t="shared" si="16"/>
        <v>0</v>
      </c>
      <c r="D60" s="2215">
        <v>0.25</v>
      </c>
      <c r="E60" s="639">
        <v>0</v>
      </c>
      <c r="F60" s="636" t="e">
        <f t="shared" si="15"/>
        <v>#DIV/0!</v>
      </c>
      <c r="G60" s="340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t="e">
        <f t="shared" si="17"/>
        <v>#DIV/0!</v>
      </c>
      <c r="C61" s="378">
        <f t="shared" si="16"/>
        <v>0</v>
      </c>
      <c r="D61" s="2215">
        <v>0.25</v>
      </c>
      <c r="E61" s="639">
        <v>0</v>
      </c>
      <c r="F61" s="636" t="e">
        <f t="shared" si="15"/>
        <v>#DIV/0!</v>
      </c>
      <c r="G61" s="340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t="e">
        <f t="shared" si="17"/>
        <v>#DIV/0!</v>
      </c>
      <c r="C62" s="378">
        <f t="shared" si="16"/>
        <v>0</v>
      </c>
      <c r="D62" s="2215">
        <v>0.25</v>
      </c>
      <c r="E62" s="639">
        <v>0</v>
      </c>
      <c r="F62" s="636" t="e">
        <f t="shared" si="15"/>
        <v>#DIV/0!</v>
      </c>
      <c r="G62" s="340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14.4">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419" t="s">
        <v>522</v>
      </c>
      <c r="D6" s="3420"/>
      <c r="E6" s="3443" t="s">
        <v>523</v>
      </c>
      <c r="F6" s="3444"/>
      <c r="G6" s="3419" t="s">
        <v>524</v>
      </c>
      <c r="H6" s="3420"/>
      <c r="I6" s="3419" t="s">
        <v>525</v>
      </c>
      <c r="J6" s="3420"/>
      <c r="K6" s="514" t="s">
        <v>526</v>
      </c>
      <c r="L6" s="2119"/>
      <c r="M6" s="2120"/>
      <c r="N6" s="2120"/>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29">
      <c r="A7" s="515"/>
      <c r="B7" s="516"/>
      <c r="C7" s="3430" t="s">
        <v>2931</v>
      </c>
      <c r="D7" s="3431"/>
      <c r="E7" s="3445" t="s">
        <v>2932</v>
      </c>
      <c r="F7" s="3446"/>
      <c r="G7" s="3430" t="s">
        <v>2933</v>
      </c>
      <c r="H7" s="3431"/>
      <c r="I7" s="3430" t="s">
        <v>2934</v>
      </c>
      <c r="J7" s="3431"/>
      <c r="K7" s="514"/>
      <c r="L7" s="2119"/>
      <c r="M7" s="2120"/>
      <c r="N7" s="2120"/>
      <c r="O7" s="2120"/>
      <c r="P7" s="3423"/>
      <c r="Q7" s="3424"/>
      <c r="R7" s="3409"/>
      <c r="S7" s="3410"/>
      <c r="T7" s="3409"/>
      <c r="U7" s="3410"/>
      <c r="V7" s="3427"/>
      <c r="W7" s="3427"/>
      <c r="X7" s="1554"/>
      <c r="Y7" s="3409"/>
      <c r="Z7" s="3410"/>
      <c r="AA7" s="3403"/>
      <c r="AB7" s="3403"/>
      <c r="AC7" s="3403"/>
    </row>
    <row r="8" spans="1:29" ht="15" thickBot="1">
      <c r="A8" s="517"/>
      <c r="B8" s="518"/>
      <c r="C8" s="3428" t="s">
        <v>2935</v>
      </c>
      <c r="D8" s="3429"/>
      <c r="E8" s="3447" t="s">
        <v>2935</v>
      </c>
      <c r="F8" s="3448"/>
      <c r="G8" s="3428" t="s">
        <v>2935</v>
      </c>
      <c r="H8" s="3429"/>
      <c r="I8" s="3428" t="s">
        <v>2935</v>
      </c>
      <c r="J8" s="3429"/>
      <c r="K8" s="514" t="s">
        <v>528</v>
      </c>
      <c r="L8" s="2119"/>
      <c r="M8" s="2120"/>
      <c r="N8" s="2120"/>
      <c r="O8" s="2120"/>
      <c r="P8" s="3425"/>
      <c r="Q8" s="3426"/>
      <c r="R8" s="3409"/>
      <c r="S8" s="3410"/>
      <c r="T8" s="3411"/>
      <c r="U8" s="3412"/>
      <c r="V8" s="3427"/>
      <c r="W8" s="3427"/>
      <c r="X8" s="1554"/>
      <c r="Y8" s="3411"/>
      <c r="Z8" s="3412"/>
      <c r="AA8" s="3404"/>
      <c r="AB8" s="3404"/>
      <c r="AC8" s="3404"/>
    </row>
    <row r="9" spans="1:29" s="1216" customFormat="1" ht="1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413"/>
      <c r="Q12" s="1147" t="str">
        <f t="shared" si="6"/>
        <v>土地使用年限（年）</v>
      </c>
      <c r="R12" s="1555" t="s">
        <v>8</v>
      </c>
      <c r="S12" s="1556">
        <f t="shared" si="0"/>
        <v>105</v>
      </c>
      <c r="T12" s="1555" t="s">
        <v>8</v>
      </c>
      <c r="U12" s="1556">
        <f t="shared" si="1"/>
        <v>105</v>
      </c>
      <c r="V12" s="1555" t="s">
        <v>8</v>
      </c>
      <c r="W12" s="1556">
        <f t="shared" si="2"/>
        <v>105</v>
      </c>
      <c r="X12" s="1557"/>
      <c r="Y12" s="3370"/>
      <c r="Z12" s="1146" t="str">
        <f t="shared" si="7"/>
        <v>土地使用年限（年）</v>
      </c>
      <c r="AA12" s="1558">
        <f t="shared" si="3"/>
        <v>0.95238095238095233</v>
      </c>
      <c r="AB12" s="1558">
        <f t="shared" si="4"/>
        <v>0.95238095238095233</v>
      </c>
      <c r="AC12" s="1558">
        <f t="shared" si="5"/>
        <v>0.95238095238095233</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6"/>
      <c r="Q18" s="1559"/>
      <c r="R18" s="1560"/>
      <c r="S18" s="1561"/>
      <c r="T18" s="1560"/>
      <c r="U18" s="1561"/>
      <c r="V18" s="1560"/>
      <c r="W18" s="1561"/>
      <c r="X18" s="1554"/>
      <c r="Y18" s="3416"/>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6"/>
      <c r="Q22" s="1559"/>
      <c r="R22" s="1560"/>
      <c r="S22" s="1561"/>
      <c r="T22" s="1560"/>
      <c r="U22" s="1561"/>
      <c r="V22" s="1560"/>
      <c r="W22" s="1561"/>
      <c r="X22" s="1554"/>
      <c r="Y22" s="3416"/>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6"/>
      <c r="Q24" s="1559"/>
      <c r="R24" s="1560"/>
      <c r="S24" s="1561"/>
      <c r="T24" s="1560"/>
      <c r="U24" s="1561"/>
      <c r="V24" s="1560"/>
      <c r="W24" s="1561"/>
      <c r="X24" s="1554"/>
      <c r="Y24" s="3416"/>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6"/>
      <c r="Q26" s="1147"/>
      <c r="R26" s="1555"/>
      <c r="S26" s="1556"/>
      <c r="T26" s="1555"/>
      <c r="U26" s="1556"/>
      <c r="V26" s="1555"/>
      <c r="W26" s="1556"/>
      <c r="X26" s="1557"/>
      <c r="Y26" s="3416"/>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6"/>
      <c r="Q27" s="2543" t="str">
        <f t="shared" ref="Q27" si="9">B27</f>
        <v>基础设施水平</v>
      </c>
      <c r="R27" s="1555" t="s">
        <v>8</v>
      </c>
      <c r="S27" s="1556">
        <f>F27</f>
        <v>100</v>
      </c>
      <c r="T27" s="1555" t="s">
        <v>8</v>
      </c>
      <c r="U27" s="1556">
        <f>H27</f>
        <v>100</v>
      </c>
      <c r="V27" s="1555" t="s">
        <v>8</v>
      </c>
      <c r="W27" s="1556">
        <f>J27</f>
        <v>100</v>
      </c>
      <c r="X27" s="1557"/>
      <c r="Y27" s="341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6"/>
      <c r="Q28" s="2543"/>
      <c r="R28" s="1555"/>
      <c r="S28" s="1556"/>
      <c r="T28" s="1555"/>
      <c r="U28" s="1556"/>
      <c r="V28" s="1555"/>
      <c r="W28" s="1556"/>
      <c r="X28" s="1557"/>
      <c r="Y28" s="341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6"/>
      <c r="Q31" s="1559"/>
      <c r="R31" s="1560"/>
      <c r="S31" s="1561"/>
      <c r="T31" s="1560"/>
      <c r="U31" s="1561"/>
      <c r="V31" s="1560"/>
      <c r="W31" s="1561"/>
      <c r="X31" s="1554"/>
      <c r="Y31" s="341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4.4">
      <c r="A43" s="607" t="s">
        <v>556</v>
      </c>
      <c r="B43" s="608" t="s">
        <v>2936</v>
      </c>
      <c r="C43" s="609" t="s">
        <v>1</v>
      </c>
      <c r="D43" s="610"/>
      <c r="E43" s="611"/>
      <c r="F43" s="612"/>
      <c r="G43" s="613"/>
      <c r="H43" s="614"/>
      <c r="I43" s="611"/>
      <c r="J43" s="614"/>
      <c r="K43" s="1336"/>
      <c r="L43" s="2130"/>
      <c r="M43" s="2120"/>
      <c r="N43" s="2120"/>
      <c r="O43" s="2131"/>
      <c r="P43" s="3413" t="str">
        <f>A43</f>
        <v>成交单价</v>
      </c>
      <c r="Q43" s="3413"/>
      <c r="R43" s="3427">
        <f>E43</f>
        <v>0</v>
      </c>
      <c r="S43" s="3427"/>
      <c r="T43" s="3427">
        <f>G43</f>
        <v>0</v>
      </c>
      <c r="U43" s="3427"/>
      <c r="V43" s="3427">
        <f>I43</f>
        <v>0</v>
      </c>
      <c r="W43" s="3427"/>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3" t="str">
        <f>A44</f>
        <v>比较价格（元/平方米）</v>
      </c>
      <c r="Q44" s="3413"/>
      <c r="R44" s="3437" t="e">
        <f>ROUND(PRODUCT(R43,AA9:AA42),0)</f>
        <v>#DIV/0!</v>
      </c>
      <c r="S44" s="3437"/>
      <c r="T44" s="3437" t="e">
        <f>ROUND(PRODUCT(T43,AB9:AB42),0)</f>
        <v>#DIV/0!</v>
      </c>
      <c r="U44" s="3437"/>
      <c r="V44" s="3437" t="e">
        <f>ROUND(PRODUCT(V43,AC9:AC42),0)</f>
        <v>#DIV/0!</v>
      </c>
      <c r="W44" s="3437"/>
      <c r="X44" s="1546"/>
      <c r="Y44" s="1546"/>
      <c r="Z44" s="1546"/>
      <c r="AA44" s="1546"/>
      <c r="AB44" s="1546"/>
      <c r="AC44" s="1546"/>
    </row>
    <row r="45" spans="1:29" ht="15" thickBot="1">
      <c r="A45" s="621" t="s">
        <v>2937</v>
      </c>
      <c r="B45" s="622"/>
      <c r="C45" s="623" t="e">
        <f>R45</f>
        <v>#DIV/0!</v>
      </c>
      <c r="D45" s="623"/>
      <c r="E45" s="623"/>
      <c r="F45" s="623"/>
      <c r="G45" s="623"/>
      <c r="H45" s="623"/>
      <c r="I45" s="623"/>
      <c r="J45" s="623"/>
      <c r="K45" s="1338"/>
      <c r="L45" s="2130"/>
      <c r="M45" s="2120"/>
      <c r="N45" s="2120"/>
      <c r="O45" s="2131"/>
      <c r="P45" s="3434" t="str">
        <f>A45</f>
        <v>估价对象XX用房的比较价格（楼面单价，元/平方米）</v>
      </c>
      <c r="Q45" s="3435"/>
      <c r="R45" s="3436" t="e">
        <f>ROUND(AVERAGE(R44:V44),0)</f>
        <v>#DIV/0!</v>
      </c>
      <c r="S45" s="3436"/>
      <c r="T45" s="3436"/>
      <c r="U45" s="3436"/>
      <c r="V45" s="3436"/>
      <c r="W45" s="343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38" t="s">
        <v>2284</v>
      </c>
      <c r="H52" s="343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10288.000000000002</v>
      </c>
      <c r="F53" s="1936" t="e">
        <f t="shared" ref="F53:F62" si="15">ROUND(B53*E53/10000,0)</f>
        <v>#DIV/0!</v>
      </c>
      <c r="G53" s="3440"/>
      <c r="H53" s="344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4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4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4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4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6">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6">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31.2">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5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61" t="s">
        <v>2783</v>
      </c>
      <c r="X8" s="346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60"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6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6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5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6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6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5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50"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8" thickBot="1">
      <c r="A17" s="345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f ca="1">ROUND(POWER(1+G20,J20-I20)*(POWER(1+G20,I20)-1)/(POWER(1+G20,J20)-1),4)</f>
        <v>0.93169999999999997</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39.4</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57"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58"/>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58"/>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59"/>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55" t="s">
        <v>1633</v>
      </c>
      <c r="B90" s="3455"/>
      <c r="C90" s="3455"/>
      <c r="D90" s="3455"/>
      <c r="E90" s="3455"/>
      <c r="F90" s="3455"/>
      <c r="G90" s="3455"/>
      <c r="H90" s="3455"/>
      <c r="I90" s="3455"/>
      <c r="J90" s="3455"/>
      <c r="K90" s="2415"/>
      <c r="L90" s="2415"/>
      <c r="M90" s="2415"/>
      <c r="N90" s="2415"/>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9" t="s">
        <v>1639</v>
      </c>
      <c r="B110" s="3449"/>
      <c r="C110" s="3449"/>
      <c r="D110" s="3449"/>
      <c r="E110" s="3449"/>
      <c r="F110" s="3449"/>
      <c r="G110" s="3449"/>
      <c r="H110" s="3449"/>
      <c r="I110" s="3449"/>
      <c r="J110" s="3449"/>
      <c r="K110" s="2413"/>
      <c r="L110" s="2413"/>
      <c r="M110" s="2413"/>
      <c r="N110" s="2413"/>
    </row>
    <row r="112" spans="1:14" ht="12.6" thickBot="1"/>
    <row r="113" spans="1:13" ht="25.8"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56" t="s">
        <v>1501</v>
      </c>
      <c r="C61" s="1064" t="s">
        <v>1502</v>
      </c>
      <c r="D61" s="1064" t="s">
        <v>1503</v>
      </c>
      <c r="E61" s="1135">
        <v>0.5</v>
      </c>
      <c r="F61" s="1150">
        <v>80</v>
      </c>
      <c r="H61" s="1101">
        <f>SUMIF(C59:C119,基准地价!C8,E59:E119)</f>
        <v>0</v>
      </c>
    </row>
    <row r="62" spans="1:8" s="1101" customFormat="1" ht="36">
      <c r="A62" s="1150">
        <v>2</v>
      </c>
      <c r="B62" s="3456"/>
      <c r="C62" s="1064" t="s">
        <v>1504</v>
      </c>
      <c r="D62" s="1064" t="s">
        <v>1505</v>
      </c>
      <c r="E62" s="1135">
        <v>0.5</v>
      </c>
      <c r="F62" s="1150">
        <v>80</v>
      </c>
    </row>
    <row r="63" spans="1:8" s="1101" customFormat="1" ht="48">
      <c r="A63" s="1150">
        <v>3</v>
      </c>
      <c r="B63" s="3456"/>
      <c r="C63" s="1064" t="s">
        <v>1506</v>
      </c>
      <c r="D63" s="1064" t="s">
        <v>1507</v>
      </c>
      <c r="E63" s="1135">
        <v>0.5</v>
      </c>
      <c r="F63" s="1150">
        <v>80</v>
      </c>
    </row>
    <row r="64" spans="1:8" s="1101" customFormat="1" ht="48">
      <c r="A64" s="1150">
        <v>4</v>
      </c>
      <c r="B64" s="3456"/>
      <c r="C64" s="1064" t="s">
        <v>1508</v>
      </c>
      <c r="D64" s="1064" t="s">
        <v>1509</v>
      </c>
      <c r="E64" s="1135">
        <v>0.4</v>
      </c>
      <c r="F64" s="1150">
        <v>60</v>
      </c>
    </row>
    <row r="65" spans="1:6" s="1101" customFormat="1" ht="48">
      <c r="A65" s="1150">
        <v>5</v>
      </c>
      <c r="B65" s="3456"/>
      <c r="C65" s="1064" t="s">
        <v>1510</v>
      </c>
      <c r="D65" s="1064" t="s">
        <v>1511</v>
      </c>
      <c r="E65" s="1135">
        <v>0.2</v>
      </c>
      <c r="F65" s="1150">
        <v>30</v>
      </c>
    </row>
    <row r="66" spans="1:6" s="1101" customFormat="1" ht="48">
      <c r="A66" s="1150">
        <v>6</v>
      </c>
      <c r="B66" s="3456"/>
      <c r="C66" s="1064" t="s">
        <v>1512</v>
      </c>
      <c r="D66" s="1064" t="s">
        <v>1513</v>
      </c>
      <c r="E66" s="1135">
        <v>0.3</v>
      </c>
      <c r="F66" s="1150">
        <v>50</v>
      </c>
    </row>
    <row r="67" spans="1:6" s="1101" customFormat="1" ht="48">
      <c r="A67" s="1150">
        <v>7</v>
      </c>
      <c r="B67" s="3456"/>
      <c r="C67" s="1064" t="s">
        <v>1514</v>
      </c>
      <c r="D67" s="1064" t="s">
        <v>1515</v>
      </c>
      <c r="E67" s="1135">
        <v>0.2</v>
      </c>
      <c r="F67" s="1150">
        <v>30</v>
      </c>
    </row>
    <row r="68" spans="1:6" s="1101" customFormat="1" ht="48">
      <c r="A68" s="1150">
        <v>8</v>
      </c>
      <c r="B68" s="3456"/>
      <c r="C68" s="1064" t="s">
        <v>1516</v>
      </c>
      <c r="D68" s="1064" t="s">
        <v>1517</v>
      </c>
      <c r="E68" s="1135">
        <v>0.2</v>
      </c>
      <c r="F68" s="1150">
        <v>30</v>
      </c>
    </row>
    <row r="69" spans="1:6" s="1101" customFormat="1" ht="48">
      <c r="A69" s="1150">
        <v>9</v>
      </c>
      <c r="B69" s="3456"/>
      <c r="C69" s="1064" t="s">
        <v>1518</v>
      </c>
      <c r="D69" s="1064" t="s">
        <v>1519</v>
      </c>
      <c r="E69" s="1135">
        <v>0.2</v>
      </c>
      <c r="F69" s="1150">
        <v>30</v>
      </c>
    </row>
    <row r="70" spans="1:6" s="1101" customFormat="1" ht="60">
      <c r="A70" s="1150">
        <v>10</v>
      </c>
      <c r="B70" s="3456"/>
      <c r="C70" s="1064" t="s">
        <v>1520</v>
      </c>
      <c r="D70" s="1064" t="s">
        <v>1521</v>
      </c>
      <c r="E70" s="1135">
        <v>0.2</v>
      </c>
      <c r="F70" s="1150">
        <v>30</v>
      </c>
    </row>
    <row r="71" spans="1:6" s="1101" customFormat="1" ht="60">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36">
      <c r="A73" s="1150">
        <v>13</v>
      </c>
      <c r="B73" s="3456"/>
      <c r="C73" s="1064" t="s">
        <v>1526</v>
      </c>
      <c r="D73" s="1064" t="s">
        <v>1527</v>
      </c>
      <c r="E73" s="1135">
        <v>0.4</v>
      </c>
      <c r="F73" s="1150">
        <v>60</v>
      </c>
    </row>
    <row r="74" spans="1:6" s="1101" customFormat="1" ht="36">
      <c r="A74" s="1150">
        <v>14</v>
      </c>
      <c r="B74" s="3456"/>
      <c r="C74" s="1064" t="s">
        <v>1528</v>
      </c>
      <c r="D74" s="1064" t="s">
        <v>1529</v>
      </c>
      <c r="E74" s="1135">
        <v>0.2</v>
      </c>
      <c r="F74" s="1150">
        <v>30</v>
      </c>
    </row>
    <row r="75" spans="1:6" s="1101" customFormat="1" ht="36">
      <c r="A75" s="1150">
        <v>15</v>
      </c>
      <c r="B75" s="3456"/>
      <c r="C75" s="1064" t="s">
        <v>1530</v>
      </c>
      <c r="D75" s="1064" t="s">
        <v>1531</v>
      </c>
      <c r="E75" s="1135">
        <v>0.2</v>
      </c>
      <c r="F75" s="1150">
        <v>30</v>
      </c>
    </row>
    <row r="76" spans="1:6" s="1101" customFormat="1" ht="36">
      <c r="A76" s="1150">
        <v>16</v>
      </c>
      <c r="B76" s="3456" t="s">
        <v>1532</v>
      </c>
      <c r="C76" s="1064" t="s">
        <v>1533</v>
      </c>
      <c r="D76" s="1064" t="s">
        <v>1534</v>
      </c>
      <c r="E76" s="1135">
        <v>0.5</v>
      </c>
      <c r="F76" s="1150">
        <v>80</v>
      </c>
    </row>
    <row r="77" spans="1:6" s="1101" customFormat="1" ht="36">
      <c r="A77" s="1150">
        <v>17</v>
      </c>
      <c r="B77" s="3456"/>
      <c r="C77" s="1064" t="s">
        <v>1535</v>
      </c>
      <c r="D77" s="1064" t="s">
        <v>1536</v>
      </c>
      <c r="E77" s="1135">
        <v>0.5</v>
      </c>
      <c r="F77" s="1150">
        <v>80</v>
      </c>
    </row>
    <row r="78" spans="1:6" s="1101" customFormat="1" ht="36">
      <c r="A78" s="1150">
        <v>18</v>
      </c>
      <c r="B78" s="3456"/>
      <c r="C78" s="1064" t="s">
        <v>1537</v>
      </c>
      <c r="D78" s="1064" t="s">
        <v>1538</v>
      </c>
      <c r="E78" s="1135">
        <v>0.2</v>
      </c>
      <c r="F78" s="1150">
        <v>30</v>
      </c>
    </row>
    <row r="79" spans="1:6" s="1101" customFormat="1" ht="36">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60">
      <c r="A82" s="1150">
        <v>22</v>
      </c>
      <c r="B82" s="3456"/>
      <c r="C82" s="1064" t="s">
        <v>1545</v>
      </c>
      <c r="D82" s="1064" t="s">
        <v>1546</v>
      </c>
      <c r="E82" s="1135">
        <v>0.2</v>
      </c>
      <c r="F82" s="1150">
        <v>30</v>
      </c>
    </row>
    <row r="83" spans="1:6" s="1101" customFormat="1" ht="60">
      <c r="A83" s="1150">
        <v>23</v>
      </c>
      <c r="B83" s="3456"/>
      <c r="C83" s="1064" t="s">
        <v>1547</v>
      </c>
      <c r="D83" s="1064" t="s">
        <v>1548</v>
      </c>
      <c r="E83" s="1135">
        <v>0.2</v>
      </c>
      <c r="F83" s="1150">
        <v>30</v>
      </c>
    </row>
    <row r="84" spans="1:6" s="1101" customFormat="1" ht="48">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36">
      <c r="A89" s="1150">
        <v>29</v>
      </c>
      <c r="B89" s="3456"/>
      <c r="C89" s="1064" t="s">
        <v>1559</v>
      </c>
      <c r="D89" s="1064" t="s">
        <v>1560</v>
      </c>
      <c r="E89" s="1135">
        <v>0.2</v>
      </c>
      <c r="F89" s="1150">
        <v>30</v>
      </c>
    </row>
    <row r="90" spans="1:6" s="1101" customFormat="1" ht="36">
      <c r="A90" s="1150">
        <v>30</v>
      </c>
      <c r="B90" s="3456"/>
      <c r="C90" s="1064" t="s">
        <v>1561</v>
      </c>
      <c r="D90" s="1064" t="s">
        <v>1562</v>
      </c>
      <c r="E90" s="1135">
        <v>0.2</v>
      </c>
      <c r="F90" s="1150">
        <v>30</v>
      </c>
    </row>
    <row r="91" spans="1:6" s="1101" customFormat="1" ht="48">
      <c r="A91" s="1150">
        <v>31</v>
      </c>
      <c r="B91" s="3456"/>
      <c r="C91" s="1064" t="s">
        <v>1563</v>
      </c>
      <c r="D91" s="1064" t="s">
        <v>1564</v>
      </c>
      <c r="E91" s="1135">
        <v>0.2</v>
      </c>
      <c r="F91" s="1150">
        <v>30</v>
      </c>
    </row>
    <row r="92" spans="1:6" s="1101" customFormat="1" ht="36">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60">
      <c r="A94" s="1150">
        <v>34</v>
      </c>
      <c r="B94" s="3456"/>
      <c r="C94" s="1150" t="s">
        <v>1570</v>
      </c>
      <c r="D94" s="1064" t="s">
        <v>1571</v>
      </c>
      <c r="E94" s="1135">
        <v>0.2</v>
      </c>
      <c r="F94" s="1150">
        <v>30</v>
      </c>
    </row>
    <row r="95" spans="1:6" s="1101" customFormat="1" ht="48">
      <c r="A95" s="1150">
        <v>35</v>
      </c>
      <c r="B95" s="3456"/>
      <c r="C95" s="1150" t="s">
        <v>1572</v>
      </c>
      <c r="D95" s="1064" t="s">
        <v>1573</v>
      </c>
      <c r="E95" s="1135">
        <v>0.2</v>
      </c>
      <c r="F95" s="1150">
        <v>30</v>
      </c>
    </row>
    <row r="96" spans="1:6" s="1101" customFormat="1" ht="72">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36">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56" t="s">
        <v>1595</v>
      </c>
      <c r="C105" s="1150" t="s">
        <v>1596</v>
      </c>
      <c r="D105" s="1064" t="s">
        <v>1597</v>
      </c>
      <c r="E105" s="1135">
        <v>0.2</v>
      </c>
      <c r="F105" s="1150">
        <v>30</v>
      </c>
    </row>
    <row r="106" spans="1:6" s="1101" customFormat="1" ht="48">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48">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56" t="s">
        <v>1611</v>
      </c>
      <c r="C111" s="1150" t="s">
        <v>1612</v>
      </c>
      <c r="D111" s="1064" t="s">
        <v>1613</v>
      </c>
      <c r="E111" s="1135">
        <v>0.2</v>
      </c>
      <c r="F111" s="1150">
        <v>30</v>
      </c>
    </row>
    <row r="112" spans="1:6" s="1101" customFormat="1" ht="36">
      <c r="A112" s="1150">
        <v>52</v>
      </c>
      <c r="B112" s="3456"/>
      <c r="C112" s="1150" t="s">
        <v>1614</v>
      </c>
      <c r="D112" s="1064" t="s">
        <v>1615</v>
      </c>
      <c r="E112" s="1135">
        <v>0.2</v>
      </c>
      <c r="F112" s="1150">
        <v>30</v>
      </c>
    </row>
    <row r="113" spans="1:14" s="1101" customFormat="1" ht="36">
      <c r="A113" s="1150">
        <v>53</v>
      </c>
      <c r="B113" s="345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74" t="s">
        <v>2079</v>
      </c>
      <c r="B1" s="3474"/>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77" t="s">
        <v>2576</v>
      </c>
      <c r="C1" s="3477"/>
      <c r="D1" s="3477"/>
      <c r="E1" s="3477"/>
      <c r="F1" s="3477"/>
      <c r="G1" s="3476" t="s">
        <v>2577</v>
      </c>
      <c r="H1" s="3476"/>
      <c r="I1" s="3476"/>
      <c r="J1" s="3476"/>
      <c r="K1" s="3476"/>
      <c r="L1" s="3476"/>
      <c r="N1" s="3476" t="s">
        <v>2578</v>
      </c>
      <c r="O1" s="3476"/>
      <c r="P1" s="3476"/>
      <c r="Q1" s="3476"/>
      <c r="R1" s="2619"/>
      <c r="S1" s="3476" t="s">
        <v>2579</v>
      </c>
      <c r="T1" s="3476"/>
      <c r="U1" s="3476"/>
      <c r="V1" s="3476"/>
      <c r="X1" s="3475" t="s">
        <v>2639</v>
      </c>
      <c r="Y1" s="3476"/>
      <c r="Z1" s="3476"/>
      <c r="AA1" s="3476"/>
      <c r="AB1" s="3476"/>
      <c r="AD1" s="3475" t="s">
        <v>2643</v>
      </c>
      <c r="AE1" s="3476"/>
      <c r="AF1" s="3476"/>
      <c r="AG1" s="3476"/>
      <c r="AH1" s="3476"/>
    </row>
    <row r="2" spans="1:34" s="2720" customFormat="1" ht="1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4">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4">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8"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8"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9">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9"/>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9"/>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4">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9"/>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9"/>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4">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9"/>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9"/>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8"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8" thickBot="1">
      <c r="A20" s="2620" t="s">
        <v>967</v>
      </c>
      <c r="B20" s="2625">
        <v>333</v>
      </c>
      <c r="C20" s="2625">
        <v>277</v>
      </c>
      <c r="D20" s="2625">
        <f t="shared" si="87"/>
        <v>277</v>
      </c>
      <c r="E20" s="2625">
        <v>459</v>
      </c>
      <c r="F20" s="2626">
        <v>249</v>
      </c>
      <c r="G20" s="347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9"/>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9"/>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8" thickBot="1">
      <c r="A24" s="2620" t="s">
        <v>963</v>
      </c>
      <c r="B24" s="2647">
        <v>318</v>
      </c>
      <c r="C24" s="2647">
        <v>268</v>
      </c>
      <c r="D24" s="2647">
        <f t="shared" si="87"/>
        <v>268</v>
      </c>
      <c r="E24" s="2647">
        <v>437</v>
      </c>
      <c r="F24" s="2648">
        <v>237</v>
      </c>
      <c r="G24" s="347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9"/>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8"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9"/>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8"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8" thickBot="1">
      <c r="A28" s="2620" t="s">
        <v>2583</v>
      </c>
      <c r="B28" s="2625">
        <v>299</v>
      </c>
      <c r="C28" s="2625">
        <v>252</v>
      </c>
      <c r="D28" s="2625">
        <f t="shared" si="87"/>
        <v>252</v>
      </c>
      <c r="E28" s="2625">
        <v>409</v>
      </c>
      <c r="F28" s="2626">
        <v>227</v>
      </c>
      <c r="G28" s="348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8" thickBot="1">
      <c r="A32" s="2620" t="s">
        <v>2587</v>
      </c>
      <c r="B32" s="2663">
        <v>278</v>
      </c>
      <c r="C32" s="2663">
        <v>234</v>
      </c>
      <c r="D32" s="2663">
        <f t="shared" si="87"/>
        <v>234</v>
      </c>
      <c r="E32" s="2663">
        <v>379</v>
      </c>
      <c r="F32" s="2664">
        <v>220</v>
      </c>
      <c r="G32" s="347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9"/>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9"/>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8" thickBot="1">
      <c r="A35" s="2620" t="s">
        <v>2590</v>
      </c>
      <c r="B35" s="2633">
        <f>B34/(1+N34)</f>
        <v>275.19025476197027</v>
      </c>
      <c r="C35" s="2665">
        <v>232</v>
      </c>
      <c r="D35" s="2665">
        <f t="shared" si="87"/>
        <v>232</v>
      </c>
      <c r="E35" s="2633">
        <f t="shared" si="98"/>
        <v>375.65990977608692</v>
      </c>
      <c r="F35" s="2633">
        <f t="shared" si="98"/>
        <v>214.12518283971252</v>
      </c>
      <c r="G35" s="348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8" thickBot="1">
      <c r="A36" s="2620" t="s">
        <v>2591</v>
      </c>
      <c r="B36" s="2625">
        <v>275</v>
      </c>
      <c r="C36" s="2625">
        <v>232</v>
      </c>
      <c r="D36" s="2625">
        <f t="shared" si="87"/>
        <v>232</v>
      </c>
      <c r="E36" s="2625">
        <v>376</v>
      </c>
      <c r="F36" s="2626">
        <v>213</v>
      </c>
      <c r="G36" s="347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9">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9">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8"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8" thickBot="1">
      <c r="A40" s="2620" t="s">
        <v>2595</v>
      </c>
      <c r="B40" s="2625">
        <v>269</v>
      </c>
      <c r="C40" s="2625">
        <v>221</v>
      </c>
      <c r="D40" s="2625">
        <f t="shared" si="87"/>
        <v>221</v>
      </c>
      <c r="E40" s="2625">
        <v>373</v>
      </c>
      <c r="F40" s="2626">
        <v>196</v>
      </c>
      <c r="G40" s="347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9">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9">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8"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8" thickBot="1">
      <c r="A44" s="2620" t="s">
        <v>2599</v>
      </c>
      <c r="B44" s="2625">
        <v>220</v>
      </c>
      <c r="C44" s="2625">
        <v>187</v>
      </c>
      <c r="D44" s="2625">
        <f t="shared" si="87"/>
        <v>187</v>
      </c>
      <c r="E44" s="2625">
        <v>301</v>
      </c>
      <c r="F44" s="2626">
        <v>168</v>
      </c>
      <c r="G44" s="347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9">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9">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8" thickBot="1">
      <c r="A48" s="2620" t="s">
        <v>2603</v>
      </c>
      <c r="B48" s="2663">
        <v>214</v>
      </c>
      <c r="C48" s="2663">
        <v>188</v>
      </c>
      <c r="D48" s="2663">
        <f t="shared" si="87"/>
        <v>188</v>
      </c>
      <c r="E48" s="2663">
        <v>289</v>
      </c>
      <c r="F48" s="2664">
        <v>166</v>
      </c>
      <c r="G48" s="347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9">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9">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8"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8" thickBot="1">
      <c r="A52" s="2620" t="s">
        <v>2607</v>
      </c>
      <c r="B52" s="2625">
        <v>188</v>
      </c>
      <c r="C52" s="2625">
        <v>165</v>
      </c>
      <c r="D52" s="2625">
        <f t="shared" si="87"/>
        <v>165</v>
      </c>
      <c r="E52" s="2625">
        <v>254</v>
      </c>
      <c r="F52" s="2626">
        <v>148</v>
      </c>
      <c r="G52" s="347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9">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9">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8" thickBot="1">
      <c r="A56" s="2620" t="s">
        <v>2611</v>
      </c>
      <c r="B56" s="2647">
        <v>159</v>
      </c>
      <c r="C56" s="2647">
        <v>141</v>
      </c>
      <c r="D56" s="2647">
        <f t="shared" si="87"/>
        <v>141</v>
      </c>
      <c r="E56" s="2647">
        <v>195</v>
      </c>
      <c r="F56" s="2648">
        <v>122</v>
      </c>
      <c r="G56" s="347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9">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9">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8" thickBot="1">
      <c r="A60" s="2620" t="s">
        <v>2615</v>
      </c>
      <c r="B60" s="2647">
        <v>138</v>
      </c>
      <c r="C60" s="2647">
        <v>131</v>
      </c>
      <c r="D60" s="2647">
        <f t="shared" si="87"/>
        <v>131</v>
      </c>
      <c r="E60" s="2647">
        <v>155</v>
      </c>
      <c r="F60" s="2648">
        <v>114</v>
      </c>
      <c r="G60" s="347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9">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9">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8" thickBot="1">
      <c r="A64" s="2620" t="s">
        <v>2619</v>
      </c>
      <c r="B64" s="2663">
        <v>121</v>
      </c>
      <c r="C64" s="2663">
        <v>122</v>
      </c>
      <c r="D64" s="2663">
        <f t="shared" si="87"/>
        <v>122</v>
      </c>
      <c r="E64" s="2663">
        <v>124</v>
      </c>
      <c r="F64" s="2664">
        <v>107</v>
      </c>
      <c r="G64" s="347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9">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9">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8"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8" thickBot="1">
      <c r="A68" s="2620" t="s">
        <v>2623</v>
      </c>
      <c r="B68" s="2684">
        <v>111</v>
      </c>
      <c r="C68" s="2684">
        <v>114</v>
      </c>
      <c r="D68" s="2684">
        <f t="shared" si="87"/>
        <v>114</v>
      </c>
      <c r="E68" s="2684">
        <v>108</v>
      </c>
      <c r="F68" s="2685">
        <v>104</v>
      </c>
      <c r="G68" s="347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9">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9">
        <v>2003</v>
      </c>
      <c r="H70" s="2624">
        <v>2</v>
      </c>
      <c r="I70" s="2686"/>
      <c r="J70" s="2686"/>
      <c r="K70" s="2686"/>
      <c r="L70" s="2686"/>
      <c r="X70" s="2678"/>
      <c r="Y70" s="2678"/>
      <c r="Z70" s="2678"/>
    </row>
    <row r="71" spans="1:26" ht="13.8" thickBot="1">
      <c r="A71" s="2620" t="s">
        <v>2626</v>
      </c>
      <c r="B71" s="2688">
        <f t="shared" si="123"/>
        <v>107.25</v>
      </c>
      <c r="C71" s="2688">
        <f t="shared" si="123"/>
        <v>108.75</v>
      </c>
      <c r="D71" s="2688">
        <f t="shared" si="87"/>
        <v>108.75</v>
      </c>
      <c r="E71" s="2688">
        <f t="shared" si="124"/>
        <v>105.75</v>
      </c>
      <c r="F71" s="2688">
        <f t="shared" si="124"/>
        <v>102.5</v>
      </c>
      <c r="G71" s="3480">
        <v>2003</v>
      </c>
      <c r="H71" s="2689">
        <v>1</v>
      </c>
      <c r="I71" s="2686"/>
      <c r="J71" s="2686"/>
      <c r="K71" s="2686"/>
      <c r="L71" s="2686"/>
      <c r="S71" s="2628"/>
      <c r="T71" s="2629"/>
      <c r="U71" s="2629"/>
      <c r="X71" s="2678"/>
      <c r="Y71" s="2678"/>
      <c r="Z71" s="2678"/>
    </row>
    <row r="72" spans="1:26" ht="13.8" thickBot="1">
      <c r="A72" s="2620" t="s">
        <v>2627</v>
      </c>
      <c r="B72" s="2690">
        <v>106</v>
      </c>
      <c r="C72" s="2690">
        <v>107</v>
      </c>
      <c r="D72" s="2690">
        <f t="shared" si="87"/>
        <v>107</v>
      </c>
      <c r="E72" s="2690">
        <v>105</v>
      </c>
      <c r="F72" s="2691">
        <v>102</v>
      </c>
      <c r="G72" s="347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9">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9">
        <v>2002</v>
      </c>
      <c r="H74" s="2624">
        <v>2</v>
      </c>
      <c r="I74" s="2686"/>
      <c r="J74" s="2686"/>
      <c r="K74" s="2686"/>
      <c r="L74" s="2686"/>
      <c r="X74" s="2678"/>
      <c r="Y74" s="2678"/>
      <c r="Z74" s="2678"/>
    </row>
    <row r="75" spans="1:26" s="2655" customFormat="1" ht="13.8" thickBot="1">
      <c r="A75" s="2651" t="s">
        <v>2630</v>
      </c>
      <c r="B75" s="2692">
        <f t="shared" si="125"/>
        <v>103</v>
      </c>
      <c r="C75" s="2692">
        <f t="shared" si="125"/>
        <v>104</v>
      </c>
      <c r="D75" s="2692">
        <f t="shared" si="87"/>
        <v>104</v>
      </c>
      <c r="E75" s="2692">
        <f t="shared" si="126"/>
        <v>103.5</v>
      </c>
      <c r="F75" s="2692">
        <f t="shared" si="126"/>
        <v>100.5</v>
      </c>
      <c r="G75" s="3480">
        <v>2002</v>
      </c>
      <c r="H75" s="2693">
        <v>1</v>
      </c>
      <c r="I75" s="2694"/>
      <c r="J75" s="2694"/>
      <c r="K75" s="2694"/>
      <c r="L75" s="2694"/>
      <c r="N75" s="2695"/>
      <c r="S75" s="2695"/>
      <c r="X75" s="2696"/>
      <c r="Y75" s="2696"/>
      <c r="Z75" s="2696"/>
    </row>
    <row r="76" spans="1:26" ht="13.8"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8"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8"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2950</v>
      </c>
      <c r="B1" s="3057"/>
      <c r="C1" s="3057"/>
      <c r="D1" s="3057"/>
      <c r="E1" s="3057"/>
      <c r="F1" s="3057"/>
    </row>
    <row r="2" spans="1:6" ht="15.6">
      <c r="A2" s="3058" t="s">
        <v>2945</v>
      </c>
      <c r="B2" s="3059" t="e">
        <f ca="1">SUMIF(B7:B14,"&lt;&gt;#ref!",B7:B14)</f>
        <v>#DIV/0!</v>
      </c>
      <c r="C2" s="3058" t="s">
        <v>2946</v>
      </c>
      <c r="D2" s="3057"/>
      <c r="E2" s="3057"/>
      <c r="F2" s="3057"/>
    </row>
    <row r="3" spans="1:6" ht="15.6">
      <c r="A3" s="3058" t="s">
        <v>2978</v>
      </c>
      <c r="B3" s="3059" t="e">
        <f ca="1">ROUND(B2*10000/E3,0)</f>
        <v>#DIV/0!</v>
      </c>
      <c r="C3" s="3058" t="s">
        <v>2078</v>
      </c>
      <c r="D3" s="3058" t="s">
        <v>2947</v>
      </c>
      <c r="E3" s="3059">
        <f ca="1">SUMIF(E7:E14,"&lt;&gt;#ref!",E7:E14)</f>
        <v>0</v>
      </c>
      <c r="F3" s="3057"/>
    </row>
    <row r="4" spans="1:6" ht="15.6">
      <c r="A4" s="3058" t="s">
        <v>2954</v>
      </c>
      <c r="B4" s="3059" t="e">
        <f ca="1">ROUND(B2*10000/E4,0)</f>
        <v>#DIV/0!</v>
      </c>
      <c r="C4" s="3058" t="s">
        <v>2078</v>
      </c>
      <c r="D4" s="3058" t="s">
        <v>2955</v>
      </c>
      <c r="E4" s="3059">
        <f ca="1">SUMIF(F7:F14,"&lt;&gt;#ref!",F7:F14)</f>
        <v>0</v>
      </c>
      <c r="F4" s="3057"/>
    </row>
    <row r="5" spans="1:6" ht="15.6">
      <c r="A5" s="3060"/>
      <c r="B5" s="1867"/>
      <c r="C5" s="1867"/>
      <c r="D5" s="1867"/>
      <c r="E5" s="1867"/>
      <c r="F5" s="3057"/>
    </row>
    <row r="6" spans="1:6" ht="31.2">
      <c r="A6" s="3061" t="s">
        <v>2951</v>
      </c>
      <c r="B6" s="3058" t="s">
        <v>2948</v>
      </c>
      <c r="C6" s="3059"/>
      <c r="D6" s="1867"/>
      <c r="E6" s="3058" t="s">
        <v>2949</v>
      </c>
      <c r="F6" s="3058" t="s">
        <v>2953</v>
      </c>
    </row>
    <row r="7" spans="1:6" ht="15.6">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2946</v>
      </c>
      <c r="D9" s="1867"/>
      <c r="E9" s="3063" t="e">
        <f t="shared" ca="1" si="1"/>
        <v>#REF!</v>
      </c>
      <c r="F9" s="3063" t="e">
        <f t="shared" ca="1" si="2"/>
        <v>#REF!</v>
      </c>
    </row>
    <row r="10" spans="1:6" ht="15.6">
      <c r="A10" s="260"/>
      <c r="B10" s="3062" t="e">
        <f t="shared" ca="1" si="0"/>
        <v>#REF!</v>
      </c>
      <c r="C10" s="3058" t="s">
        <v>2946</v>
      </c>
      <c r="D10" s="1867"/>
      <c r="E10" s="3063" t="e">
        <f t="shared" ca="1" si="1"/>
        <v>#REF!</v>
      </c>
      <c r="F10" s="3063" t="e">
        <f t="shared" ca="1" si="2"/>
        <v>#REF!</v>
      </c>
    </row>
    <row r="11" spans="1:6" ht="15.6">
      <c r="A11" s="260"/>
      <c r="B11" s="3062" t="e">
        <f t="shared" ca="1" si="0"/>
        <v>#REF!</v>
      </c>
      <c r="C11" s="3058" t="s">
        <v>2946</v>
      </c>
      <c r="D11" s="1867"/>
      <c r="E11" s="3063" t="e">
        <f t="shared" ca="1" si="1"/>
        <v>#REF!</v>
      </c>
      <c r="F11" s="3063" t="e">
        <f t="shared" ca="1" si="2"/>
        <v>#REF!</v>
      </c>
    </row>
    <row r="12" spans="1:6" ht="15.6">
      <c r="A12" s="260"/>
      <c r="B12" s="3062" t="e">
        <f t="shared" ca="1" si="0"/>
        <v>#REF!</v>
      </c>
      <c r="C12" s="3058" t="s">
        <v>2946</v>
      </c>
      <c r="D12" s="1867"/>
      <c r="E12" s="3063" t="e">
        <f t="shared" ca="1" si="1"/>
        <v>#REF!</v>
      </c>
      <c r="F12" s="3063" t="e">
        <f t="shared" ca="1" si="2"/>
        <v>#REF!</v>
      </c>
    </row>
    <row r="13" spans="1:6" ht="15.6">
      <c r="A13" s="260"/>
      <c r="B13" s="3062" t="e">
        <f t="shared" ca="1" si="0"/>
        <v>#REF!</v>
      </c>
      <c r="C13" s="3058" t="s">
        <v>2946</v>
      </c>
      <c r="D13" s="1867"/>
      <c r="E13" s="3063" t="e">
        <f t="shared" ca="1" si="1"/>
        <v>#REF!</v>
      </c>
      <c r="F13" s="3063" t="e">
        <f t="shared" ca="1" si="2"/>
        <v>#REF!</v>
      </c>
    </row>
    <row r="14" spans="1:6" ht="15.6">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7" t="s">
        <v>2463</v>
      </c>
      <c r="C8" s="1811">
        <f ca="1">ROUND(F8*F10*F9*(1-F11)/10000,0)</f>
        <v>0</v>
      </c>
      <c r="D8" s="1808" t="s">
        <v>2534</v>
      </c>
      <c r="E8" s="61" t="s">
        <v>637</v>
      </c>
      <c r="F8" s="785">
        <f ca="1">INDIRECT("'数据-取费表'!u"&amp;$G$1)</f>
        <v>0</v>
      </c>
      <c r="G8" s="1579"/>
      <c r="H8" s="2469" t="s">
        <v>1824</v>
      </c>
      <c r="I8" s="3487" t="s">
        <v>2463</v>
      </c>
      <c r="J8" s="783">
        <f ca="1">ROUND(M8*M10*M9*(1-M11)/10000,0)</f>
        <v>0</v>
      </c>
      <c r="K8" s="341" t="s">
        <v>2534</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31.8" thickBot="1">
      <c r="A54" s="2082"/>
      <c r="I54" s="3102" t="s">
        <v>2979</v>
      </c>
      <c r="J54" s="3181">
        <f ca="1">IF(M48="住宅",MAX(J52,L49-'数据-取费表'!B20),MIN(J52,L49-'数据-取费表'!B20))</f>
        <v>0</v>
      </c>
      <c r="K54" s="3491"/>
      <c r="L54" s="349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2"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7.4"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31.8"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6.2"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2" thickBot="1">
      <c r="A65" s="2082"/>
      <c r="B65" s="2083"/>
      <c r="C65" s="2083"/>
      <c r="I65" s="3121" t="s">
        <v>2371</v>
      </c>
      <c r="J65" s="3122">
        <v>50</v>
      </c>
      <c r="K65" s="3122">
        <v>35</v>
      </c>
      <c r="L65" s="3122">
        <v>60</v>
      </c>
      <c r="M65" s="846">
        <v>0</v>
      </c>
      <c r="O65" s="2369" t="s">
        <v>2415</v>
      </c>
      <c r="P65" s="1579"/>
      <c r="Q65" s="1590"/>
      <c r="R65" s="1579"/>
    </row>
    <row r="66" spans="1:18" s="2045" customFormat="1" ht="16.2"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t="e">
        <f ca="1">ROUND(Q71-Q72*Q73,0)</f>
        <v>#VALUE!</v>
      </c>
      <c r="R70" s="2368"/>
    </row>
    <row r="71" spans="1:18" s="2045" customFormat="1" ht="16.2" thickBot="1">
      <c r="A71" s="2082"/>
      <c r="B71" s="2083"/>
      <c r="C71" s="2083"/>
      <c r="K71" s="2072"/>
      <c r="O71" s="2366" t="s">
        <v>2399</v>
      </c>
      <c r="P71" s="2372" t="s">
        <v>2400</v>
      </c>
      <c r="Q71" s="2365" t="e">
        <f ca="1">C42</f>
        <v>#VALUE!</v>
      </c>
      <c r="R71" s="2364" t="s">
        <v>2380</v>
      </c>
    </row>
    <row r="72" spans="1:18" s="2045" customFormat="1" ht="16.2" thickBot="1">
      <c r="A72" s="2082"/>
      <c r="B72" s="2083"/>
      <c r="C72" s="2083"/>
      <c r="K72" s="2072"/>
      <c r="O72" s="2366" t="s">
        <v>2401</v>
      </c>
      <c r="P72" s="2372" t="s">
        <v>2402</v>
      </c>
      <c r="Q72" s="2365" t="e">
        <f ca="1">C15</f>
        <v>#VALUE!</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受贵公司委托，我公司对出让国有建设用地使用权进行了预评估。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2.2">
      <c r="A7" s="1781" t="s">
        <v>2747</v>
      </c>
    </row>
    <row r="8" spans="1:4" ht="17.399999999999999">
      <c r="A8" s="1780" t="s">
        <v>1906</v>
      </c>
    </row>
    <row r="9" spans="1:4" ht="69.59999999999999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2021年8月27日</v>
      </c>
    </row>
    <row r="12" spans="1:4" ht="17.399999999999999">
      <c r="A12" s="1783" t="s">
        <v>2025</v>
      </c>
    </row>
    <row r="13" spans="1:4" ht="17.399999999999999">
      <c r="A13" s="1777" t="s">
        <v>2943</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7.399999999999999">
      <c r="A21" s="1777" t="s">
        <v>2074</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2061年1月12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87">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7" t="s">
        <v>2463</v>
      </c>
      <c r="C6" s="783">
        <f ca="1">ROUND(F6*F8*F7*(1-F9)/10000,0)</f>
        <v>0</v>
      </c>
      <c r="D6" s="2462" t="s">
        <v>2462</v>
      </c>
      <c r="E6" s="784" t="s">
        <v>1738</v>
      </c>
      <c r="F6" s="785">
        <f ca="1">INDIRECT("'数据-取费表'!u"&amp;$G$1)</f>
        <v>0</v>
      </c>
      <c r="G6" s="1579"/>
      <c r="H6" s="2469" t="s">
        <v>2468</v>
      </c>
      <c r="I6" s="3487" t="s">
        <v>2463</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0</v>
      </c>
      <c r="G7" s="1579"/>
      <c r="H7" s="2454"/>
      <c r="I7" s="3488"/>
      <c r="J7" s="788"/>
      <c r="K7" s="789"/>
      <c r="L7" s="784" t="s">
        <v>1739</v>
      </c>
      <c r="M7" s="785">
        <f ca="1">F7</f>
        <v>0</v>
      </c>
    </row>
    <row r="8" spans="1:33" ht="18" customHeight="1">
      <c r="A8" s="2458"/>
      <c r="B8" s="3489"/>
      <c r="C8" s="788"/>
      <c r="D8" s="789"/>
      <c r="E8" s="784" t="s">
        <v>1740</v>
      </c>
      <c r="F8" s="785">
        <f ca="1">INDIRECT("'数据-取费表'!ai"&amp;$G$1)</f>
        <v>0</v>
      </c>
      <c r="G8" s="1579"/>
      <c r="H8" s="2454"/>
      <c r="I8" s="3489"/>
      <c r="J8" s="788"/>
      <c r="K8" s="789"/>
      <c r="L8" s="784" t="s">
        <v>1740</v>
      </c>
      <c r="M8" s="785">
        <f ca="1">INDIRECT("'数据-取费表'!ai"&amp;$G$1)</f>
        <v>0</v>
      </c>
    </row>
    <row r="9" spans="1:33" ht="18" customHeight="1">
      <c r="A9" s="786"/>
      <c r="B9" s="3490"/>
      <c r="C9" s="788"/>
      <c r="D9" s="789"/>
      <c r="E9" s="784" t="s">
        <v>1741</v>
      </c>
      <c r="F9" s="794">
        <f ca="1">INDIRECT("'数据-取费表'!w"&amp;$G$1)</f>
        <v>0</v>
      </c>
      <c r="G9" s="1579"/>
      <c r="H9" s="2470"/>
      <c r="I9" s="348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3" t="s">
        <v>2967</v>
      </c>
      <c r="L53" s="3494"/>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2"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6"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19.2"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0.399999999999999" thickBot="1">
      <c r="A68" s="786"/>
      <c r="B68" s="787"/>
      <c r="C68" s="788"/>
      <c r="D68" s="821" t="s">
        <v>1808</v>
      </c>
      <c r="E68" s="784" t="s">
        <v>1784</v>
      </c>
      <c r="F68" s="822">
        <f ca="1">F41</f>
        <v>0</v>
      </c>
      <c r="O68" s="2366" t="s">
        <v>2383</v>
      </c>
      <c r="P68" s="2364" t="s">
        <v>2413</v>
      </c>
      <c r="Q68" s="2370" t="e">
        <f ca="1">L51</f>
        <v>#VALUE!</v>
      </c>
      <c r="R68" s="2371" t="s">
        <v>2416</v>
      </c>
    </row>
    <row r="69" spans="1:18" ht="19.2" thickBot="1">
      <c r="A69" s="790"/>
      <c r="B69" s="791"/>
      <c r="C69" s="792"/>
      <c r="D69" s="816"/>
      <c r="E69" s="784" t="s">
        <v>710</v>
      </c>
      <c r="F69" s="2336"/>
      <c r="O69" s="2366" t="s">
        <v>2384</v>
      </c>
      <c r="P69" s="2372" t="s">
        <v>2398</v>
      </c>
      <c r="Q69" s="2365" t="e">
        <f ca="1">ROUND(Q70-Q71*Q72,0)</f>
        <v>#VALUE!</v>
      </c>
      <c r="R69" s="2368"/>
    </row>
    <row r="70" spans="1:18" ht="16.2"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6.2" thickBot="1">
      <c r="O71" s="2366" t="s">
        <v>2401</v>
      </c>
      <c r="P71" s="2372" t="s">
        <v>2402</v>
      </c>
      <c r="Q71" s="2365" t="e">
        <f ca="1">C13</f>
        <v>#VALUE!</v>
      </c>
      <c r="R71" s="2364" t="s">
        <v>2380</v>
      </c>
    </row>
    <row r="72" spans="1:18" ht="16.2" thickBot="1">
      <c r="O72" s="2366" t="s">
        <v>2403</v>
      </c>
      <c r="P72" s="2372" t="s">
        <v>2404</v>
      </c>
      <c r="Q72" s="2367">
        <f ca="1">J36</f>
        <v>0</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4.4"/>
  <cols>
    <col min="1" max="1" width="10.44140625" customWidth="1"/>
    <col min="2" max="2" width="12.88671875" customWidth="1"/>
    <col min="3" max="3" width="8.77734375" customWidth="1"/>
  </cols>
  <sheetData>
    <row r="1" spans="1:9" ht="15.6">
      <c r="A1" s="3511" t="s">
        <v>2471</v>
      </c>
      <c r="B1" s="3512"/>
      <c r="C1" s="3513"/>
      <c r="D1" s="3514">
        <f>SUM(I10,I15,I20,I21,I23)</f>
        <v>0</v>
      </c>
      <c r="E1" s="3514"/>
      <c r="F1" s="3514"/>
      <c r="G1" s="3514"/>
      <c r="H1" s="3514"/>
      <c r="I1" s="3515"/>
    </row>
    <row r="2" spans="1:9">
      <c r="A2" s="3501" t="s">
        <v>2472</v>
      </c>
      <c r="B2" s="3502" t="s">
        <v>2473</v>
      </c>
      <c r="C2" s="3502"/>
      <c r="D2" s="2472" t="s">
        <v>2474</v>
      </c>
      <c r="E2" s="2472" t="s">
        <v>2475</v>
      </c>
      <c r="F2" s="2472" t="s">
        <v>2476</v>
      </c>
      <c r="G2" s="2472" t="s">
        <v>2477</v>
      </c>
      <c r="H2" s="2472" t="s">
        <v>2478</v>
      </c>
      <c r="I2" s="2473" t="s">
        <v>2479</v>
      </c>
    </row>
    <row r="3" spans="1:9">
      <c r="A3" s="3501"/>
      <c r="B3" s="3502" t="s">
        <v>2480</v>
      </c>
      <c r="C3" s="3502"/>
      <c r="D3" s="2474"/>
      <c r="E3" s="2472"/>
      <c r="F3" s="2475"/>
      <c r="G3" s="2475"/>
      <c r="H3" s="2476"/>
      <c r="I3" s="2477">
        <f>ROUND(D3*E3*F3*G3*H3/10000,0)</f>
        <v>0</v>
      </c>
    </row>
    <row r="4" spans="1:9">
      <c r="A4" s="3501"/>
      <c r="B4" s="3502" t="s">
        <v>2481</v>
      </c>
      <c r="C4" s="3502"/>
      <c r="D4" s="2474"/>
      <c r="E4" s="2472"/>
      <c r="F4" s="2475"/>
      <c r="G4" s="2475"/>
      <c r="H4" s="2476"/>
      <c r="I4" s="2477">
        <f t="shared" ref="I4:I9" si="0">ROUND(D4*E4*F4*G4*H4/10000,0)</f>
        <v>0</v>
      </c>
    </row>
    <row r="5" spans="1:9">
      <c r="A5" s="3501"/>
      <c r="B5" s="3502" t="s">
        <v>2482</v>
      </c>
      <c r="C5" s="3502"/>
      <c r="D5" s="2474"/>
      <c r="E5" s="2472"/>
      <c r="F5" s="2475"/>
      <c r="G5" s="2475"/>
      <c r="H5" s="2476"/>
      <c r="I5" s="2477">
        <f t="shared" si="0"/>
        <v>0</v>
      </c>
    </row>
    <row r="6" spans="1:9">
      <c r="A6" s="3501"/>
      <c r="B6" s="3502" t="s">
        <v>2483</v>
      </c>
      <c r="C6" s="3502"/>
      <c r="D6" s="2474"/>
      <c r="E6" s="2472"/>
      <c r="F6" s="2475"/>
      <c r="G6" s="2475"/>
      <c r="H6" s="2476"/>
      <c r="I6" s="2477">
        <f t="shared" si="0"/>
        <v>0</v>
      </c>
    </row>
    <row r="7" spans="1:9">
      <c r="A7" s="3501"/>
      <c r="B7" s="3502" t="s">
        <v>2484</v>
      </c>
      <c r="C7" s="3502"/>
      <c r="D7" s="2474"/>
      <c r="E7" s="2472"/>
      <c r="F7" s="2475"/>
      <c r="G7" s="2475"/>
      <c r="H7" s="2476"/>
      <c r="I7" s="2477">
        <f t="shared" si="0"/>
        <v>0</v>
      </c>
    </row>
    <row r="8" spans="1:9">
      <c r="A8" s="3501"/>
      <c r="B8" s="3502" t="s">
        <v>2485</v>
      </c>
      <c r="C8" s="3502"/>
      <c r="D8" s="2474"/>
      <c r="E8" s="2472"/>
      <c r="F8" s="2475"/>
      <c r="G8" s="2475"/>
      <c r="H8" s="2476"/>
      <c r="I8" s="2477">
        <f t="shared" si="0"/>
        <v>0</v>
      </c>
    </row>
    <row r="9" spans="1:9">
      <c r="A9" s="3501"/>
      <c r="B9" s="3502" t="s">
        <v>2486</v>
      </c>
      <c r="C9" s="3502"/>
      <c r="D9" s="2474"/>
      <c r="E9" s="2472"/>
      <c r="F9" s="2475"/>
      <c r="G9" s="2475"/>
      <c r="H9" s="2476"/>
      <c r="I9" s="2477">
        <f t="shared" si="0"/>
        <v>0</v>
      </c>
    </row>
    <row r="10" spans="1:9">
      <c r="A10" s="3501"/>
      <c r="B10" s="3503" t="s">
        <v>2487</v>
      </c>
      <c r="C10" s="3503"/>
      <c r="D10" s="2478">
        <v>527</v>
      </c>
      <c r="E10" s="2478" t="e">
        <f>ROUND(D1*10000/D10/H9,0)</f>
        <v>#DIV/0!</v>
      </c>
      <c r="F10" s="2479"/>
      <c r="G10" s="2479"/>
      <c r="H10" s="2480"/>
      <c r="I10" s="2481">
        <f>SUM(I3:I9)</f>
        <v>0</v>
      </c>
    </row>
    <row r="11" spans="1:9" ht="15.6">
      <c r="A11" s="3501" t="s">
        <v>2488</v>
      </c>
      <c r="B11" s="3502" t="s">
        <v>2489</v>
      </c>
      <c r="C11" s="3502"/>
      <c r="D11" s="2474" t="s">
        <v>2490</v>
      </c>
      <c r="E11" s="2474" t="s">
        <v>2491</v>
      </c>
      <c r="F11" s="2475" t="s">
        <v>2492</v>
      </c>
      <c r="G11" s="2475" t="s">
        <v>2493</v>
      </c>
      <c r="H11" s="2482" t="s">
        <v>2494</v>
      </c>
      <c r="I11" s="2473" t="s">
        <v>2495</v>
      </c>
    </row>
    <row r="12" spans="1:9">
      <c r="A12" s="3501"/>
      <c r="B12" s="3502" t="s">
        <v>2496</v>
      </c>
      <c r="C12" s="3502"/>
      <c r="D12" s="2474"/>
      <c r="E12" s="2474"/>
      <c r="F12" s="2475"/>
      <c r="G12" s="2476"/>
      <c r="H12" s="2483"/>
      <c r="I12" s="2473">
        <f>ROUND(D12*E12*F12*G12/10000,0)</f>
        <v>0</v>
      </c>
    </row>
    <row r="13" spans="1:9">
      <c r="A13" s="3501"/>
      <c r="B13" s="3502" t="s">
        <v>2497</v>
      </c>
      <c r="C13" s="3502"/>
      <c r="D13" s="2474"/>
      <c r="E13" s="2474"/>
      <c r="F13" s="2475"/>
      <c r="G13" s="2476"/>
      <c r="H13" s="2483"/>
      <c r="I13" s="2473">
        <f>ROUND(D13*E13*F13*G13/10000,0)</f>
        <v>0</v>
      </c>
    </row>
    <row r="14" spans="1:9">
      <c r="A14" s="3501"/>
      <c r="B14" s="3502" t="s">
        <v>2498</v>
      </c>
      <c r="C14" s="3502"/>
      <c r="D14" s="2474"/>
      <c r="E14" s="2474"/>
      <c r="F14" s="2475"/>
      <c r="G14" s="2476"/>
      <c r="H14" s="2483"/>
      <c r="I14" s="2473">
        <f>ROUND(D14*E14*F14*G14/10000,0)</f>
        <v>0</v>
      </c>
    </row>
    <row r="15" spans="1:9">
      <c r="A15" s="3501"/>
      <c r="B15" s="3503" t="s">
        <v>2487</v>
      </c>
      <c r="C15" s="3503"/>
      <c r="D15" s="2478"/>
      <c r="E15" s="2478">
        <f>SUM(E12:E14)</f>
        <v>0</v>
      </c>
      <c r="F15" s="2479"/>
      <c r="G15" s="2476"/>
      <c r="H15" s="2483"/>
      <c r="I15" s="2484">
        <f>SUM(I12:I14)</f>
        <v>0</v>
      </c>
    </row>
    <row r="16" spans="1:9" ht="24">
      <c r="A16" s="3501" t="s">
        <v>2499</v>
      </c>
      <c r="B16" s="3502" t="s">
        <v>2500</v>
      </c>
      <c r="C16" s="3502"/>
      <c r="D16" s="2474" t="s">
        <v>2501</v>
      </c>
      <c r="E16" s="2485" t="s">
        <v>2502</v>
      </c>
      <c r="F16" s="2475" t="s">
        <v>2503</v>
      </c>
      <c r="G16" s="2476" t="s">
        <v>2493</v>
      </c>
      <c r="H16" s="2482" t="s">
        <v>2494</v>
      </c>
      <c r="I16" s="2473" t="s">
        <v>2495</v>
      </c>
    </row>
    <row r="17" spans="1:9" ht="15.6">
      <c r="A17" s="3501"/>
      <c r="B17" s="3502" t="s">
        <v>2504</v>
      </c>
      <c r="C17" s="3502"/>
      <c r="D17" s="2474"/>
      <c r="E17" s="2474"/>
      <c r="F17" s="2475"/>
      <c r="G17" s="2476"/>
      <c r="H17" s="2486"/>
      <c r="I17" s="2487">
        <f>ROUND(D17*E17*F17*G17/10000,0)</f>
        <v>0</v>
      </c>
    </row>
    <row r="18" spans="1:9" ht="15.6">
      <c r="A18" s="3501"/>
      <c r="B18" s="3502" t="s">
        <v>2505</v>
      </c>
      <c r="C18" s="3502"/>
      <c r="D18" s="2474"/>
      <c r="E18" s="2474"/>
      <c r="F18" s="2475"/>
      <c r="G18" s="2476"/>
      <c r="H18" s="2486"/>
      <c r="I18" s="2487">
        <f>ROUND(D18*E18*F18*G18/10000,0)</f>
        <v>0</v>
      </c>
    </row>
    <row r="19" spans="1:9" ht="15.6">
      <c r="A19" s="3501"/>
      <c r="B19" s="3502" t="s">
        <v>2506</v>
      </c>
      <c r="C19" s="3502"/>
      <c r="D19" s="2474"/>
      <c r="E19" s="2474"/>
      <c r="F19" s="2475"/>
      <c r="G19" s="2476"/>
      <c r="H19" s="2486"/>
      <c r="I19" s="2487">
        <f>ROUND(D19*E19*F19*G19/10000,0)</f>
        <v>0</v>
      </c>
    </row>
    <row r="20" spans="1:9">
      <c r="A20" s="3501"/>
      <c r="B20" s="3503" t="s">
        <v>2487</v>
      </c>
      <c r="C20" s="3503"/>
      <c r="D20" s="2478">
        <f>SUM(D17:D19)</f>
        <v>0</v>
      </c>
      <c r="E20" s="2478"/>
      <c r="F20" s="2479"/>
      <c r="G20" s="2476"/>
      <c r="H20" s="2483"/>
      <c r="I20" s="2484">
        <f>SUM(I17:I19)</f>
        <v>0</v>
      </c>
    </row>
    <row r="21" spans="1:9">
      <c r="A21" s="3501" t="s">
        <v>2507</v>
      </c>
      <c r="B21" s="3504"/>
      <c r="C21" s="3504"/>
      <c r="D21" s="3504"/>
      <c r="E21" s="3504"/>
      <c r="F21" s="3504"/>
      <c r="G21" s="3504"/>
      <c r="H21" s="2488">
        <v>0.1</v>
      </c>
      <c r="I21" s="2481">
        <f>ROUND(I10*H21,0)</f>
        <v>0</v>
      </c>
    </row>
    <row r="22" spans="1:9" ht="15.6">
      <c r="A22" s="3505" t="s">
        <v>2508</v>
      </c>
      <c r="B22" s="3506"/>
      <c r="C22" s="3507"/>
      <c r="D22" s="2489" t="s">
        <v>2509</v>
      </c>
      <c r="E22" s="2489" t="s">
        <v>2510</v>
      </c>
      <c r="F22" s="2490" t="s">
        <v>2511</v>
      </c>
      <c r="G22" s="2490" t="s">
        <v>2512</v>
      </c>
      <c r="H22" s="2482" t="s">
        <v>2513</v>
      </c>
      <c r="I22" s="2473" t="s">
        <v>2514</v>
      </c>
    </row>
    <row r="23" spans="1:9" ht="15" thickBot="1">
      <c r="A23" s="3508"/>
      <c r="B23" s="3509"/>
      <c r="C23" s="3510"/>
      <c r="D23" s="2491"/>
      <c r="E23" s="2491"/>
      <c r="F23" s="2491"/>
      <c r="G23" s="2492"/>
      <c r="H23" s="2493"/>
      <c r="I23" s="2494">
        <f>ROUND(E23*D23*F23*(1-G23)/10000,0)</f>
        <v>0</v>
      </c>
    </row>
    <row r="26" spans="1:9">
      <c r="A26" s="2495" t="s">
        <v>2515</v>
      </c>
      <c r="B26" s="2495"/>
      <c r="C26" s="2495"/>
      <c r="D26" s="2495"/>
      <c r="E26" s="3498">
        <f>C27-C30-C31-C32</f>
        <v>0</v>
      </c>
      <c r="F26" s="3498"/>
      <c r="G26" s="3498"/>
      <c r="H26" s="2995" t="s">
        <v>2843</v>
      </c>
    </row>
    <row r="27" spans="1:9">
      <c r="A27" s="2496">
        <v>1</v>
      </c>
      <c r="B27" s="2497" t="s">
        <v>2516</v>
      </c>
      <c r="C27" s="2497"/>
      <c r="D27" s="2497"/>
      <c r="E27" s="3499"/>
      <c r="F27" s="3499"/>
      <c r="G27" s="3499"/>
    </row>
    <row r="28" spans="1:9">
      <c r="A28" s="2498" t="s">
        <v>2517</v>
      </c>
      <c r="B28" s="2497" t="s">
        <v>2518</v>
      </c>
      <c r="C28" s="2497"/>
      <c r="D28" s="2497"/>
      <c r="E28" s="3499"/>
      <c r="F28" s="3499"/>
      <c r="G28" s="3499"/>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0"/>
      <c r="F32" s="3500"/>
      <c r="G32" s="3500"/>
    </row>
    <row r="33" spans="1:7" hidden="1">
      <c r="A33" s="3495" t="s">
        <v>2526</v>
      </c>
      <c r="B33" s="3496"/>
      <c r="C33" s="3496"/>
      <c r="D33" s="3497"/>
      <c r="E33" s="3498"/>
      <c r="F33" s="3498"/>
      <c r="G33" s="3498"/>
    </row>
    <row r="34" spans="1:7" hidden="1">
      <c r="A34" s="2500">
        <v>1</v>
      </c>
      <c r="B34" s="2497" t="s">
        <v>2527</v>
      </c>
      <c r="C34" s="2497"/>
      <c r="D34" s="2497"/>
      <c r="E34" s="3499"/>
      <c r="F34" s="3499"/>
      <c r="G34" s="3499"/>
    </row>
    <row r="35" spans="1:7" hidden="1">
      <c r="A35" s="2500">
        <v>2</v>
      </c>
      <c r="B35" s="2497" t="s">
        <v>2528</v>
      </c>
      <c r="C35" s="2497"/>
      <c r="D35" s="2497"/>
      <c r="E35" s="3499"/>
      <c r="F35" s="3499"/>
      <c r="G35" s="3499"/>
    </row>
    <row r="36" spans="1:7" hidden="1">
      <c r="A36" s="2500">
        <v>3</v>
      </c>
      <c r="B36" s="2497" t="s">
        <v>2529</v>
      </c>
      <c r="C36" s="2497"/>
      <c r="D36" s="2497"/>
      <c r="E36" s="3499"/>
      <c r="F36" s="3499"/>
      <c r="G36" s="3499"/>
    </row>
    <row r="37" spans="1:7" hidden="1">
      <c r="A37" s="2500">
        <v>4</v>
      </c>
      <c r="B37" s="2497" t="s">
        <v>2530</v>
      </c>
      <c r="C37" s="2497"/>
      <c r="D37" s="2497"/>
      <c r="E37" s="3499"/>
      <c r="F37" s="3499"/>
      <c r="G37" s="3499"/>
    </row>
    <row r="38" spans="1:7" hidden="1">
      <c r="A38" s="3495" t="s">
        <v>2531</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0.89900000000000002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419" t="s">
        <v>522</v>
      </c>
      <c r="D4" s="3420"/>
      <c r="E4" s="3443" t="s">
        <v>523</v>
      </c>
      <c r="F4" s="3444"/>
      <c r="G4" s="3419" t="s">
        <v>524</v>
      </c>
      <c r="H4" s="3420"/>
      <c r="I4" s="3419" t="s">
        <v>525</v>
      </c>
      <c r="J4" s="3420"/>
      <c r="K4" s="853"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2" t="s">
        <v>524</v>
      </c>
      <c r="AC4" s="3402" t="s">
        <v>525</v>
      </c>
    </row>
    <row r="5" spans="1:29">
      <c r="A5" s="515"/>
      <c r="B5" s="516"/>
      <c r="C5" s="3430" t="s">
        <v>2931</v>
      </c>
      <c r="D5" s="3431"/>
      <c r="E5" s="3445" t="s">
        <v>2932</v>
      </c>
      <c r="F5" s="3446"/>
      <c r="G5" s="3430" t="s">
        <v>2933</v>
      </c>
      <c r="H5" s="3431"/>
      <c r="I5" s="3430" t="s">
        <v>2934</v>
      </c>
      <c r="J5" s="3431"/>
      <c r="K5" s="85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2935</v>
      </c>
      <c r="D6" s="3429"/>
      <c r="E6" s="3447" t="s">
        <v>2935</v>
      </c>
      <c r="F6" s="3448"/>
      <c r="G6" s="3428" t="s">
        <v>2935</v>
      </c>
      <c r="H6" s="3429"/>
      <c r="I6" s="3428" t="s">
        <v>2935</v>
      </c>
      <c r="J6" s="3429"/>
      <c r="K6" s="85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5" t="s">
        <v>530</v>
      </c>
      <c r="Q7" s="3414"/>
      <c r="R7" s="1555" t="s">
        <v>13</v>
      </c>
      <c r="S7" s="1556">
        <f t="shared" ref="S7:S15" si="0">F7</f>
        <v>0</v>
      </c>
      <c r="T7" s="1555" t="s">
        <v>13</v>
      </c>
      <c r="U7" s="1556">
        <f t="shared" ref="U7:U15" si="1">H7</f>
        <v>0</v>
      </c>
      <c r="V7" s="1555" t="s">
        <v>13</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5" t="s">
        <v>533</v>
      </c>
      <c r="Q8" s="3406"/>
      <c r="R8" s="1555" t="s">
        <v>13</v>
      </c>
      <c r="S8" s="1556">
        <f t="shared" si="0"/>
        <v>0</v>
      </c>
      <c r="T8" s="1555" t="s">
        <v>13</v>
      </c>
      <c r="U8" s="1556">
        <f t="shared" si="1"/>
        <v>0</v>
      </c>
      <c r="V8" s="1555" t="s">
        <v>13</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3"/>
      <c r="Q11" s="1147" t="str">
        <f t="shared" si="6"/>
        <v>容积率</v>
      </c>
      <c r="R11" s="1555" t="s">
        <v>11</v>
      </c>
      <c r="S11" s="1556" t="e">
        <f t="shared" si="0"/>
        <v>#N/A</v>
      </c>
      <c r="T11" s="1555" t="s">
        <v>11</v>
      </c>
      <c r="U11" s="1556" t="e">
        <f t="shared" si="1"/>
        <v>#N/A</v>
      </c>
      <c r="V11" s="1555" t="s">
        <v>11</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3"/>
      <c r="Q12" s="1147">
        <f t="shared" si="6"/>
        <v>111</v>
      </c>
      <c r="R12" s="1555" t="s">
        <v>11</v>
      </c>
      <c r="S12" s="1556">
        <f t="shared" si="0"/>
        <v>100</v>
      </c>
      <c r="T12" s="1555" t="s">
        <v>11</v>
      </c>
      <c r="U12" s="1556">
        <f t="shared" si="1"/>
        <v>100</v>
      </c>
      <c r="V12" s="1555" t="s">
        <v>11</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3"/>
      <c r="Q13" s="1147">
        <f t="shared" si="6"/>
        <v>111</v>
      </c>
      <c r="R13" s="1555" t="s">
        <v>11</v>
      </c>
      <c r="S13" s="1556">
        <f t="shared" si="0"/>
        <v>100</v>
      </c>
      <c r="T13" s="1555" t="s">
        <v>11</v>
      </c>
      <c r="U13" s="1556">
        <f t="shared" si="1"/>
        <v>100</v>
      </c>
      <c r="V13" s="1555" t="s">
        <v>11</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3"/>
      <c r="Q14" s="1147">
        <f t="shared" si="6"/>
        <v>111</v>
      </c>
      <c r="R14" s="1555" t="s">
        <v>11</v>
      </c>
      <c r="S14" s="1556">
        <f t="shared" si="0"/>
        <v>100</v>
      </c>
      <c r="T14" s="1555" t="s">
        <v>11</v>
      </c>
      <c r="U14" s="1556">
        <f t="shared" si="1"/>
        <v>100</v>
      </c>
      <c r="V14" s="1555" t="s">
        <v>11</v>
      </c>
      <c r="W14" s="1556">
        <f t="shared" si="2"/>
        <v>100</v>
      </c>
      <c r="X14" s="1557"/>
      <c r="Y14" s="3370"/>
      <c r="Z14" s="1146">
        <f t="shared" si="7"/>
        <v>111</v>
      </c>
      <c r="AA14" s="1558">
        <f t="shared" si="3"/>
        <v>1</v>
      </c>
      <c r="AB14" s="1558">
        <f t="shared" si="4"/>
        <v>1</v>
      </c>
      <c r="AC14" s="1558">
        <f t="shared" si="5"/>
        <v>1</v>
      </c>
    </row>
    <row r="15" spans="1:29" ht="96.6">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5" t="s">
        <v>540</v>
      </c>
      <c r="Q15" s="1559" t="str">
        <f t="shared" si="6"/>
        <v>居住社区成熟度</v>
      </c>
      <c r="R15" s="1560" t="s">
        <v>11</v>
      </c>
      <c r="S15" s="1561">
        <f t="shared" si="0"/>
        <v>100</v>
      </c>
      <c r="T15" s="1560" t="s">
        <v>11</v>
      </c>
      <c r="U15" s="1561">
        <f t="shared" si="1"/>
        <v>100</v>
      </c>
      <c r="V15" s="1560" t="s">
        <v>11</v>
      </c>
      <c r="W15" s="1561">
        <f t="shared" si="2"/>
        <v>100</v>
      </c>
      <c r="X15" s="1554"/>
      <c r="Y15" s="341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6"/>
      <c r="Q17" s="1559" t="str">
        <f>B17</f>
        <v>交通便捷度</v>
      </c>
      <c r="R17" s="1560" t="s">
        <v>11</v>
      </c>
      <c r="S17" s="1561">
        <f>F17</f>
        <v>100</v>
      </c>
      <c r="T17" s="1560" t="s">
        <v>11</v>
      </c>
      <c r="U17" s="1561">
        <f>H17</f>
        <v>100</v>
      </c>
      <c r="V17" s="1560" t="s">
        <v>11</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6"/>
      <c r="Q19" s="1559" t="str">
        <f>B19</f>
        <v>公共配套设施</v>
      </c>
      <c r="R19" s="1560" t="s">
        <v>11</v>
      </c>
      <c r="S19" s="1561">
        <f>F19</f>
        <v>100</v>
      </c>
      <c r="T19" s="1560" t="s">
        <v>11</v>
      </c>
      <c r="U19" s="1561">
        <f>H19</f>
        <v>100</v>
      </c>
      <c r="V19" s="1560" t="s">
        <v>11</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7.6">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6"/>
      <c r="Q21" s="2544" t="str">
        <f>B21</f>
        <v>基础设施水平</v>
      </c>
      <c r="R21" s="1560" t="s">
        <v>11</v>
      </c>
      <c r="S21" s="1561">
        <f>F21</f>
        <v>100</v>
      </c>
      <c r="T21" s="1560" t="s">
        <v>11</v>
      </c>
      <c r="U21" s="1561">
        <f>H21</f>
        <v>100</v>
      </c>
      <c r="V21" s="1560" t="s">
        <v>11</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8"/>
      <c r="Q33" s="1591" t="str">
        <f t="shared" si="11"/>
        <v>项目建筑规模</v>
      </c>
      <c r="R33" s="1564" t="s">
        <v>11</v>
      </c>
      <c r="S33" s="1565" t="e">
        <f t="shared" si="12"/>
        <v>#N/A</v>
      </c>
      <c r="T33" s="1564" t="s">
        <v>11</v>
      </c>
      <c r="U33" s="1565" t="e">
        <f t="shared" si="13"/>
        <v>#N/A</v>
      </c>
      <c r="V33" s="1564" t="s">
        <v>11</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8"/>
      <c r="Q37" s="1147" t="str">
        <f t="shared" si="11"/>
        <v>成新度</v>
      </c>
      <c r="R37" s="1555" t="s">
        <v>11</v>
      </c>
      <c r="S37" s="1556" t="e">
        <f t="shared" si="12"/>
        <v>#N/A</v>
      </c>
      <c r="T37" s="1555" t="s">
        <v>11</v>
      </c>
      <c r="U37" s="1556" t="e">
        <f t="shared" si="13"/>
        <v>#N/A</v>
      </c>
      <c r="V37" s="1555" t="s">
        <v>11</v>
      </c>
      <c r="W37" s="1556" t="e">
        <f t="shared" si="14"/>
        <v>#N/A</v>
      </c>
      <c r="X37" s="1557"/>
      <c r="Y37" s="341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4.4">
      <c r="A47" s="607" t="s">
        <v>736</v>
      </c>
      <c r="B47" s="887"/>
      <c r="C47" s="2592" t="s">
        <v>9</v>
      </c>
      <c r="D47" s="2593"/>
      <c r="E47" s="2594"/>
      <c r="F47" s="2595"/>
      <c r="G47" s="2596"/>
      <c r="H47" s="2597"/>
      <c r="I47" s="2594"/>
      <c r="J47" s="2597"/>
      <c r="K47" s="1592"/>
      <c r="L47" s="2130"/>
      <c r="M47" s="2131"/>
      <c r="N47" s="2120"/>
      <c r="O47" s="2131"/>
      <c r="P47" s="3413" t="str">
        <f>A47</f>
        <v>成交单价（元/平方米）</v>
      </c>
      <c r="Q47" s="3413"/>
      <c r="R47" s="3517">
        <f>E47</f>
        <v>0</v>
      </c>
      <c r="S47" s="3517"/>
      <c r="T47" s="3517">
        <f>G47</f>
        <v>0</v>
      </c>
      <c r="U47" s="3517"/>
      <c r="V47" s="3517">
        <f>I47</f>
        <v>0</v>
      </c>
      <c r="W47" s="3517"/>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 thickBot="1">
      <c r="A49" s="621" t="s">
        <v>2937</v>
      </c>
      <c r="B49" s="622"/>
      <c r="C49" s="2601" t="e">
        <f>R49</f>
        <v>#DIV/0!</v>
      </c>
      <c r="D49" s="2601"/>
      <c r="E49" s="2601"/>
      <c r="F49" s="2601"/>
      <c r="G49" s="2601"/>
      <c r="H49" s="2601"/>
      <c r="I49" s="2601"/>
      <c r="J49" s="2601"/>
      <c r="K49" s="1594"/>
      <c r="L49" s="2130"/>
      <c r="M49" s="2131"/>
      <c r="N49" s="2131"/>
      <c r="O49" s="2131"/>
      <c r="P49" s="3434" t="str">
        <f>A49</f>
        <v>估价对象XX用房的比较价格（楼面单价，元/平方米）</v>
      </c>
      <c r="Q49" s="3435"/>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27" t="s">
        <v>524</v>
      </c>
      <c r="AC4" s="3402" t="s">
        <v>525</v>
      </c>
    </row>
    <row r="5" spans="1:29">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27"/>
      <c r="AC5" s="3403"/>
    </row>
    <row r="6" spans="1:29" ht="1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27"/>
      <c r="AC6" s="3404"/>
    </row>
    <row r="7" spans="1:29" s="1216" customFormat="1" ht="1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82.8">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41.4">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413" t="str">
        <f>A47</f>
        <v>成交单价（元/平方米）</v>
      </c>
      <c r="Q47" s="3413"/>
      <c r="R47" s="3517">
        <f>E47</f>
        <v>0</v>
      </c>
      <c r="S47" s="3517"/>
      <c r="T47" s="3517">
        <f>G47</f>
        <v>0</v>
      </c>
      <c r="U47" s="3517"/>
      <c r="V47" s="3517">
        <f>I47</f>
        <v>0</v>
      </c>
      <c r="W47" s="3517"/>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 thickBot="1">
      <c r="A49" s="621" t="s">
        <v>2937</v>
      </c>
      <c r="B49" s="622"/>
      <c r="C49" s="2601" t="e">
        <f>R49</f>
        <v>#DIV/0!</v>
      </c>
      <c r="D49" s="2601"/>
      <c r="E49" s="2601"/>
      <c r="F49" s="2601"/>
      <c r="G49" s="2601"/>
      <c r="H49" s="2601"/>
      <c r="I49" s="2601"/>
      <c r="J49" s="2601"/>
      <c r="K49" s="1599"/>
      <c r="L49" s="2130"/>
      <c r="M49" s="2131"/>
      <c r="N49" s="2120"/>
      <c r="O49" s="2131"/>
      <c r="P49" s="3434" t="str">
        <f>A49</f>
        <v>估价对象XX用房的比较价格（楼面单价，元/平方米）</v>
      </c>
      <c r="Q49" s="3435"/>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419" t="s">
        <v>522</v>
      </c>
      <c r="D4" s="3420"/>
      <c r="E4" s="3443" t="s">
        <v>523</v>
      </c>
      <c r="F4" s="3444"/>
      <c r="G4" s="3419" t="s">
        <v>524</v>
      </c>
      <c r="H4" s="3420"/>
      <c r="I4" s="3419" t="s">
        <v>525</v>
      </c>
      <c r="J4" s="3420"/>
      <c r="K4" s="514" t="s">
        <v>526</v>
      </c>
      <c r="L4" s="2119"/>
      <c r="M4" s="2120"/>
      <c r="N4" s="2120"/>
      <c r="O4" s="2120"/>
      <c r="P4" s="3519" t="s">
        <v>527</v>
      </c>
      <c r="Q4" s="3422"/>
      <c r="R4" s="3407" t="s">
        <v>523</v>
      </c>
      <c r="S4" s="3408"/>
      <c r="T4" s="3407" t="s">
        <v>524</v>
      </c>
      <c r="U4" s="3408"/>
      <c r="V4" s="3427" t="s">
        <v>525</v>
      </c>
      <c r="W4" s="3427"/>
      <c r="X4" s="1554"/>
      <c r="Y4" s="3407" t="s">
        <v>527</v>
      </c>
      <c r="Z4" s="3408"/>
      <c r="AA4" s="3402" t="s">
        <v>523</v>
      </c>
      <c r="AB4" s="3402" t="s">
        <v>524</v>
      </c>
      <c r="AC4" s="3402" t="s">
        <v>525</v>
      </c>
    </row>
    <row r="5" spans="1:29">
      <c r="A5" s="515"/>
      <c r="B5" s="516"/>
      <c r="C5" s="3430" t="s">
        <v>2931</v>
      </c>
      <c r="D5" s="3431"/>
      <c r="E5" s="3445" t="s">
        <v>2932</v>
      </c>
      <c r="F5" s="3446"/>
      <c r="G5" s="3430" t="s">
        <v>2933</v>
      </c>
      <c r="H5" s="3431"/>
      <c r="I5" s="3430" t="s">
        <v>2934</v>
      </c>
      <c r="J5" s="3431"/>
      <c r="K5" s="514"/>
      <c r="L5" s="2119"/>
      <c r="M5" s="2120"/>
      <c r="N5" s="2120"/>
      <c r="O5" s="2120"/>
      <c r="P5" s="3520"/>
      <c r="Q5" s="3424"/>
      <c r="R5" s="3409"/>
      <c r="S5" s="3410"/>
      <c r="T5" s="3409"/>
      <c r="U5" s="3410"/>
      <c r="V5" s="3427"/>
      <c r="W5" s="3427"/>
      <c r="X5" s="1554"/>
      <c r="Y5" s="3409"/>
      <c r="Z5" s="3410"/>
      <c r="AA5" s="3403"/>
      <c r="AB5" s="3403"/>
      <c r="AC5" s="3403"/>
    </row>
    <row r="6" spans="1:29" ht="15" thickBot="1">
      <c r="A6" s="517"/>
      <c r="B6" s="518"/>
      <c r="C6" s="3428" t="s">
        <v>2935</v>
      </c>
      <c r="D6" s="3429"/>
      <c r="E6" s="3447" t="s">
        <v>2935</v>
      </c>
      <c r="F6" s="3448"/>
      <c r="G6" s="3428" t="s">
        <v>2935</v>
      </c>
      <c r="H6" s="3429"/>
      <c r="I6" s="3428" t="s">
        <v>2935</v>
      </c>
      <c r="J6" s="3429"/>
      <c r="K6" s="514" t="s">
        <v>528</v>
      </c>
      <c r="L6" s="2119"/>
      <c r="M6" s="2120"/>
      <c r="N6" s="2120"/>
      <c r="O6" s="2120"/>
      <c r="P6" s="3521"/>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4"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4" t="s">
        <v>533</v>
      </c>
      <c r="Q8" s="3406"/>
      <c r="R8" s="1555" t="s">
        <v>8</v>
      </c>
      <c r="S8" s="1556">
        <f t="shared" si="0"/>
        <v>0</v>
      </c>
      <c r="T8" s="1555" t="s">
        <v>8</v>
      </c>
      <c r="U8" s="1556">
        <f t="shared" si="1"/>
        <v>0</v>
      </c>
      <c r="V8" s="1555" t="s">
        <v>8</v>
      </c>
      <c r="W8" s="1556">
        <f t="shared" si="2"/>
        <v>0</v>
      </c>
      <c r="X8" s="1557"/>
      <c r="Y8" s="3405" t="s">
        <v>533</v>
      </c>
      <c r="Z8" s="3406"/>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82.8">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6"/>
      <c r="Q16" s="1559"/>
      <c r="R16" s="1560"/>
      <c r="S16" s="1561"/>
      <c r="T16" s="1560"/>
      <c r="U16" s="1561"/>
      <c r="V16" s="1560"/>
      <c r="W16" s="1561"/>
      <c r="X16" s="1554"/>
      <c r="Y16" s="3416"/>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6"/>
      <c r="Q18" s="1559"/>
      <c r="R18" s="1560"/>
      <c r="S18" s="1561"/>
      <c r="T18" s="1560"/>
      <c r="U18" s="1561"/>
      <c r="V18" s="1560"/>
      <c r="W18" s="1561"/>
      <c r="X18" s="1554"/>
      <c r="Y18" s="3416"/>
      <c r="Z18" s="1562"/>
      <c r="AA18" s="1563">
        <v>1</v>
      </c>
      <c r="AB18" s="1563">
        <v>1</v>
      </c>
      <c r="AC18" s="1563">
        <v>1</v>
      </c>
    </row>
    <row r="19" spans="1:29" ht="41.4">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6"/>
      <c r="Q20" s="1559"/>
      <c r="R20" s="1560"/>
      <c r="S20" s="1561"/>
      <c r="T20" s="1560"/>
      <c r="U20" s="1561"/>
      <c r="V20" s="1560"/>
      <c r="W20" s="1561"/>
      <c r="X20" s="1554"/>
      <c r="Y20" s="3416"/>
      <c r="Z20" s="1562"/>
      <c r="AA20" s="1563">
        <v>1</v>
      </c>
      <c r="AB20" s="1563">
        <v>1</v>
      </c>
      <c r="AC20" s="1563">
        <v>1</v>
      </c>
    </row>
    <row r="21" spans="1:29" ht="41.4">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6"/>
      <c r="Q22" s="2544"/>
      <c r="R22" s="1560"/>
      <c r="S22" s="1561"/>
      <c r="T22" s="1560"/>
      <c r="U22" s="1561"/>
      <c r="V22" s="1560"/>
      <c r="W22" s="1561"/>
      <c r="X22" s="2546"/>
      <c r="Y22" s="3416"/>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6"/>
      <c r="Q24" s="1559"/>
      <c r="R24" s="1560"/>
      <c r="S24" s="1561"/>
      <c r="T24" s="1560"/>
      <c r="U24" s="1561"/>
      <c r="V24" s="1560"/>
      <c r="W24" s="1561"/>
      <c r="X24" s="1554"/>
      <c r="Y24" s="3416"/>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435" t="str">
        <f>A48</f>
        <v>成交单价（元/平方米）</v>
      </c>
      <c r="Q48" s="3413"/>
      <c r="R48" s="3517">
        <f>E48</f>
        <v>0</v>
      </c>
      <c r="S48" s="3517"/>
      <c r="T48" s="3517">
        <f>G48</f>
        <v>0</v>
      </c>
      <c r="U48" s="3517"/>
      <c r="V48" s="3517">
        <f>I48</f>
        <v>0</v>
      </c>
      <c r="W48" s="3517"/>
      <c r="X48" s="1546"/>
      <c r="Y48" s="1568"/>
      <c r="Z48" s="1546"/>
      <c r="AA48" s="1546"/>
      <c r="AB48" s="1546"/>
      <c r="AC48" s="1546"/>
    </row>
    <row r="49" spans="1:29" ht="1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35" t="str">
        <f>A49</f>
        <v>比较价格（元/平方米）</v>
      </c>
      <c r="Q49" s="3413"/>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 thickBot="1">
      <c r="A50" s="621" t="s">
        <v>2937</v>
      </c>
      <c r="B50" s="622"/>
      <c r="C50" s="2601" t="e">
        <f>R50</f>
        <v>#DIV/0!</v>
      </c>
      <c r="D50" s="2601"/>
      <c r="E50" s="2601"/>
      <c r="F50" s="2601"/>
      <c r="G50" s="2601"/>
      <c r="H50" s="2601"/>
      <c r="I50" s="2601"/>
      <c r="J50" s="2601"/>
      <c r="K50" s="1599"/>
      <c r="L50" s="2130"/>
      <c r="M50" s="2120"/>
      <c r="N50" s="2120"/>
      <c r="O50" s="2120"/>
      <c r="P50" s="3522" t="str">
        <f>A50</f>
        <v>估价对象XX用房的比较价格（楼面单价，元/平方米）</v>
      </c>
      <c r="Q50" s="3435"/>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3" t="s">
        <v>524</v>
      </c>
      <c r="AC4" s="3402" t="s">
        <v>525</v>
      </c>
    </row>
    <row r="5" spans="1:29">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413" t="str">
        <f>A41</f>
        <v>成交单价（元/平方米）</v>
      </c>
      <c r="Q41" s="3413"/>
      <c r="R41" s="3517">
        <f>E41</f>
        <v>0</v>
      </c>
      <c r="S41" s="3517"/>
      <c r="T41" s="3517">
        <f>G41</f>
        <v>0</v>
      </c>
      <c r="U41" s="3517"/>
      <c r="V41" s="3517">
        <f>I41</f>
        <v>0</v>
      </c>
      <c r="W41" s="3517"/>
      <c r="X41" s="1546"/>
      <c r="Y41" s="1568"/>
      <c r="Z41" s="1546"/>
      <c r="AA41" s="1546"/>
      <c r="AB41" s="1546"/>
      <c r="AC41" s="1546"/>
    </row>
    <row r="42" spans="1:29" ht="1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3" t="str">
        <f>A42</f>
        <v>比较价格（元/平方米）</v>
      </c>
      <c r="Q42" s="3413"/>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 thickBot="1">
      <c r="A43" s="621" t="s">
        <v>2937</v>
      </c>
      <c r="B43" s="622"/>
      <c r="C43" s="2601" t="e">
        <f>R43</f>
        <v>#DIV/0!</v>
      </c>
      <c r="D43" s="2601"/>
      <c r="E43" s="2601"/>
      <c r="F43" s="2601"/>
      <c r="G43" s="2601"/>
      <c r="H43" s="2601"/>
      <c r="I43" s="2601"/>
      <c r="J43" s="2601"/>
      <c r="K43" s="1599"/>
      <c r="L43" s="2130"/>
      <c r="M43" s="2131"/>
      <c r="N43" s="2131"/>
      <c r="O43" s="2131"/>
      <c r="P43" s="3434" t="str">
        <f>A43</f>
        <v>估价对象XX用房的比较价格（楼面单价，元/平方米）</v>
      </c>
      <c r="Q43" s="3435"/>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19" t="s">
        <v>798</v>
      </c>
      <c r="D4" s="3420"/>
      <c r="E4" s="3419" t="s">
        <v>799</v>
      </c>
      <c r="F4" s="3420"/>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c r="A5" s="515"/>
      <c r="B5" s="516"/>
      <c r="C5" s="3430" t="s">
        <v>2931</v>
      </c>
      <c r="D5" s="3431"/>
      <c r="E5" s="3430" t="s">
        <v>2932</v>
      </c>
      <c r="F5" s="3431"/>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2935</v>
      </c>
      <c r="D6" s="3429"/>
      <c r="E6" s="3432" t="s">
        <v>2935</v>
      </c>
      <c r="F6" s="3433"/>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96.6">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1.4">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41.4">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413" t="str">
        <f>A37</f>
        <v>成交单价</v>
      </c>
      <c r="Q37" s="3413"/>
      <c r="R37" s="3517">
        <f>E37</f>
        <v>0</v>
      </c>
      <c r="S37" s="3517"/>
      <c r="T37" s="3517">
        <f>G37</f>
        <v>0</v>
      </c>
      <c r="U37" s="3517"/>
      <c r="V37" s="3517">
        <f>I37</f>
        <v>0</v>
      </c>
      <c r="W37" s="3517"/>
      <c r="X37" s="1546"/>
      <c r="Y37" s="1568"/>
      <c r="Z37" s="1546"/>
      <c r="AA37" s="1546"/>
      <c r="AB37" s="1546"/>
      <c r="AC37" s="1546"/>
    </row>
    <row r="38" spans="1:29" ht="1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3" t="str">
        <f>A38</f>
        <v>比较价格（元/平方米）</v>
      </c>
      <c r="Q38" s="3413"/>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 thickBot="1">
      <c r="A39" s="621" t="s">
        <v>2937</v>
      </c>
      <c r="B39" s="622"/>
      <c r="C39" s="2601" t="e">
        <f>R39</f>
        <v>#DIV/0!</v>
      </c>
      <c r="D39" s="2601"/>
      <c r="E39" s="2601"/>
      <c r="F39" s="2601"/>
      <c r="G39" s="2601"/>
      <c r="H39" s="2601"/>
      <c r="I39" s="2601"/>
      <c r="J39" s="2601"/>
      <c r="K39" s="1599"/>
      <c r="L39" s="2130"/>
      <c r="M39" s="2131"/>
      <c r="N39" s="2131"/>
      <c r="O39" s="2131"/>
      <c r="P39" s="3434" t="str">
        <f>A39</f>
        <v>估价对象XX用房的比较价格（楼面单价，元/平方米）</v>
      </c>
      <c r="Q39" s="3435"/>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19" t="s">
        <v>798</v>
      </c>
      <c r="D4" s="3420"/>
      <c r="E4" s="3443" t="s">
        <v>799</v>
      </c>
      <c r="F4" s="3444"/>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96.6">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1.4">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41.4">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413" t="str">
        <f>A35</f>
        <v>成交单价（元/平方米）</v>
      </c>
      <c r="Q35" s="3413"/>
      <c r="R35" s="3517">
        <f>E35</f>
        <v>0</v>
      </c>
      <c r="S35" s="3517"/>
      <c r="T35" s="3517">
        <f>G35</f>
        <v>0</v>
      </c>
      <c r="U35" s="3517"/>
      <c r="V35" s="3517">
        <f>I35</f>
        <v>0</v>
      </c>
      <c r="W35" s="3517"/>
      <c r="X35" s="1546"/>
      <c r="Y35" s="1568"/>
      <c r="Z35" s="1546"/>
      <c r="AA35" s="1546"/>
      <c r="AB35" s="1546"/>
      <c r="AC35" s="1546"/>
    </row>
    <row r="36" spans="1:29" ht="1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3" t="str">
        <f>A36</f>
        <v>比较价格（元/平方米）</v>
      </c>
      <c r="Q36" s="3413"/>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 thickBot="1">
      <c r="A37" s="621" t="s">
        <v>2937</v>
      </c>
      <c r="B37" s="622"/>
      <c r="C37" s="2601" t="e">
        <f>R37</f>
        <v>#DIV/0!</v>
      </c>
      <c r="D37" s="2601"/>
      <c r="E37" s="2601"/>
      <c r="F37" s="2601"/>
      <c r="G37" s="2601"/>
      <c r="H37" s="2601"/>
      <c r="I37" s="2601"/>
      <c r="J37" s="2601"/>
      <c r="K37" s="1599"/>
      <c r="L37" s="2130"/>
      <c r="M37" s="2131"/>
      <c r="N37" s="2131"/>
      <c r="O37" s="2131"/>
      <c r="P37" s="3434" t="str">
        <f>A37</f>
        <v>估价对象XX用房的比较价格（楼面单价，元/平方米）</v>
      </c>
      <c r="Q37" s="3435"/>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6" t="s">
        <v>2304</v>
      </c>
      <c r="D1" s="3527"/>
      <c r="E1" s="3527"/>
      <c r="F1" s="3527"/>
      <c r="G1" s="3527"/>
      <c r="H1" s="3527"/>
      <c r="I1" s="3527"/>
      <c r="J1" s="3527"/>
      <c r="K1" s="3527"/>
      <c r="L1" s="3527"/>
      <c r="M1" s="3527"/>
      <c r="N1" s="3527"/>
      <c r="O1" s="3527"/>
      <c r="P1" s="3527"/>
      <c r="Q1" s="3527"/>
      <c r="R1" s="3527"/>
      <c r="S1" s="352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受贵公司委托，我公司对出让国有建设用地使用权进行了预评估。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87">
      <c r="A7" s="2829" t="s">
        <v>2748</v>
      </c>
    </row>
    <row r="8" spans="1:4" ht="17.399999999999999">
      <c r="A8" s="1780" t="s">
        <v>1906</v>
      </c>
    </row>
    <row r="9" spans="1:4" ht="69.59999999999999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2021年8月27日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87">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4.4"/>
  <cols>
    <col min="1" max="1" width="8.4414062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2168"/>
      <c r="G1" s="2094">
        <v>15557.09</v>
      </c>
      <c r="H1" s="2094"/>
    </row>
    <row r="2" spans="1:10" ht="15.6">
      <c r="A2" s="423" t="s">
        <v>467</v>
      </c>
      <c r="B2" s="425">
        <f>ROUND(B4*G4/10000,0)</f>
        <v>62</v>
      </c>
      <c r="C2" s="2094"/>
      <c r="D2" s="2094"/>
      <c r="E2" s="2094"/>
      <c r="F2" s="2094"/>
      <c r="G2" s="2094">
        <v>2900</v>
      </c>
      <c r="H2" s="2094"/>
      <c r="J2">
        <f>2536623.77*666.67</f>
        <v>1691090968.7458999</v>
      </c>
    </row>
    <row r="3" spans="1:10" ht="15.6">
      <c r="A3" s="1376" t="s">
        <v>1684</v>
      </c>
      <c r="B3" s="425"/>
      <c r="C3" s="2094"/>
      <c r="D3" s="2094"/>
      <c r="E3" s="2094"/>
      <c r="F3" s="2094"/>
      <c r="G3" s="2094">
        <v>2427</v>
      </c>
      <c r="H3" s="2094"/>
      <c r="J3">
        <f>(83289528.5+9211198.07+2988085.53)/J2</f>
        <v>5.6465804539665758E-2</v>
      </c>
    </row>
    <row r="4" spans="1:10" ht="28.8">
      <c r="A4" s="3197" t="s">
        <v>468</v>
      </c>
      <c r="B4" s="427">
        <f>I38</f>
        <v>1157</v>
      </c>
      <c r="C4" s="2047"/>
      <c r="D4" s="2094"/>
      <c r="E4" s="2094"/>
      <c r="F4" s="2094"/>
      <c r="G4" s="3215">
        <v>539.77</v>
      </c>
      <c r="H4" s="2094"/>
    </row>
    <row r="5" spans="1:10" ht="15.6">
      <c r="A5" s="429"/>
      <c r="B5" s="430">
        <f>ROUND(B2/(G4/666.67),0)</f>
        <v>77</v>
      </c>
      <c r="C5" s="431" t="s">
        <v>469</v>
      </c>
      <c r="D5" s="2094"/>
      <c r="E5" s="2094"/>
      <c r="F5" s="2094"/>
      <c r="G5" s="2094">
        <f>SUM(G1:G4)</f>
        <v>21423.86</v>
      </c>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9.6">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9.6">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ht="26.4">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8.4">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6.4">
      <c r="A17" s="2441" t="s">
        <v>3022</v>
      </c>
      <c r="B17" s="3190" t="s">
        <v>3025</v>
      </c>
      <c r="C17" s="2438">
        <v>25</v>
      </c>
      <c r="D17" s="749" t="s">
        <v>3083</v>
      </c>
      <c r="E17" s="3210">
        <v>0</v>
      </c>
      <c r="F17" s="3195" t="s">
        <v>3084</v>
      </c>
      <c r="G17" s="751">
        <f>C17*E17</f>
        <v>0</v>
      </c>
      <c r="H17" s="751">
        <f>ROUND(G17*10000/'数据-汇总表'!D3,2)</f>
        <v>0</v>
      </c>
      <c r="I17" s="3204"/>
      <c r="J17" s="3193" t="s">
        <v>3122</v>
      </c>
    </row>
    <row r="18" spans="1:10" ht="50.4">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6">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8.4">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9.6">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6">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3.6">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2.8">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ht="25.2">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9.6">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2.8">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6">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2.8">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5.2">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8.4">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6.4">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6.4">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8.4">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6.4">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4.4"/>
  <cols>
    <col min="1" max="1" width="8.4414062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2168"/>
      <c r="G1" s="2094">
        <v>15557.09</v>
      </c>
      <c r="H1" s="2094"/>
    </row>
    <row r="2" spans="1:10" ht="15.6">
      <c r="A2" s="423" t="s">
        <v>467</v>
      </c>
      <c r="B2" s="425">
        <f>ROUND(B4*G3/10000,0)</f>
        <v>247</v>
      </c>
      <c r="C2" s="2094"/>
      <c r="D2" s="2094"/>
      <c r="E2" s="2094"/>
      <c r="F2" s="2094"/>
      <c r="G2" s="2094">
        <v>2900</v>
      </c>
      <c r="H2" s="2094"/>
      <c r="J2">
        <f>2536623.77*666.67</f>
        <v>1691090968.7458999</v>
      </c>
    </row>
    <row r="3" spans="1:10" ht="15.6">
      <c r="A3" s="1376" t="s">
        <v>1684</v>
      </c>
      <c r="B3" s="425"/>
      <c r="C3" s="2094"/>
      <c r="D3" s="2094"/>
      <c r="E3" s="2094"/>
      <c r="F3" s="2094"/>
      <c r="G3" s="3215">
        <v>2427</v>
      </c>
      <c r="H3" s="2094"/>
      <c r="J3">
        <f>(83289528.5+9211198.07+2988085.53)/J2</f>
        <v>5.6465804539665758E-2</v>
      </c>
    </row>
    <row r="4" spans="1:10" ht="28.8">
      <c r="A4" s="3197" t="s">
        <v>468</v>
      </c>
      <c r="B4" s="427">
        <f>I38</f>
        <v>1016</v>
      </c>
      <c r="C4" s="2047"/>
      <c r="D4" s="2094"/>
      <c r="E4" s="2094"/>
      <c r="F4" s="2094"/>
      <c r="G4" s="2094">
        <v>539.77</v>
      </c>
      <c r="H4" s="2094"/>
    </row>
    <row r="5" spans="1:10" ht="15.6">
      <c r="A5" s="429"/>
      <c r="B5" s="430">
        <f>ROUND(B2/(G3/666.67),0)</f>
        <v>68</v>
      </c>
      <c r="C5" s="431" t="s">
        <v>469</v>
      </c>
      <c r="D5" s="2094"/>
      <c r="E5" s="2094"/>
      <c r="F5" s="2094"/>
      <c r="G5" s="2094">
        <f>SUM(G1:G4)</f>
        <v>21423.86</v>
      </c>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9.6">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9.6">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ht="26.4">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8.4">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6.4">
      <c r="A17" s="2441" t="s">
        <v>3022</v>
      </c>
      <c r="B17" s="3190" t="s">
        <v>3025</v>
      </c>
      <c r="C17" s="2438">
        <v>25</v>
      </c>
      <c r="D17" s="749" t="s">
        <v>3083</v>
      </c>
      <c r="E17" s="3210">
        <v>0</v>
      </c>
      <c r="F17" s="3195" t="s">
        <v>3084</v>
      </c>
      <c r="G17" s="751">
        <f>C17*E17</f>
        <v>0</v>
      </c>
      <c r="H17" s="751">
        <f>ROUND(G17*10000/'数据-汇总表'!D3,2)</f>
        <v>0</v>
      </c>
      <c r="I17" s="3204"/>
      <c r="J17" s="3193" t="s">
        <v>3122</v>
      </c>
    </row>
    <row r="18" spans="1:10" ht="50.4">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6">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8.4">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9.6">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6">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3.6">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2.8">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ht="25.2">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9.6">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2.8">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6">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2.8">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5.2">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8.4">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6.4">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6.4">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8.4">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6.4">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4.4"/>
  <cols>
    <col min="1" max="1" width="8.4414062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2168"/>
      <c r="G1" s="2094">
        <v>15557.09</v>
      </c>
      <c r="H1" s="2094"/>
    </row>
    <row r="2" spans="1:10" ht="15.6">
      <c r="A2" s="423" t="s">
        <v>467</v>
      </c>
      <c r="B2" s="425">
        <f>ROUND(B4*G2/10000,0)</f>
        <v>301</v>
      </c>
      <c r="C2" s="2094"/>
      <c r="D2" s="2094"/>
      <c r="E2" s="2094"/>
      <c r="F2" s="2094"/>
      <c r="G2" s="3215">
        <v>2900</v>
      </c>
      <c r="H2" s="2094"/>
      <c r="J2">
        <f>2536623.77*666.67</f>
        <v>1691090968.7458999</v>
      </c>
    </row>
    <row r="3" spans="1:10" ht="15.6">
      <c r="A3" s="1376" t="s">
        <v>1684</v>
      </c>
      <c r="B3" s="425"/>
      <c r="C3" s="2094"/>
      <c r="D3" s="2094"/>
      <c r="E3" s="2094"/>
      <c r="F3" s="2094"/>
      <c r="G3" s="2094">
        <v>2427</v>
      </c>
      <c r="H3" s="2094"/>
      <c r="J3">
        <f>(83289528.5+9211198.07+2988085.53)/J2</f>
        <v>5.6465804539665758E-2</v>
      </c>
    </row>
    <row r="4" spans="1:10" ht="28.8">
      <c r="A4" s="3197" t="s">
        <v>468</v>
      </c>
      <c r="B4" s="427">
        <f>I38</f>
        <v>1037</v>
      </c>
      <c r="C4" s="2047"/>
      <c r="D4" s="2094"/>
      <c r="E4" s="2094"/>
      <c r="F4" s="2094"/>
      <c r="G4" s="2094">
        <v>539.77</v>
      </c>
      <c r="H4" s="2094"/>
    </row>
    <row r="5" spans="1:10" ht="15.6">
      <c r="A5" s="429"/>
      <c r="B5" s="430">
        <f>ROUND(B2/(G2/666.67),0)</f>
        <v>69</v>
      </c>
      <c r="C5" s="431" t="s">
        <v>469</v>
      </c>
      <c r="D5" s="2094"/>
      <c r="E5" s="2094"/>
      <c r="F5" s="2094"/>
      <c r="G5" s="2094">
        <f>SUM(G1:G4)</f>
        <v>21423.86</v>
      </c>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9.6">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9.6">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ht="26.4">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8.4">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6.4">
      <c r="A17" s="2441" t="s">
        <v>3022</v>
      </c>
      <c r="B17" s="3190" t="s">
        <v>3025</v>
      </c>
      <c r="C17" s="2438">
        <v>25</v>
      </c>
      <c r="D17" s="749" t="s">
        <v>3083</v>
      </c>
      <c r="E17" s="3210">
        <v>0</v>
      </c>
      <c r="F17" s="3195" t="s">
        <v>3084</v>
      </c>
      <c r="G17" s="751">
        <f>C17*E17</f>
        <v>0</v>
      </c>
      <c r="H17" s="751">
        <f>ROUND(G17*10000/'数据-汇总表'!D3,2)</f>
        <v>0</v>
      </c>
      <c r="I17" s="3204"/>
      <c r="J17" s="3193" t="s">
        <v>3122</v>
      </c>
    </row>
    <row r="18" spans="1:10" ht="50.4">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6">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8.4">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9.6">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6">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3.6">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2.8">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ht="25.2">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9.6">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2.8">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6">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2.8">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5.2">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8.4">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6.4">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6.4">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8.4">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6.4">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4.4"/>
  <cols>
    <col min="1" max="1" width="8.4414062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3223" t="s">
        <v>3152</v>
      </c>
      <c r="G1" s="3215">
        <v>3569.16</v>
      </c>
      <c r="H1" s="2094"/>
    </row>
    <row r="2" spans="1:10" ht="15.6">
      <c r="A2" s="423" t="s">
        <v>467</v>
      </c>
      <c r="B2" s="425">
        <f>ROUND(B4*G1/10000,4)</f>
        <v>341.5686</v>
      </c>
      <c r="C2" s="2094"/>
      <c r="D2" s="2094"/>
      <c r="E2" s="2094"/>
      <c r="F2" s="2094"/>
      <c r="G2" s="2094"/>
      <c r="H2" s="2094"/>
    </row>
    <row r="3" spans="1:10" ht="15.6">
      <c r="A3" s="1376" t="s">
        <v>1684</v>
      </c>
      <c r="B3" s="425"/>
      <c r="C3" s="2094"/>
      <c r="D3" s="2094"/>
      <c r="E3" s="2094"/>
      <c r="F3" s="2094"/>
      <c r="G3" s="2094"/>
      <c r="H3" s="2094"/>
    </row>
    <row r="4" spans="1:10" ht="28.8">
      <c r="A4" s="3197" t="s">
        <v>468</v>
      </c>
      <c r="B4" s="427">
        <f>I23</f>
        <v>957</v>
      </c>
      <c r="C4" s="2047"/>
      <c r="D4" s="2094"/>
      <c r="E4" s="2094"/>
      <c r="F4" s="2094"/>
      <c r="G4" s="2094"/>
      <c r="H4" s="2094"/>
    </row>
    <row r="5" spans="1:10" ht="15.6">
      <c r="A5" s="429"/>
      <c r="B5" s="430">
        <f>ROUND(B2/(G1/666.67),0)</f>
        <v>64</v>
      </c>
      <c r="C5" s="431" t="s">
        <v>469</v>
      </c>
      <c r="D5" s="2094"/>
      <c r="E5" s="2094"/>
      <c r="F5" s="2094"/>
      <c r="G5" s="2094"/>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3145</v>
      </c>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5.2">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ht="24">
      <c r="A16" s="2434" t="s">
        <v>3043</v>
      </c>
      <c r="B16" s="3192" t="s">
        <v>3042</v>
      </c>
      <c r="C16" s="749" t="s">
        <v>3058</v>
      </c>
      <c r="D16" s="749" t="s">
        <v>3058</v>
      </c>
      <c r="E16" s="749" t="s">
        <v>3058</v>
      </c>
      <c r="F16" s="3191" t="s">
        <v>3058</v>
      </c>
      <c r="G16" s="751"/>
      <c r="H16" s="751"/>
      <c r="I16" s="3204">
        <v>100</v>
      </c>
      <c r="J16" s="3209" t="s">
        <v>3143</v>
      </c>
    </row>
    <row r="17" spans="1:10" ht="25.2">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7.200000000000003">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zoomScale="90" zoomScaleNormal="90" workbookViewId="0">
      <selection activeCell="F30" sqref="F30"/>
    </sheetView>
  </sheetViews>
  <sheetFormatPr defaultRowHeight="14.4"/>
  <cols>
    <col min="1" max="1" width="8.4414062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3223" t="s">
        <v>2953</v>
      </c>
      <c r="G1" s="3215">
        <v>9549</v>
      </c>
      <c r="H1" s="2094"/>
    </row>
    <row r="2" spans="1:10" ht="15.6">
      <c r="A2" s="423" t="s">
        <v>467</v>
      </c>
      <c r="B2" s="425">
        <f>ROUND(B4*G1/10000,4)</f>
        <v>1066.6233</v>
      </c>
      <c r="C2" s="2094"/>
      <c r="D2" s="2094"/>
      <c r="E2" s="2094"/>
      <c r="F2" s="2094"/>
      <c r="G2" s="2094"/>
      <c r="H2" s="2094"/>
    </row>
    <row r="3" spans="1:10" ht="15.6">
      <c r="A3" s="1376" t="s">
        <v>1684</v>
      </c>
      <c r="B3" s="425"/>
      <c r="C3" s="2094"/>
      <c r="D3" s="2094"/>
      <c r="E3" s="2094"/>
      <c r="F3" s="2094"/>
      <c r="G3" s="2094"/>
      <c r="H3" s="2094"/>
    </row>
    <row r="4" spans="1:10" ht="28.8">
      <c r="A4" s="3197" t="s">
        <v>468</v>
      </c>
      <c r="B4" s="427">
        <f>I23</f>
        <v>1117</v>
      </c>
      <c r="C4" s="2047"/>
      <c r="D4" s="2094"/>
      <c r="E4" s="2094"/>
      <c r="F4" s="2094"/>
      <c r="G4" s="2094"/>
      <c r="H4" s="2094"/>
    </row>
    <row r="5" spans="1:10" ht="15.6">
      <c r="A5" s="429"/>
      <c r="B5" s="430">
        <f>ROUND(B2/(G1/666.67),2)</f>
        <v>74.47</v>
      </c>
      <c r="C5" s="431" t="s">
        <v>469</v>
      </c>
      <c r="D5" s="2094"/>
      <c r="E5" s="2094"/>
      <c r="F5" s="2094"/>
      <c r="G5" s="2094"/>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5.2">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ht="24">
      <c r="A16" s="2434" t="s">
        <v>3043</v>
      </c>
      <c r="B16" s="3192" t="s">
        <v>3042</v>
      </c>
      <c r="C16" s="749" t="s">
        <v>3058</v>
      </c>
      <c r="D16" s="749" t="s">
        <v>3058</v>
      </c>
      <c r="E16" s="749" t="s">
        <v>3058</v>
      </c>
      <c r="F16" s="3191" t="s">
        <v>3058</v>
      </c>
      <c r="G16" s="751"/>
      <c r="H16" s="751"/>
      <c r="I16" s="3204">
        <v>100</v>
      </c>
      <c r="J16" s="3209" t="s">
        <v>3143</v>
      </c>
    </row>
    <row r="17" spans="1:10" ht="25.2">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7.200000000000003">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540">
        <f>ROUNDDOWN((B28-B27)/365,2)</f>
        <v>39.4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4.4"/>
  <cols>
    <col min="1" max="1" width="11.2187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3223" t="s">
        <v>3152</v>
      </c>
      <c r="G1" s="3215">
        <v>120795</v>
      </c>
      <c r="H1" s="2094"/>
    </row>
    <row r="2" spans="1:10" ht="15.6">
      <c r="A2" s="423" t="s">
        <v>467</v>
      </c>
      <c r="B2" s="425">
        <f>ROUND(B4*G1/10000,4)</f>
        <v>12139.897499999999</v>
      </c>
      <c r="C2" s="2094"/>
      <c r="D2" s="2094"/>
      <c r="E2" s="2094"/>
      <c r="F2" s="2094"/>
      <c r="G2" s="2094"/>
      <c r="H2" s="2094"/>
    </row>
    <row r="3" spans="1:10" ht="15.6">
      <c r="A3" s="1376" t="s">
        <v>1684</v>
      </c>
      <c r="B3" s="425"/>
      <c r="C3" s="2094"/>
      <c r="D3" s="2094"/>
      <c r="E3" s="2094"/>
      <c r="F3" s="2094"/>
      <c r="G3" s="2094"/>
      <c r="H3" s="2094"/>
    </row>
    <row r="4" spans="1:10" ht="28.8">
      <c r="A4" s="3197" t="s">
        <v>468</v>
      </c>
      <c r="B4" s="427">
        <f>I23</f>
        <v>1005</v>
      </c>
      <c r="C4" s="2047"/>
      <c r="D4" s="2094"/>
      <c r="E4" s="2094"/>
      <c r="F4" s="2094"/>
      <c r="G4" s="2094"/>
      <c r="H4" s="2094"/>
    </row>
    <row r="5" spans="1:10" ht="15.6">
      <c r="A5" s="429"/>
      <c r="B5" s="430">
        <f>ROUND(B2/(G1/666.67),0)</f>
        <v>67</v>
      </c>
      <c r="C5" s="431" t="s">
        <v>469</v>
      </c>
      <c r="D5" s="2094"/>
      <c r="E5" s="2094"/>
      <c r="F5" s="2094"/>
      <c r="G5" s="2094"/>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5.2">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ht="24">
      <c r="A16" s="2434" t="s">
        <v>3043</v>
      </c>
      <c r="B16" s="3192" t="s">
        <v>3042</v>
      </c>
      <c r="C16" s="749" t="s">
        <v>3058</v>
      </c>
      <c r="D16" s="749" t="s">
        <v>3058</v>
      </c>
      <c r="E16" s="749" t="s">
        <v>3058</v>
      </c>
      <c r="F16" s="3191" t="s">
        <v>3058</v>
      </c>
      <c r="G16" s="751"/>
      <c r="H16" s="751"/>
      <c r="I16" s="3204">
        <v>100</v>
      </c>
      <c r="J16" s="3209" t="s">
        <v>3161</v>
      </c>
    </row>
    <row r="17" spans="1:10" ht="25.2">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7.200000000000003">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4.4"/>
  <cols>
    <col min="1" max="1" width="8.4414062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3223" t="s">
        <v>3152</v>
      </c>
      <c r="G1" s="3215">
        <f>6.8*666.67</f>
        <v>4533.3559999999998</v>
      </c>
      <c r="H1" s="2094"/>
    </row>
    <row r="2" spans="1:10" ht="15.6">
      <c r="A2" s="423" t="s">
        <v>467</v>
      </c>
      <c r="B2" s="425">
        <f>ROUND(B4*G1/10000,4)</f>
        <v>429.76209999999998</v>
      </c>
      <c r="C2" s="2094"/>
      <c r="D2" s="2094"/>
      <c r="E2" s="2094"/>
      <c r="F2" s="2094"/>
      <c r="G2" s="2094"/>
      <c r="H2" s="2094"/>
    </row>
    <row r="3" spans="1:10" ht="15.6">
      <c r="A3" s="1376" t="s">
        <v>1684</v>
      </c>
      <c r="B3" s="425"/>
      <c r="C3" s="2094"/>
      <c r="D3" s="2094"/>
      <c r="E3" s="2094"/>
      <c r="F3" s="2094"/>
      <c r="G3" s="2094"/>
      <c r="H3" s="2094"/>
    </row>
    <row r="4" spans="1:10" ht="28.8">
      <c r="A4" s="3197" t="s">
        <v>468</v>
      </c>
      <c r="B4" s="427">
        <f>I23</f>
        <v>948</v>
      </c>
      <c r="C4" s="2047"/>
      <c r="D4" s="2094"/>
      <c r="E4" s="2094"/>
      <c r="F4" s="2094"/>
      <c r="G4" s="2094"/>
      <c r="H4" s="2094"/>
    </row>
    <row r="5" spans="1:10" ht="15.6">
      <c r="A5" s="429"/>
      <c r="B5" s="430">
        <f>ROUND(B2/(G1/666.67),0)</f>
        <v>63</v>
      </c>
      <c r="C5" s="431" t="s">
        <v>469</v>
      </c>
      <c r="D5" s="2094"/>
      <c r="E5" s="2094"/>
      <c r="F5" s="2094"/>
      <c r="G5" s="2094"/>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5.2">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ht="24">
      <c r="A16" s="2434" t="s">
        <v>3043</v>
      </c>
      <c r="B16" s="3192" t="s">
        <v>3042</v>
      </c>
      <c r="C16" s="749" t="s">
        <v>3058</v>
      </c>
      <c r="D16" s="749" t="s">
        <v>3058</v>
      </c>
      <c r="E16" s="749" t="s">
        <v>3058</v>
      </c>
      <c r="F16" s="3191" t="s">
        <v>3058</v>
      </c>
      <c r="G16" s="751"/>
      <c r="H16" s="751"/>
      <c r="I16" s="3204">
        <v>100</v>
      </c>
      <c r="J16" s="3209" t="s">
        <v>3143</v>
      </c>
    </row>
    <row r="17" spans="1:10" ht="25.2">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7.200000000000003">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4.4"/>
  <cols>
    <col min="1" max="1" width="8.44140625" customWidth="1"/>
    <col min="2" max="2" width="28" customWidth="1"/>
    <col min="4" max="4" width="10.77734375" customWidth="1"/>
    <col min="5" max="5" width="9.21875" customWidth="1"/>
    <col min="7" max="8" width="10.44140625" customWidth="1"/>
    <col min="9" max="9" width="10.109375" customWidth="1"/>
    <col min="10" max="10" width="75" customWidth="1"/>
  </cols>
  <sheetData>
    <row r="1" spans="1:10" ht="20.399999999999999">
      <c r="A1" s="3184" t="s">
        <v>2998</v>
      </c>
      <c r="B1" s="742"/>
      <c r="C1" s="2168"/>
      <c r="D1" s="2168"/>
      <c r="E1" s="2168"/>
      <c r="F1" s="3223" t="s">
        <v>3152</v>
      </c>
      <c r="G1" s="3215">
        <v>10485</v>
      </c>
      <c r="H1" s="2094"/>
    </row>
    <row r="2" spans="1:10" ht="15.6">
      <c r="A2" s="423" t="s">
        <v>467</v>
      </c>
      <c r="B2" s="425">
        <f>ROUND(B4*G1/10000,4)</f>
        <v>980.34749999999997</v>
      </c>
      <c r="C2" s="2094"/>
      <c r="D2" s="2094"/>
      <c r="E2" s="2094"/>
      <c r="F2" s="2094"/>
      <c r="G2" s="2094"/>
      <c r="H2" s="2094"/>
    </row>
    <row r="3" spans="1:10" ht="15.6">
      <c r="A3" s="1376" t="s">
        <v>1684</v>
      </c>
      <c r="B3" s="425"/>
      <c r="C3" s="2094"/>
      <c r="D3" s="2094"/>
      <c r="E3" s="2094"/>
      <c r="F3" s="2094"/>
      <c r="G3" s="2094"/>
      <c r="H3" s="2094"/>
    </row>
    <row r="4" spans="1:10" ht="28.8">
      <c r="A4" s="3197" t="s">
        <v>468</v>
      </c>
      <c r="B4" s="427">
        <f>I23</f>
        <v>935</v>
      </c>
      <c r="C4" s="2047"/>
      <c r="D4" s="2094"/>
      <c r="E4" s="2094"/>
      <c r="F4" s="2094"/>
      <c r="G4" s="2094"/>
      <c r="H4" s="2094"/>
    </row>
    <row r="5" spans="1:10" ht="15.6">
      <c r="A5" s="429"/>
      <c r="B5" s="430">
        <f>ROUND(B2/(G1/666.67),0)</f>
        <v>62</v>
      </c>
      <c r="C5" s="431" t="s">
        <v>469</v>
      </c>
      <c r="D5" s="2094"/>
      <c r="E5" s="2094"/>
      <c r="F5" s="2094"/>
      <c r="G5" s="2094"/>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5.2">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ht="24">
      <c r="A16" s="2434" t="s">
        <v>3043</v>
      </c>
      <c r="B16" s="3192" t="s">
        <v>3042</v>
      </c>
      <c r="C16" s="749" t="s">
        <v>3058</v>
      </c>
      <c r="D16" s="749" t="s">
        <v>3058</v>
      </c>
      <c r="E16" s="749" t="s">
        <v>3058</v>
      </c>
      <c r="F16" s="3191" t="s">
        <v>3058</v>
      </c>
      <c r="G16" s="751"/>
      <c r="H16" s="751"/>
      <c r="I16" s="3204">
        <v>100</v>
      </c>
      <c r="J16" s="3209" t="s">
        <v>3143</v>
      </c>
    </row>
    <row r="17" spans="1:10" ht="25.2">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7.200000000000003">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24">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4.4"/>
  <cols>
    <col min="1" max="1" width="8.44140625" customWidth="1"/>
    <col min="2" max="2" width="28" customWidth="1"/>
    <col min="4" max="4" width="10.77734375" customWidth="1"/>
    <col min="7" max="8" width="10.44140625" customWidth="1"/>
    <col min="9" max="9" width="10.109375" customWidth="1"/>
    <col min="10" max="10" width="72.6640625" customWidth="1"/>
  </cols>
  <sheetData>
    <row r="1" spans="1:10" ht="20.399999999999999">
      <c r="A1" s="3184" t="s">
        <v>2998</v>
      </c>
      <c r="B1" s="742"/>
      <c r="C1" s="2168"/>
      <c r="D1" s="2168"/>
      <c r="E1" s="2168"/>
      <c r="F1" s="2168"/>
      <c r="G1" s="2094">
        <v>15557.09</v>
      </c>
      <c r="H1" s="2094"/>
    </row>
    <row r="2" spans="1:10" ht="15.6">
      <c r="A2" s="423" t="s">
        <v>467</v>
      </c>
      <c r="B2" s="425">
        <f>G41</f>
        <v>8656</v>
      </c>
      <c r="C2" s="2094"/>
      <c r="D2" s="2094"/>
      <c r="E2" s="2094"/>
      <c r="F2" s="2094"/>
      <c r="G2" s="2094">
        <v>2900</v>
      </c>
      <c r="H2" s="2094"/>
    </row>
    <row r="3" spans="1:10" ht="15.6">
      <c r="A3" s="1376" t="s">
        <v>1684</v>
      </c>
      <c r="B3" s="425">
        <f>I41</f>
        <v>1164</v>
      </c>
      <c r="C3" s="2094"/>
      <c r="D3" s="2094"/>
      <c r="E3" s="2094"/>
      <c r="F3" s="2094"/>
      <c r="G3" s="2094">
        <v>2427</v>
      </c>
      <c r="H3" s="2094"/>
    </row>
    <row r="4" spans="1:10" ht="28.8">
      <c r="A4" s="3197" t="s">
        <v>468</v>
      </c>
      <c r="B4" s="427">
        <f>ROUND(B2*10000/'数据-汇总表'!D3,0)</f>
        <v>5564</v>
      </c>
      <c r="C4" s="2047"/>
      <c r="D4" s="2094"/>
      <c r="E4" s="2094"/>
      <c r="F4" s="2094"/>
      <c r="G4" s="2094">
        <v>539.77</v>
      </c>
      <c r="H4" s="2094"/>
    </row>
    <row r="5" spans="1:10" ht="15.6">
      <c r="A5" s="429"/>
      <c r="B5" s="430">
        <f>ROUND(B2/('数据-汇总表'!D3/666.67),0)</f>
        <v>371</v>
      </c>
      <c r="C5" s="431" t="s">
        <v>469</v>
      </c>
      <c r="D5" s="2094"/>
      <c r="E5" s="2094"/>
      <c r="F5" s="2094"/>
      <c r="G5" s="2094">
        <f>SUM(G1:G4)</f>
        <v>21423.86</v>
      </c>
      <c r="H5" s="2094"/>
    </row>
    <row r="6" spans="1:10" ht="16.2" thickBot="1">
      <c r="A6" s="429"/>
      <c r="B6" s="3185"/>
      <c r="C6" s="3186"/>
      <c r="D6" s="2094"/>
      <c r="E6" s="2094"/>
      <c r="F6" s="2094"/>
      <c r="G6" s="2094"/>
      <c r="H6" s="2094"/>
    </row>
    <row r="7" spans="1:10">
      <c r="A7" s="3531" t="s">
        <v>2999</v>
      </c>
      <c r="B7" s="3533" t="s">
        <v>604</v>
      </c>
      <c r="C7" s="3535" t="s">
        <v>3002</v>
      </c>
      <c r="D7" s="3536"/>
      <c r="E7" s="3537" t="s">
        <v>3003</v>
      </c>
      <c r="F7" s="3538"/>
      <c r="G7" s="3537" t="s">
        <v>3004</v>
      </c>
      <c r="H7" s="3539"/>
      <c r="I7" s="3538"/>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8.4">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50.4">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8.4">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4.8">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2.8">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9.6">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2.8">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3.6">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2.8">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7" t="s">
        <v>2038</v>
      </c>
      <c r="B1" s="3237"/>
      <c r="C1" s="3237"/>
      <c r="D1" s="3237"/>
      <c r="E1" s="3237"/>
      <c r="F1" s="3237"/>
      <c r="G1" s="3237"/>
      <c r="H1" s="3237"/>
      <c r="I1" s="3237"/>
      <c r="J1" s="3237"/>
      <c r="K1" s="3237"/>
      <c r="L1" s="3237"/>
      <c r="M1" s="3237"/>
      <c r="N1" s="3237"/>
      <c r="O1" s="3237"/>
      <c r="P1" s="3237"/>
      <c r="Q1" s="3237"/>
      <c r="R1" s="3237"/>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2029</v>
      </c>
      <c r="B3" s="3238" t="s">
        <v>2731</v>
      </c>
      <c r="C3" s="3239" t="s">
        <v>2030</v>
      </c>
      <c r="D3" s="3238" t="s">
        <v>2735</v>
      </c>
      <c r="E3" s="3233" t="s">
        <v>2031</v>
      </c>
      <c r="F3" s="3233"/>
      <c r="G3" s="3233"/>
      <c r="H3" s="3233" t="s">
        <v>2032</v>
      </c>
      <c r="I3" s="3233"/>
      <c r="J3" s="3233"/>
      <c r="K3" s="3239" t="s">
        <v>2033</v>
      </c>
      <c r="L3" s="3239" t="s">
        <v>2034</v>
      </c>
      <c r="M3" s="3238" t="s">
        <v>2732</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4" t="s">
        <v>2042</v>
      </c>
      <c r="F4" s="2614" t="s">
        <v>2744</v>
      </c>
      <c r="G4" s="2614" t="s">
        <v>2036</v>
      </c>
      <c r="H4" s="2614" t="s">
        <v>2037</v>
      </c>
      <c r="I4" s="2614" t="s">
        <v>2745</v>
      </c>
      <c r="J4" s="2614" t="s">
        <v>2036</v>
      </c>
      <c r="K4" s="3239"/>
      <c r="L4" s="3239"/>
      <c r="M4" s="3238"/>
      <c r="N4" s="3240"/>
      <c r="O4" s="3238"/>
      <c r="P4" s="3239"/>
      <c r="Q4" s="3239"/>
      <c r="R4" s="3239"/>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8" t="str">
        <f>结果表!O39</f>
        <v>——</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8"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41" t="s">
        <v>2065</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2068</v>
      </c>
      <c r="B12" s="3244"/>
      <c r="C12" s="3244"/>
      <c r="D12" s="3244"/>
    </row>
    <row r="13" spans="1:4">
      <c r="A13" s="3242" t="s">
        <v>2746</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2702</v>
      </c>
      <c r="B17" s="3241"/>
      <c r="C17" s="3241"/>
      <c r="D17" s="3241"/>
    </row>
    <row r="18" spans="1:4">
      <c r="A18" s="3241" t="s">
        <v>2694</v>
      </c>
      <c r="B18" s="3241"/>
      <c r="C18" s="3241"/>
      <c r="D18" s="324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1" t="s">
        <v>2699</v>
      </c>
      <c r="B23" s="3241"/>
      <c r="C23" s="3241"/>
      <c r="D23" s="324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53" t="s">
        <v>53</v>
      </c>
      <c r="B15" s="3254" t="s">
        <v>846</v>
      </c>
      <c r="C15" s="3250"/>
    </row>
    <row r="16" spans="1:7" ht="14.4">
      <c r="A16" s="3253"/>
      <c r="B16" s="3251" t="s">
        <v>54</v>
      </c>
      <c r="C16" s="1168" t="s">
        <v>53</v>
      </c>
    </row>
    <row r="17" spans="1:3" ht="14.4">
      <c r="A17" s="3253"/>
      <c r="B17" s="3251"/>
      <c r="C17" s="1168" t="s">
        <v>55</v>
      </c>
    </row>
    <row r="18" spans="1:3" ht="14.4">
      <c r="A18" s="3253"/>
      <c r="B18" s="3251"/>
      <c r="C18" s="1168" t="s">
        <v>56</v>
      </c>
    </row>
    <row r="19" spans="1:3" ht="14.4">
      <c r="A19" s="3253"/>
      <c r="B19" s="3249" t="s">
        <v>57</v>
      </c>
      <c r="C19" s="3250"/>
    </row>
    <row r="20" spans="1:3" ht="14.4">
      <c r="A20" s="1169" t="s">
        <v>58</v>
      </c>
      <c r="B20" s="1170"/>
      <c r="C20" s="1171"/>
    </row>
    <row r="21" spans="1:3" ht="14.4">
      <c r="A21" s="3252" t="s">
        <v>59</v>
      </c>
      <c r="B21" s="3249" t="s">
        <v>60</v>
      </c>
      <c r="C21" s="3250"/>
    </row>
    <row r="22" spans="1:3" ht="14.4">
      <c r="A22" s="3252"/>
      <c r="B22" s="3249" t="s">
        <v>61</v>
      </c>
      <c r="C22" s="3250"/>
    </row>
    <row r="23" spans="1:3" ht="14.4">
      <c r="A23" s="3252"/>
      <c r="B23" s="3249" t="s">
        <v>62</v>
      </c>
      <c r="C23" s="3250"/>
    </row>
    <row r="24" spans="1:3" ht="14.4">
      <c r="A24" s="3252"/>
      <c r="B24" s="3255" t="s">
        <v>63</v>
      </c>
      <c r="C24" s="1172" t="s">
        <v>837</v>
      </c>
    </row>
    <row r="25" spans="1:3" ht="14.4">
      <c r="A25" s="3252"/>
      <c r="B25" s="3256"/>
      <c r="C25" s="1172" t="s">
        <v>838</v>
      </c>
    </row>
    <row r="26" spans="1:3" ht="14.4">
      <c r="A26" s="3252"/>
      <c r="B26" s="3256"/>
      <c r="C26" s="1172" t="s">
        <v>839</v>
      </c>
    </row>
    <row r="27" spans="1:3" ht="14.4">
      <c r="A27" s="3252"/>
      <c r="B27" s="3256"/>
      <c r="C27" s="1172" t="s">
        <v>840</v>
      </c>
    </row>
    <row r="28" spans="1:3" ht="14.4">
      <c r="A28" s="3252"/>
      <c r="B28" s="3256"/>
      <c r="C28" s="1172" t="s">
        <v>841</v>
      </c>
    </row>
    <row r="29" spans="1:3" ht="14.4">
      <c r="A29" s="3252"/>
      <c r="B29" s="3256"/>
      <c r="C29" s="1172" t="s">
        <v>842</v>
      </c>
    </row>
    <row r="30" spans="1:3" ht="14.4">
      <c r="A30" s="3252"/>
      <c r="B30" s="3256"/>
      <c r="C30" s="1172" t="s">
        <v>843</v>
      </c>
    </row>
    <row r="31" spans="1:3" ht="14.4">
      <c r="A31" s="3252"/>
      <c r="B31" s="3256"/>
      <c r="C31" s="1172" t="s">
        <v>844</v>
      </c>
    </row>
    <row r="32" spans="1:3" ht="14.4">
      <c r="A32" s="3252"/>
      <c r="B32" s="3256"/>
      <c r="C32" s="1172" t="s">
        <v>1646</v>
      </c>
    </row>
    <row r="33" spans="1:3" ht="14.4">
      <c r="A33" s="3252"/>
      <c r="B33" s="3246" t="s">
        <v>1652</v>
      </c>
      <c r="C33" s="1172" t="s">
        <v>1647</v>
      </c>
    </row>
    <row r="34" spans="1:3" ht="14.4">
      <c r="A34" s="3252"/>
      <c r="B34" s="3247"/>
      <c r="C34" s="1177" t="s">
        <v>1648</v>
      </c>
    </row>
    <row r="35" spans="1:3" ht="14.4">
      <c r="A35" s="3252"/>
      <c r="B35" s="3247"/>
      <c r="C35" s="1178" t="s">
        <v>1649</v>
      </c>
    </row>
    <row r="36" spans="1:3" ht="14.4">
      <c r="A36" s="3252"/>
      <c r="B36" s="3247"/>
      <c r="C36" s="1178" t="s">
        <v>1650</v>
      </c>
    </row>
    <row r="37" spans="1:3" ht="14.4">
      <c r="A37" s="3252"/>
      <c r="B37" s="3248"/>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1907</v>
      </c>
      <c r="B2" s="3127">
        <f ca="1">TODAY()</f>
        <v>44601</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4" t="s">
        <v>2956</v>
      </c>
      <c r="C18" s="1541"/>
    </row>
    <row r="19" spans="1:3" ht="14.4">
      <c r="A19" s="8" t="s">
        <v>120</v>
      </c>
      <c r="B19" s="3064" t="s">
        <v>2964</v>
      </c>
      <c r="C19" s="1541"/>
    </row>
    <row r="20" spans="1:3" ht="14.4">
      <c r="A20" s="8" t="s">
        <v>121</v>
      </c>
      <c r="B20" s="8" t="s">
        <v>3128</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2022-02-09T02:42:59Z</dcterms:modified>
</cp:coreProperties>
</file>