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3"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r:id="rId45"/>
    <sheet name="成本逼近法（015）" sheetId="76" state="hidden"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79" l="1"/>
  <c r="C21" i="79"/>
  <c r="I23" i="76" l="1"/>
  <c r="I3" i="59" l="1"/>
  <c r="L3" i="59"/>
  <c r="B27" i="79" l="1"/>
  <c r="B29" i="79" s="1"/>
  <c r="C25"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I20" i="79"/>
  <c r="C17" i="66"/>
  <c r="C16" i="66"/>
  <c r="C15" i="66"/>
  <c r="C14" i="66"/>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D17" i="66"/>
  <c r="B5" i="77"/>
  <c r="D16" i="66"/>
  <c r="C21" i="76"/>
  <c r="I11" i="76"/>
  <c r="I10" i="76" s="1"/>
  <c r="I9" i="76" s="1"/>
  <c r="I17" i="76" l="1"/>
  <c r="I18" i="76"/>
  <c r="I19" i="76" s="1"/>
  <c r="I17" i="69"/>
  <c r="B4" i="76" l="1"/>
  <c r="B2" i="76" s="1"/>
  <c r="I20" i="76"/>
  <c r="B5" i="76" l="1"/>
  <c r="D15" i="66"/>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D20" i="9"/>
  <c r="I4" i="65"/>
  <c r="N4" i="65"/>
  <c r="F35" i="15"/>
  <c r="M28" i="44"/>
  <c r="B13" i="67"/>
  <c r="B9" i="67"/>
  <c r="E12" i="67"/>
  <c r="M24" i="44"/>
  <c r="L49" i="44"/>
  <c r="L47" i="15"/>
  <c r="F37" i="15"/>
  <c r="F43" i="15"/>
  <c r="C20" i="9"/>
  <c r="N6" i="65"/>
  <c r="I3" i="65"/>
  <c r="J6" i="65"/>
  <c r="F46" i="44"/>
  <c r="F42" i="15"/>
  <c r="F7" i="15"/>
  <c r="E14" i="67"/>
  <c r="M6" i="15"/>
  <c r="F11" i="67"/>
  <c r="J36" i="15"/>
  <c r="F26" i="15"/>
  <c r="I6" i="65"/>
  <c r="J15" i="15"/>
  <c r="F45" i="44"/>
  <c r="F8" i="67"/>
  <c r="B12" i="67"/>
  <c r="F8" i="44"/>
  <c r="F40" i="15"/>
  <c r="M28" i="15"/>
  <c r="M26" i="44"/>
  <c r="F9" i="67"/>
  <c r="E13" i="67"/>
  <c r="F18" i="44"/>
  <c r="I5" i="65"/>
  <c r="F14" i="67"/>
  <c r="F12" i="67"/>
  <c r="J4" i="65"/>
  <c r="M8" i="15"/>
  <c r="E11" i="67"/>
  <c r="M31" i="44"/>
  <c r="F41" i="15"/>
  <c r="B8" i="67"/>
  <c r="N7" i="65"/>
  <c r="M26" i="15"/>
  <c r="F10" i="44"/>
  <c r="F9" i="44"/>
  <c r="M10" i="44"/>
  <c r="J5" i="65"/>
  <c r="F6" i="15"/>
  <c r="F38" i="44"/>
  <c r="B10" i="67"/>
  <c r="F37" i="44"/>
  <c r="F39" i="44"/>
  <c r="M21" i="15"/>
  <c r="M23" i="44"/>
  <c r="F36" i="15"/>
  <c r="F15" i="44"/>
  <c r="L48" i="44"/>
  <c r="E9" i="67"/>
  <c r="M11" i="44"/>
  <c r="F10" i="67"/>
  <c r="F28" i="44"/>
  <c r="J7" i="65"/>
  <c r="J17" i="44"/>
  <c r="M27" i="15"/>
  <c r="F11" i="44"/>
  <c r="E8" i="67"/>
  <c r="F9" i="15"/>
  <c r="M30" i="44"/>
  <c r="M9" i="15"/>
  <c r="M29" i="15"/>
  <c r="F13" i="15"/>
  <c r="M23" i="15"/>
  <c r="M25" i="44"/>
  <c r="F40" i="44"/>
  <c r="F43" i="44"/>
  <c r="M29" i="44"/>
  <c r="M22" i="15"/>
  <c r="B14" i="67"/>
  <c r="C19" i="44"/>
  <c r="M24" i="15"/>
  <c r="J3" i="65"/>
  <c r="L48" i="15"/>
  <c r="E10" i="67"/>
  <c r="N3" i="65"/>
  <c r="F13" i="67"/>
  <c r="M8" i="44"/>
  <c r="B11" i="67"/>
  <c r="N5" i="65"/>
  <c r="I7" i="65"/>
  <c r="F8" i="15"/>
  <c r="F38" i="15"/>
  <c r="F16" i="15"/>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F33" i="44"/>
  <c r="F31" i="15"/>
  <c r="C18" i="44"/>
  <c r="M17" i="15"/>
  <c r="F58" i="15"/>
  <c r="C17" i="15"/>
  <c r="E3" i="65"/>
  <c r="C16" i="15"/>
  <c r="M19" i="44"/>
  <c r="E2" i="6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D14" i="66"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19" i="9"/>
  <c r="D21" i="9"/>
  <c r="C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<sst xmlns="http://schemas.openxmlformats.org/spreadsheetml/2006/main" count="8229" uniqueCount="3162">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</sst>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2" t="str">
        <f>IF(B10="北京市","北京市",C10)&amp;F10&amp;B16&amp;"国有建设用地使用权"&amp;B9&amp;"预评估"</f>
        <v>出让国有建设用地使用权预评估</v>
      </c>
      <c r="C1" s="3263"/>
      <c r="D1" s="3263"/>
      <c r="E1" s="3263"/>
      <c r="F1" s="3263"/>
      <c r="G1" s="3263"/>
      <c r="H1" s="3263"/>
      <c r="I1" s="3264"/>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8"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69"/>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2890</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2891</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0" t="s">
        <v>2892</v>
      </c>
      <c r="F22" s="3271"/>
      <c r="G22" s="3271"/>
      <c r="H22" s="3271"/>
      <c r="I22" s="3272"/>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28.5">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139382.516</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13891.575699999999</v>
      </c>
      <c r="C5" s="2996" t="e">
        <f>ROUND(B5*10000/$B$1,0)</f>
        <v>#DIV/0!</v>
      </c>
      <c r="D5" s="2996">
        <f>ROUND(B5*10000/$B$2,0)</f>
        <v>997</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'成本逼近法（0048）'!G1</f>
        <v>3569.16</v>
      </c>
      <c r="D14" s="3000">
        <f>'成本逼近法（0048）'!B2</f>
        <v>341.5686</v>
      </c>
      <c r="E14" s="3000" t="e">
        <f>ROUND(D14*10000/B14,0)</f>
        <v>#DIV/0!</v>
      </c>
      <c r="F14" s="3000">
        <f>ROUND(D14*10000/C14,0)</f>
        <v>957</v>
      </c>
      <c r="G14" s="3000" t="str">
        <f>结果表!C44</f>
        <v>——</v>
      </c>
      <c r="H14" s="3000" t="str">
        <f>结果表!C45</f>
        <v>——</v>
      </c>
      <c r="I14" s="3000" t="str">
        <f>结果表!C46</f>
        <v>——</v>
      </c>
      <c r="J14">
        <f>ROUND(F14*666.67/10000,2)</f>
        <v>63.8</v>
      </c>
    </row>
    <row r="15" spans="1:10" ht="16.5">
      <c r="A15" s="3003" t="s">
        <v>2861</v>
      </c>
      <c r="B15" s="3000"/>
      <c r="C15" s="3000">
        <f>'成本逼近法（015）'!G1</f>
        <v>120795</v>
      </c>
      <c r="D15" s="3000">
        <f>'成本逼近法（015）'!B2</f>
        <v>12139.897499999999</v>
      </c>
      <c r="E15" s="3000" t="e">
        <f t="shared" ref="E15:E23" si="2">ROUND(D15*10000/B15,0)</f>
        <v>#DIV/0!</v>
      </c>
      <c r="F15" s="3000">
        <f t="shared" ref="F15:F23" si="3">ROUND(D15*10000/C15,0)</f>
        <v>1005</v>
      </c>
      <c r="G15" s="3001"/>
      <c r="H15" s="3001"/>
      <c r="I15" s="3004"/>
      <c r="J15">
        <f t="shared" ref="J15:J17" si="4">ROUND(F15*666.67/10000,2)</f>
        <v>67</v>
      </c>
    </row>
    <row r="16" spans="1:10" ht="16.5">
      <c r="A16" s="3003" t="s">
        <v>2862</v>
      </c>
      <c r="B16" s="3000"/>
      <c r="C16" s="3000">
        <f>'成本逼近法（051）'!G1</f>
        <v>4533.3559999999998</v>
      </c>
      <c r="D16" s="3000">
        <f>'成本逼近法（051）'!B2</f>
        <v>429.76209999999998</v>
      </c>
      <c r="E16" s="3000" t="e">
        <f t="shared" si="2"/>
        <v>#DIV/0!</v>
      </c>
      <c r="F16" s="3000">
        <f t="shared" si="3"/>
        <v>948</v>
      </c>
      <c r="G16" s="3001"/>
      <c r="H16" s="3001"/>
      <c r="I16" s="3004"/>
      <c r="J16">
        <f t="shared" si="4"/>
        <v>63.2</v>
      </c>
    </row>
    <row r="17" spans="1:10" ht="16.5">
      <c r="A17" s="3003" t="s">
        <v>2863</v>
      </c>
      <c r="B17" s="3000"/>
      <c r="C17" s="3000">
        <f>'成本逼近法（0011）'!G1</f>
        <v>10485</v>
      </c>
      <c r="D17" s="3000">
        <f>'成本逼近法（0011）'!B2</f>
        <v>980.34749999999997</v>
      </c>
      <c r="E17" s="3000" t="e">
        <f t="shared" si="2"/>
        <v>#DIV/0!</v>
      </c>
      <c r="F17" s="3000">
        <f t="shared" si="3"/>
        <v>935</v>
      </c>
      <c r="G17" s="3001"/>
      <c r="H17" s="3001"/>
      <c r="I17" s="3004"/>
      <c r="J17">
        <f t="shared" si="4"/>
        <v>62.33</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4.25">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4.25">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4.25">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4.25">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4.25">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4.25">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9" t="s">
        <v>315</v>
      </c>
      <c r="B14" s="3370">
        <v>30</v>
      </c>
      <c r="C14" s="3378">
        <v>1</v>
      </c>
      <c r="D14" s="3381">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4"/>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4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4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5" t="str">
        <f>MID(A44,3,LEN(A44)-2)</f>
        <v/>
      </c>
      <c r="L39" s="3326"/>
      <c r="M39" s="3326"/>
      <c r="N39" s="3327"/>
      <c r="O39" s="1389" t="str">
        <f>C44</f>
        <v>——</v>
      </c>
      <c r="P39" s="2014"/>
      <c r="V39" s="2014"/>
    </row>
    <row r="40" spans="1:26" ht="19.5"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5" t="str">
        <f t="shared" si="0"/>
        <v/>
      </c>
      <c r="L41" s="3326"/>
      <c r="M41" s="3326"/>
      <c r="N41" s="3327"/>
      <c r="O41" s="1389" t="str">
        <f>C46</f>
        <v>——</v>
      </c>
      <c r="P41" s="2014"/>
      <c r="V41" s="2014"/>
    </row>
    <row r="42" spans="1:26" ht="29.25">
      <c r="A42" s="3385" t="s">
        <v>2067</v>
      </c>
      <c r="B42" s="3386"/>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5" t="s">
        <v>2730</v>
      </c>
      <c r="B43" s="3396"/>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85" t="str">
        <f>IF(OR(项目基本情况!E8="抵押价格",项目基本情况!E8="已注销及未注销"),"3.抵押价格","——")</f>
        <v>——</v>
      </c>
      <c r="B44" s="3386"/>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9" t="s">
        <v>386</v>
      </c>
      <c r="B66" s="3360"/>
      <c r="C66" s="3360"/>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44435</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t="e">
        <f ca="1">C42</f>
        <v>#REF!</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2883</v>
      </c>
      <c r="M69" s="3335"/>
      <c r="N69" s="1291" t="str">
        <f>C44</f>
        <v>——</v>
      </c>
      <c r="O69" s="1291"/>
      <c r="P69" s="1291"/>
      <c r="Q69" s="2014"/>
      <c r="R69" s="2014"/>
      <c r="S69" s="2014"/>
      <c r="T69" s="2014"/>
      <c r="U69" s="2014"/>
      <c r="V69" s="2014"/>
    </row>
    <row r="70" spans="1:22" ht="24" customHeight="1">
      <c r="A70" s="359" t="s">
        <v>396</v>
      </c>
      <c r="B70" s="3372" t="s">
        <v>397</v>
      </c>
      <c r="C70" s="3372"/>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1" t="s">
        <v>405</v>
      </c>
      <c r="C71" s="3383"/>
      <c r="D71" s="358" t="e">
        <f ca="1">ROUND(D63*'数据-取费表'!B41/(1+'数据-取费表'!C42),0)</f>
        <v>#REF!</v>
      </c>
      <c r="E71" s="17" t="s">
        <v>398</v>
      </c>
      <c r="F71" s="360">
        <f>'数据-取费表'!B41</f>
        <v>0</v>
      </c>
      <c r="G71" s="361"/>
      <c r="H71" s="311"/>
      <c r="I71" s="1288"/>
      <c r="J71" s="2021"/>
      <c r="K71" s="3012" t="s">
        <v>399</v>
      </c>
      <c r="L71" s="3336" t="s">
        <v>400</v>
      </c>
      <c r="M71" s="3336"/>
      <c r="N71" s="3012" t="s">
        <v>401</v>
      </c>
      <c r="O71" s="3012" t="s">
        <v>402</v>
      </c>
      <c r="P71" s="3012" t="s">
        <v>403</v>
      </c>
      <c r="Q71" s="2014"/>
      <c r="R71" s="2014"/>
      <c r="S71" s="2014"/>
      <c r="T71" s="2014"/>
      <c r="U71" s="2014"/>
      <c r="V71" s="2014"/>
    </row>
    <row r="72" spans="1:22" ht="12" customHeight="1">
      <c r="A72" s="359" t="s">
        <v>407</v>
      </c>
      <c r="B72" s="3371" t="s">
        <v>408</v>
      </c>
      <c r="C72" s="3383"/>
      <c r="D72" s="358" t="e">
        <f ca="1">C86</f>
        <v>#REF!</v>
      </c>
      <c r="E72" s="73" t="s">
        <v>409</v>
      </c>
      <c r="F72" s="360">
        <f>'数据-取费表'!B41</f>
        <v>0</v>
      </c>
      <c r="G72" s="361"/>
      <c r="H72" s="1294"/>
      <c r="I72" s="1288"/>
      <c r="J72" s="2021"/>
      <c r="K72" s="1962">
        <v>1</v>
      </c>
      <c r="L72" s="3333" t="s">
        <v>406</v>
      </c>
      <c r="M72" s="3333"/>
      <c r="N72" s="1292" t="e">
        <f ca="1">D66</f>
        <v>#REF!</v>
      </c>
      <c r="O72" s="1845" t="str">
        <f>E66</f>
        <v>销售额×税（费）率</v>
      </c>
      <c r="P72" s="1293">
        <f>F66</f>
        <v>0</v>
      </c>
      <c r="Q72" s="2014"/>
      <c r="R72" s="2014"/>
      <c r="S72" s="2014"/>
      <c r="T72" s="2014"/>
      <c r="U72" s="2014"/>
      <c r="V72" s="2014"/>
    </row>
    <row r="73" spans="1:22" ht="24" customHeight="1">
      <c r="A73" s="3359" t="s">
        <v>411</v>
      </c>
      <c r="B73" s="3360"/>
      <c r="C73" s="3360"/>
      <c r="D73" s="362">
        <f>IF(H73="个人住宅",0,ROUND(D63*I73,0))</f>
        <v>0</v>
      </c>
      <c r="E73" s="17" t="s">
        <v>412</v>
      </c>
      <c r="F73" s="360" t="str">
        <f>IF(H73="正常",I73,"免征")</f>
        <v>免征</v>
      </c>
      <c r="G73" s="361"/>
      <c r="H73" s="191" t="s">
        <v>2455</v>
      </c>
      <c r="I73" s="360">
        <f>'数据-取费表'!B49</f>
        <v>0</v>
      </c>
      <c r="J73" s="2021"/>
      <c r="K73" s="1962">
        <v>2</v>
      </c>
      <c r="L73" s="3333" t="s">
        <v>410</v>
      </c>
      <c r="M73" s="3333"/>
      <c r="N73" s="1292">
        <f t="shared" ref="N73:P74" si="1">D73</f>
        <v>0</v>
      </c>
      <c r="O73" s="1845" t="str">
        <f t="shared" si="1"/>
        <v>销售额×税（费）率</v>
      </c>
      <c r="P73" s="1293" t="str">
        <f t="shared" si="1"/>
        <v>免征</v>
      </c>
      <c r="Q73" s="2014"/>
      <c r="R73" s="2014"/>
      <c r="S73" s="2014"/>
      <c r="T73" s="2014"/>
      <c r="U73" s="2014"/>
      <c r="V73" s="2014"/>
    </row>
    <row r="74" spans="1:22" ht="24.75">
      <c r="A74" s="3359" t="s">
        <v>415</v>
      </c>
      <c r="B74" s="3360"/>
      <c r="C74" s="3360"/>
      <c r="D74" s="362" t="e">
        <f ca="1">IF(H74="个人住宅",D75,D76)</f>
        <v>#REF!</v>
      </c>
      <c r="E74" s="17" t="s">
        <v>416</v>
      </c>
      <c r="F74" s="360" t="str">
        <f>IF(H74="正常",F76,"免征")</f>
        <v>——</v>
      </c>
      <c r="G74" s="983" t="s">
        <v>417</v>
      </c>
      <c r="H74" s="363" t="s">
        <v>413</v>
      </c>
      <c r="I74" s="42"/>
      <c r="J74" s="2021"/>
      <c r="K74" s="1962">
        <v>3</v>
      </c>
      <c r="L74" s="3333" t="s">
        <v>414</v>
      </c>
      <c r="M74" s="3333"/>
      <c r="N74" s="1292" t="e">
        <f t="shared" ca="1" si="1"/>
        <v>#REF!</v>
      </c>
      <c r="O74" s="1845" t="str">
        <f t="shared" si="1"/>
        <v>增值额×税（费）率</v>
      </c>
      <c r="P74" s="1295" t="str">
        <f t="shared" si="1"/>
        <v>——</v>
      </c>
      <c r="Q74" s="2014"/>
      <c r="R74" s="2014"/>
      <c r="S74" s="2014"/>
      <c r="T74" s="2014"/>
      <c r="U74" s="2014"/>
      <c r="V74" s="2014"/>
    </row>
    <row r="75" spans="1:22" ht="24">
      <c r="A75" s="359" t="s">
        <v>418</v>
      </c>
      <c r="B75" s="3340" t="s">
        <v>419</v>
      </c>
      <c r="C75" s="3341"/>
      <c r="D75" s="364">
        <v>0</v>
      </c>
      <c r="E75" s="41" t="s">
        <v>420</v>
      </c>
      <c r="F75" s="365"/>
      <c r="G75" s="361"/>
      <c r="H75" s="42"/>
      <c r="I75" s="42"/>
      <c r="J75" s="2021"/>
      <c r="K75" s="3005">
        <f>IF(H77="非个人房产","",4)</f>
        <v>4</v>
      </c>
      <c r="L75" s="3333" t="str">
        <f>IF(H77="非个人房产","——","个人所得税")</f>
        <v>个人所得税</v>
      </c>
      <c r="M75" s="3333"/>
      <c r="N75" s="1296" t="e">
        <f ca="1">D77</f>
        <v>#REF!</v>
      </c>
      <c r="O75" s="1858" t="str">
        <f>E77</f>
        <v>销售额×税（费）率</v>
      </c>
      <c r="P75" s="1297">
        <f>F77</f>
        <v>0.01</v>
      </c>
      <c r="Q75" s="2014"/>
      <c r="R75" s="2014"/>
      <c r="S75" s="2014"/>
      <c r="T75" s="2014"/>
      <c r="U75" s="2014"/>
      <c r="V75" s="2014"/>
    </row>
    <row r="76" spans="1:22" ht="24.75">
      <c r="A76" s="359" t="s">
        <v>396</v>
      </c>
      <c r="B76" s="3340" t="s">
        <v>422</v>
      </c>
      <c r="C76" s="3382"/>
      <c r="D76" s="362" t="e">
        <f ca="1">IF(H76="转让取得",C99,C115)</f>
        <v>#REF!</v>
      </c>
      <c r="E76" s="17" t="s">
        <v>423</v>
      </c>
      <c r="F76" s="53" t="s">
        <v>21</v>
      </c>
      <c r="G76" s="361"/>
      <c r="H76" s="363" t="s">
        <v>424</v>
      </c>
      <c r="I76" s="42"/>
      <c r="J76" s="2021"/>
      <c r="K76" s="3005"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6.25" thickBot="1">
      <c r="A77" s="3351" t="s">
        <v>426</v>
      </c>
      <c r="B77" s="3352"/>
      <c r="C77" s="3352"/>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7">
        <f>IF(AND(K75="",K76=""),4,IF(项目基本情况!K6="上海银行",K76+1,K75+1))</f>
        <v>5</v>
      </c>
      <c r="L77" s="3333"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7"/>
      <c r="L78" s="3333"/>
      <c r="M78" s="3011" t="s">
        <v>425</v>
      </c>
      <c r="N78" s="1298"/>
      <c r="O78" s="1299" t="str">
        <f ca="1">NUMBERSTRING(INT(O77*10000),2)&amp;"元整"</f>
        <v>零元整</v>
      </c>
      <c r="P78" s="1300"/>
      <c r="Q78" s="2014"/>
      <c r="R78" s="2014"/>
      <c r="S78" s="2014"/>
      <c r="T78" s="2014"/>
      <c r="U78" s="2014"/>
      <c r="V78" s="2014"/>
    </row>
    <row r="79" spans="1:22" ht="13.5" thickBot="1">
      <c r="A79" s="3337" t="s">
        <v>427</v>
      </c>
      <c r="B79" s="3337"/>
      <c r="C79" s="3337"/>
      <c r="D79" s="3337"/>
      <c r="E79" s="3337"/>
      <c r="F79" s="42"/>
      <c r="G79" s="42"/>
      <c r="H79" s="1003"/>
      <c r="I79" s="311"/>
      <c r="J79" s="2021"/>
      <c r="K79" s="3331">
        <f>K77+1</f>
        <v>6</v>
      </c>
      <c r="L79" s="3333" t="s">
        <v>2886</v>
      </c>
      <c r="M79" s="3011" t="s">
        <v>421</v>
      </c>
      <c r="N79" s="1298"/>
      <c r="O79" s="1299" t="e">
        <f ca="1">N69-O77</f>
        <v>#VALUE!</v>
      </c>
      <c r="P79" s="1300"/>
      <c r="Q79" s="2014"/>
      <c r="R79" s="2014"/>
      <c r="S79" s="2014"/>
      <c r="T79" s="2014"/>
      <c r="U79" s="2014"/>
      <c r="V79" s="2014"/>
    </row>
    <row r="80" spans="1:22" ht="12.75">
      <c r="A80" s="3338" t="s">
        <v>428</v>
      </c>
      <c r="B80" s="3339"/>
      <c r="C80" s="994"/>
      <c r="D80" s="994" t="s">
        <v>429</v>
      </c>
      <c r="E80" s="370" t="s">
        <v>430</v>
      </c>
      <c r="F80" s="42"/>
      <c r="G80" s="42"/>
      <c r="H80" s="1003"/>
      <c r="I80" s="311"/>
      <c r="J80" s="2014"/>
      <c r="K80" s="3332"/>
      <c r="L80" s="3333"/>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45" t="s">
        <v>2887</v>
      </c>
      <c r="M81" s="3346"/>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0"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0"/>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0"/>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0"/>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20"/>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38" t="s">
        <v>428</v>
      </c>
      <c r="B89" s="3339"/>
      <c r="C89" s="994"/>
      <c r="D89" s="994" t="s">
        <v>429</v>
      </c>
      <c r="E89" s="391" t="s">
        <v>438</v>
      </c>
      <c r="F89" s="392"/>
      <c r="G89" s="392"/>
      <c r="H89" s="393"/>
      <c r="I89" s="1312"/>
      <c r="J89" s="2024"/>
      <c r="K89" s="3320"/>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4" t="s">
        <v>462</v>
      </c>
      <c r="F109" s="3362"/>
      <c r="G109" s="336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0.25">
      <c r="A7" s="515"/>
      <c r="B7" s="516"/>
      <c r="C7" s="3430" t="s">
        <v>2931</v>
      </c>
      <c r="D7" s="3431"/>
      <c r="E7" s="3430" t="s">
        <v>2932</v>
      </c>
      <c r="F7" s="3431"/>
      <c r="G7" s="3430" t="s">
        <v>2933</v>
      </c>
      <c r="H7" s="3431"/>
      <c r="I7" s="3430" t="s">
        <v>2934</v>
      </c>
      <c r="J7" s="3431"/>
      <c r="K7" s="514"/>
      <c r="L7" s="2119"/>
      <c r="M7" s="2118"/>
      <c r="N7" s="2118"/>
      <c r="O7" s="2120"/>
      <c r="P7" s="3423"/>
      <c r="Q7" s="3424"/>
      <c r="R7" s="3409"/>
      <c r="S7" s="3410"/>
      <c r="T7" s="3409"/>
      <c r="U7" s="3410"/>
      <c r="V7" s="3427"/>
      <c r="W7" s="3427"/>
      <c r="X7" s="1554"/>
      <c r="Y7" s="3409"/>
      <c r="Z7" s="3410"/>
      <c r="AA7" s="3403"/>
      <c r="AB7" s="3403"/>
      <c r="AC7" s="3403"/>
    </row>
    <row r="8" spans="1:30" ht="21" thickBot="1">
      <c r="A8" s="515"/>
      <c r="B8" s="516"/>
      <c r="C8" s="3432" t="s">
        <v>2935</v>
      </c>
      <c r="D8" s="3433"/>
      <c r="E8" s="3432" t="s">
        <v>2935</v>
      </c>
      <c r="F8" s="3433"/>
      <c r="G8" s="3428" t="s">
        <v>2935</v>
      </c>
      <c r="H8" s="3429"/>
      <c r="I8" s="3428" t="s">
        <v>2935</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13"/>
      <c r="Q12" s="1147" t="str">
        <f t="shared" si="6"/>
        <v>土地使用年限（年）</v>
      </c>
      <c r="R12" s="1555" t="s">
        <v>8</v>
      </c>
      <c r="S12" s="1556">
        <f t="shared" si="0"/>
        <v>126</v>
      </c>
      <c r="T12" s="1555" t="s">
        <v>8</v>
      </c>
      <c r="U12" s="1556">
        <f t="shared" si="1"/>
        <v>126</v>
      </c>
      <c r="V12" s="1555" t="s">
        <v>8</v>
      </c>
      <c r="W12" s="1556">
        <f t="shared" si="2"/>
        <v>126</v>
      </c>
      <c r="X12" s="1557"/>
      <c r="Y12" s="3370"/>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5" t="s">
        <v>540</v>
      </c>
      <c r="Q17" s="1559" t="str">
        <f t="shared" si="6"/>
        <v>居住社区成熟度</v>
      </c>
      <c r="R17" s="1560" t="s">
        <v>8</v>
      </c>
      <c r="S17" s="1561">
        <f t="shared" si="0"/>
        <v>100</v>
      </c>
      <c r="T17" s="1560" t="s">
        <v>8</v>
      </c>
      <c r="U17" s="1561">
        <f t="shared" si="1"/>
        <v>100</v>
      </c>
      <c r="V17" s="1560" t="s">
        <v>8</v>
      </c>
      <c r="W17" s="1561">
        <f t="shared" si="2"/>
        <v>100</v>
      </c>
      <c r="X17" s="1554"/>
      <c r="Y17" s="3415"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6"/>
      <c r="Q23" s="1559" t="str">
        <f>B23</f>
        <v>交通便捷度</v>
      </c>
      <c r="R23" s="1560" t="s">
        <v>8</v>
      </c>
      <c r="S23" s="1561">
        <f>F23</f>
        <v>100</v>
      </c>
      <c r="T23" s="1560" t="s">
        <v>8</v>
      </c>
      <c r="U23" s="1561">
        <f>H23</f>
        <v>100</v>
      </c>
      <c r="V23" s="1560" t="s">
        <v>8</v>
      </c>
      <c r="W23" s="1561">
        <f>J23</f>
        <v>100</v>
      </c>
      <c r="X23" s="1554"/>
      <c r="Y23" s="3416"/>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6"/>
      <c r="Q29" s="1147" t="str">
        <f t="shared" si="8"/>
        <v>公共配套设施</v>
      </c>
      <c r="R29" s="1555" t="s">
        <v>8</v>
      </c>
      <c r="S29" s="1556">
        <f>F29</f>
        <v>100</v>
      </c>
      <c r="T29" s="1555" t="s">
        <v>8</v>
      </c>
      <c r="U29" s="1556">
        <f>H29</f>
        <v>100</v>
      </c>
      <c r="V29" s="1555" t="s">
        <v>8</v>
      </c>
      <c r="W29" s="1556">
        <f>J29</f>
        <v>100</v>
      </c>
      <c r="X29" s="1557"/>
      <c r="Y29" s="341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8"/>
      <c r="Q40" s="1559" t="str">
        <f>B40</f>
        <v>宗地面积</v>
      </c>
      <c r="R40" s="1560" t="s">
        <v>8</v>
      </c>
      <c r="S40" s="1561" t="e">
        <f t="shared" si="10"/>
        <v>#N/A</v>
      </c>
      <c r="T40" s="1560" t="s">
        <v>8</v>
      </c>
      <c r="U40" s="1561" t="e">
        <f t="shared" si="11"/>
        <v>#N/A</v>
      </c>
      <c r="V40" s="1560" t="s">
        <v>8</v>
      </c>
      <c r="W40" s="1561" t="e">
        <f t="shared" si="12"/>
        <v>#N/A</v>
      </c>
      <c r="X40" s="1554"/>
      <c r="Y40" s="3418"/>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8"/>
      <c r="Q45" s="1559">
        <f t="shared" si="14"/>
        <v>111</v>
      </c>
      <c r="R45" s="1560" t="s">
        <v>8</v>
      </c>
      <c r="S45" s="1561">
        <f t="shared" si="10"/>
        <v>100</v>
      </c>
      <c r="T45" s="1560" t="s">
        <v>8</v>
      </c>
      <c r="U45" s="1561">
        <f t="shared" si="11"/>
        <v>100</v>
      </c>
      <c r="V45" s="1560" t="s">
        <v>8</v>
      </c>
      <c r="W45" s="1561">
        <f t="shared" si="12"/>
        <v>100</v>
      </c>
      <c r="X45" s="1554"/>
      <c r="Y45" s="341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13" t="str">
        <f>A48</f>
        <v>成交单价</v>
      </c>
      <c r="Q48" s="3413"/>
      <c r="R48" s="3427">
        <f>E48</f>
        <v>0</v>
      </c>
      <c r="S48" s="3427"/>
      <c r="T48" s="3427">
        <f>G48</f>
        <v>0</v>
      </c>
      <c r="U48" s="3427"/>
      <c r="V48" s="3427">
        <f>I48</f>
        <v>0</v>
      </c>
      <c r="W48" s="3427"/>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3" t="str">
        <f>A49</f>
        <v>比较价格（元/平方米）</v>
      </c>
      <c r="Q49" s="3413"/>
      <c r="R49" s="3437" t="e">
        <f>ROUND(PRODUCT(R48,AA9:AA47),0)</f>
        <v>#DIV/0!</v>
      </c>
      <c r="S49" s="3437"/>
      <c r="T49" s="3437" t="e">
        <f>ROUND(PRODUCT(T48,AB9:AB47),0)</f>
        <v>#DIV/0!</v>
      </c>
      <c r="U49" s="3437"/>
      <c r="V49" s="3437" t="e">
        <f>ROUND(PRODUCT(V48,AC9:AC47),0)</f>
        <v>#DIV/0!</v>
      </c>
      <c r="W49" s="3437"/>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34" t="str">
        <f>A50</f>
        <v>估价对象XX用房的比较价格（楼面单价，元/平方米）</v>
      </c>
      <c r="Q50" s="3435"/>
      <c r="R50" s="3436" t="e">
        <f>ROUND(AVERAGE(R49:V49),0)</f>
        <v>#DIV/0!</v>
      </c>
      <c r="S50" s="3436"/>
      <c r="T50" s="3436"/>
      <c r="U50" s="3436"/>
      <c r="V50" s="3436"/>
      <c r="W50" s="343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ht="15">
      <c r="A7" s="515"/>
      <c r="B7" s="516"/>
      <c r="C7" s="3430" t="s">
        <v>2931</v>
      </c>
      <c r="D7" s="3431"/>
      <c r="E7" s="3445" t="s">
        <v>2932</v>
      </c>
      <c r="F7" s="3446"/>
      <c r="G7" s="3430" t="s">
        <v>2933</v>
      </c>
      <c r="H7" s="3431"/>
      <c r="I7" s="3430" t="s">
        <v>2934</v>
      </c>
      <c r="J7" s="3431"/>
      <c r="K7" s="514"/>
      <c r="L7" s="2119"/>
      <c r="M7" s="2120"/>
      <c r="N7" s="2120"/>
      <c r="O7" s="2120"/>
      <c r="P7" s="3423"/>
      <c r="Q7" s="3424"/>
      <c r="R7" s="3409"/>
      <c r="S7" s="3410"/>
      <c r="T7" s="3409"/>
      <c r="U7" s="3410"/>
      <c r="V7" s="3427"/>
      <c r="W7" s="3427"/>
      <c r="X7" s="1554"/>
      <c r="Y7" s="3409"/>
      <c r="Z7" s="3410"/>
      <c r="AA7" s="3403"/>
      <c r="AB7" s="3403"/>
      <c r="AC7" s="3403"/>
    </row>
    <row r="8" spans="1:29" ht="15.75" thickBot="1">
      <c r="A8" s="517"/>
      <c r="B8" s="518"/>
      <c r="C8" s="3428" t="s">
        <v>2935</v>
      </c>
      <c r="D8" s="3429"/>
      <c r="E8" s="3447" t="s">
        <v>2935</v>
      </c>
      <c r="F8" s="3448"/>
      <c r="G8" s="3428" t="s">
        <v>2935</v>
      </c>
      <c r="H8" s="3429"/>
      <c r="I8" s="3428" t="s">
        <v>2935</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13"/>
      <c r="Q12" s="1147" t="str">
        <f t="shared" si="6"/>
        <v>土地使用年限（年）</v>
      </c>
      <c r="R12" s="1555" t="s">
        <v>8</v>
      </c>
      <c r="S12" s="1556">
        <f t="shared" si="0"/>
        <v>126</v>
      </c>
      <c r="T12" s="1555" t="s">
        <v>8</v>
      </c>
      <c r="U12" s="1556">
        <f t="shared" si="1"/>
        <v>126</v>
      </c>
      <c r="V12" s="1555" t="s">
        <v>8</v>
      </c>
      <c r="W12" s="1556">
        <f t="shared" si="2"/>
        <v>126</v>
      </c>
      <c r="X12" s="1557"/>
      <c r="Y12" s="3370"/>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1" t="s">
        <v>2783</v>
      </c>
      <c r="X8" s="346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5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9" t="s">
        <v>1639</v>
      </c>
      <c r="B110" s="3449"/>
      <c r="C110" s="3449"/>
      <c r="D110" s="3449"/>
      <c r="E110" s="3449"/>
      <c r="F110" s="3449"/>
      <c r="G110" s="3449"/>
      <c r="H110" s="3449"/>
      <c r="I110" s="3449"/>
      <c r="J110" s="344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6" t="s">
        <v>1501</v>
      </c>
      <c r="C61" s="1064" t="s">
        <v>1502</v>
      </c>
      <c r="D61" s="1064" t="s">
        <v>1503</v>
      </c>
      <c r="E61" s="1135">
        <v>0.5</v>
      </c>
      <c r="F61" s="1150">
        <v>80</v>
      </c>
      <c r="H61" s="1101">
        <f>SUMIF(C59:C119,基准地价!C8,E59:E119)</f>
        <v>0</v>
      </c>
    </row>
    <row r="62" spans="1:8" s="1101" customFormat="1" ht="24">
      <c r="A62" s="1150">
        <v>2</v>
      </c>
      <c r="B62" s="3456"/>
      <c r="C62" s="1064" t="s">
        <v>1504</v>
      </c>
      <c r="D62" s="1064" t="s">
        <v>1505</v>
      </c>
      <c r="E62" s="1135">
        <v>0.5</v>
      </c>
      <c r="F62" s="1150">
        <v>80</v>
      </c>
    </row>
    <row r="63" spans="1:8" s="1101" customFormat="1" ht="36">
      <c r="A63" s="1150">
        <v>3</v>
      </c>
      <c r="B63" s="3456"/>
      <c r="C63" s="1064" t="s">
        <v>1506</v>
      </c>
      <c r="D63" s="1064" t="s">
        <v>1507</v>
      </c>
      <c r="E63" s="1135">
        <v>0.5</v>
      </c>
      <c r="F63" s="1150">
        <v>80</v>
      </c>
    </row>
    <row r="64" spans="1:8" s="1101" customFormat="1" ht="36">
      <c r="A64" s="1150">
        <v>4</v>
      </c>
      <c r="B64" s="3456"/>
      <c r="C64" s="1064" t="s">
        <v>1508</v>
      </c>
      <c r="D64" s="1064" t="s">
        <v>1509</v>
      </c>
      <c r="E64" s="1135">
        <v>0.4</v>
      </c>
      <c r="F64" s="1150">
        <v>60</v>
      </c>
    </row>
    <row r="65" spans="1:6" s="1101" customFormat="1" ht="36">
      <c r="A65" s="1150">
        <v>5</v>
      </c>
      <c r="B65" s="3456"/>
      <c r="C65" s="1064" t="s">
        <v>1510</v>
      </c>
      <c r="D65" s="1064" t="s">
        <v>1511</v>
      </c>
      <c r="E65" s="1135">
        <v>0.2</v>
      </c>
      <c r="F65" s="1150">
        <v>30</v>
      </c>
    </row>
    <row r="66" spans="1:6" s="1101" customFormat="1" ht="36">
      <c r="A66" s="1150">
        <v>6</v>
      </c>
      <c r="B66" s="3456"/>
      <c r="C66" s="1064" t="s">
        <v>1512</v>
      </c>
      <c r="D66" s="1064" t="s">
        <v>1513</v>
      </c>
      <c r="E66" s="1135">
        <v>0.3</v>
      </c>
      <c r="F66" s="1150">
        <v>50</v>
      </c>
    </row>
    <row r="67" spans="1:6" s="1101" customFormat="1" ht="36">
      <c r="A67" s="1150">
        <v>7</v>
      </c>
      <c r="B67" s="3456"/>
      <c r="C67" s="1064" t="s">
        <v>1514</v>
      </c>
      <c r="D67" s="1064" t="s">
        <v>1515</v>
      </c>
      <c r="E67" s="1135">
        <v>0.2</v>
      </c>
      <c r="F67" s="1150">
        <v>30</v>
      </c>
    </row>
    <row r="68" spans="1:6" s="1101" customFormat="1" ht="36">
      <c r="A68" s="1150">
        <v>8</v>
      </c>
      <c r="B68" s="3456"/>
      <c r="C68" s="1064" t="s">
        <v>1516</v>
      </c>
      <c r="D68" s="1064" t="s">
        <v>1517</v>
      </c>
      <c r="E68" s="1135">
        <v>0.2</v>
      </c>
      <c r="F68" s="1150">
        <v>30</v>
      </c>
    </row>
    <row r="69" spans="1:6" s="1101" customFormat="1" ht="36">
      <c r="A69" s="1150">
        <v>9</v>
      </c>
      <c r="B69" s="3456"/>
      <c r="C69" s="1064" t="s">
        <v>1518</v>
      </c>
      <c r="D69" s="1064" t="s">
        <v>1519</v>
      </c>
      <c r="E69" s="1135">
        <v>0.2</v>
      </c>
      <c r="F69" s="1150">
        <v>30</v>
      </c>
    </row>
    <row r="70" spans="1:6" s="1101" customFormat="1" ht="48">
      <c r="A70" s="1150">
        <v>10</v>
      </c>
      <c r="B70" s="3456"/>
      <c r="C70" s="1064" t="s">
        <v>1520</v>
      </c>
      <c r="D70" s="1064" t="s">
        <v>1521</v>
      </c>
      <c r="E70" s="1135">
        <v>0.2</v>
      </c>
      <c r="F70" s="1150">
        <v>30</v>
      </c>
    </row>
    <row r="71" spans="1:6" s="1101" customFormat="1" ht="48">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24">
      <c r="A73" s="1150">
        <v>13</v>
      </c>
      <c r="B73" s="3456"/>
      <c r="C73" s="1064" t="s">
        <v>1526</v>
      </c>
      <c r="D73" s="1064" t="s">
        <v>1527</v>
      </c>
      <c r="E73" s="1135">
        <v>0.4</v>
      </c>
      <c r="F73" s="1150">
        <v>60</v>
      </c>
    </row>
    <row r="74" spans="1:6" s="1101" customFormat="1" ht="24">
      <c r="A74" s="1150">
        <v>14</v>
      </c>
      <c r="B74" s="3456"/>
      <c r="C74" s="1064" t="s">
        <v>1528</v>
      </c>
      <c r="D74" s="1064" t="s">
        <v>1529</v>
      </c>
      <c r="E74" s="1135">
        <v>0.2</v>
      </c>
      <c r="F74" s="1150">
        <v>30</v>
      </c>
    </row>
    <row r="75" spans="1:6" s="1101" customFormat="1" ht="24">
      <c r="A75" s="1150">
        <v>15</v>
      </c>
      <c r="B75" s="3456"/>
      <c r="C75" s="1064" t="s">
        <v>1530</v>
      </c>
      <c r="D75" s="1064" t="s">
        <v>1531</v>
      </c>
      <c r="E75" s="1135">
        <v>0.2</v>
      </c>
      <c r="F75" s="1150">
        <v>30</v>
      </c>
    </row>
    <row r="76" spans="1:6" s="1101" customFormat="1" ht="24">
      <c r="A76" s="1150">
        <v>16</v>
      </c>
      <c r="B76" s="3456" t="s">
        <v>1532</v>
      </c>
      <c r="C76" s="1064" t="s">
        <v>1533</v>
      </c>
      <c r="D76" s="1064" t="s">
        <v>1534</v>
      </c>
      <c r="E76" s="1135">
        <v>0.5</v>
      </c>
      <c r="F76" s="1150">
        <v>80</v>
      </c>
    </row>
    <row r="77" spans="1:6" s="1101" customFormat="1" ht="24">
      <c r="A77" s="1150">
        <v>17</v>
      </c>
      <c r="B77" s="3456"/>
      <c r="C77" s="1064" t="s">
        <v>1535</v>
      </c>
      <c r="D77" s="1064" t="s">
        <v>1536</v>
      </c>
      <c r="E77" s="1135">
        <v>0.5</v>
      </c>
      <c r="F77" s="1150">
        <v>80</v>
      </c>
    </row>
    <row r="78" spans="1:6" s="1101" customFormat="1" ht="24">
      <c r="A78" s="1150">
        <v>18</v>
      </c>
      <c r="B78" s="3456"/>
      <c r="C78" s="1064" t="s">
        <v>1537</v>
      </c>
      <c r="D78" s="1064" t="s">
        <v>1538</v>
      </c>
      <c r="E78" s="1135">
        <v>0.2</v>
      </c>
      <c r="F78" s="1150">
        <v>30</v>
      </c>
    </row>
    <row r="79" spans="1:6" s="1101" customFormat="1" ht="24">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48">
      <c r="A82" s="1150">
        <v>22</v>
      </c>
      <c r="B82" s="3456"/>
      <c r="C82" s="1064" t="s">
        <v>1545</v>
      </c>
      <c r="D82" s="1064" t="s">
        <v>1546</v>
      </c>
      <c r="E82" s="1135">
        <v>0.2</v>
      </c>
      <c r="F82" s="1150">
        <v>30</v>
      </c>
    </row>
    <row r="83" spans="1:6" s="1101" customFormat="1" ht="48">
      <c r="A83" s="1150">
        <v>23</v>
      </c>
      <c r="B83" s="3456"/>
      <c r="C83" s="1064" t="s">
        <v>1547</v>
      </c>
      <c r="D83" s="1064" t="s">
        <v>1548</v>
      </c>
      <c r="E83" s="1135">
        <v>0.2</v>
      </c>
      <c r="F83" s="1150">
        <v>30</v>
      </c>
    </row>
    <row r="84" spans="1:6" s="1101" customFormat="1" ht="36">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24">
      <c r="A89" s="1150">
        <v>29</v>
      </c>
      <c r="B89" s="3456"/>
      <c r="C89" s="1064" t="s">
        <v>1559</v>
      </c>
      <c r="D89" s="1064" t="s">
        <v>1560</v>
      </c>
      <c r="E89" s="1135">
        <v>0.2</v>
      </c>
      <c r="F89" s="1150">
        <v>30</v>
      </c>
    </row>
    <row r="90" spans="1:6" s="1101" customFormat="1" ht="24">
      <c r="A90" s="1150">
        <v>30</v>
      </c>
      <c r="B90" s="3456"/>
      <c r="C90" s="1064" t="s">
        <v>1561</v>
      </c>
      <c r="D90" s="1064" t="s">
        <v>1562</v>
      </c>
      <c r="E90" s="1135">
        <v>0.2</v>
      </c>
      <c r="F90" s="1150">
        <v>30</v>
      </c>
    </row>
    <row r="91" spans="1:6" s="1101" customFormat="1" ht="36">
      <c r="A91" s="1150">
        <v>31</v>
      </c>
      <c r="B91" s="3456"/>
      <c r="C91" s="1064" t="s">
        <v>1563</v>
      </c>
      <c r="D91" s="1064" t="s">
        <v>1564</v>
      </c>
      <c r="E91" s="1135">
        <v>0.2</v>
      </c>
      <c r="F91" s="1150">
        <v>30</v>
      </c>
    </row>
    <row r="92" spans="1:6" s="1101" customFormat="1" ht="24">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48">
      <c r="A94" s="1150">
        <v>34</v>
      </c>
      <c r="B94" s="3456"/>
      <c r="C94" s="1150" t="s">
        <v>1570</v>
      </c>
      <c r="D94" s="1064" t="s">
        <v>1571</v>
      </c>
      <c r="E94" s="1135">
        <v>0.2</v>
      </c>
      <c r="F94" s="1150">
        <v>30</v>
      </c>
    </row>
    <row r="95" spans="1:6" s="1101" customFormat="1" ht="36">
      <c r="A95" s="1150">
        <v>35</v>
      </c>
      <c r="B95" s="3456"/>
      <c r="C95" s="1150" t="s">
        <v>1572</v>
      </c>
      <c r="D95" s="1064" t="s">
        <v>1573</v>
      </c>
      <c r="E95" s="1135">
        <v>0.2</v>
      </c>
      <c r="F95" s="1150">
        <v>30</v>
      </c>
    </row>
    <row r="96" spans="1:6" s="1101" customFormat="1" ht="48">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24">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6" t="s">
        <v>1595</v>
      </c>
      <c r="C105" s="1150" t="s">
        <v>1596</v>
      </c>
      <c r="D105" s="1064" t="s">
        <v>1597</v>
      </c>
      <c r="E105" s="1135">
        <v>0.2</v>
      </c>
      <c r="F105" s="1150">
        <v>30</v>
      </c>
    </row>
    <row r="106" spans="1:6" s="1101" customFormat="1" ht="36">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36">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6" t="s">
        <v>1611</v>
      </c>
      <c r="C111" s="1150" t="s">
        <v>1612</v>
      </c>
      <c r="D111" s="1064" t="s">
        <v>1613</v>
      </c>
      <c r="E111" s="1135">
        <v>0.2</v>
      </c>
      <c r="F111" s="1150">
        <v>30</v>
      </c>
    </row>
    <row r="112" spans="1:6" s="1101" customFormat="1" ht="24">
      <c r="A112" s="1150">
        <v>52</v>
      </c>
      <c r="B112" s="3456"/>
      <c r="C112" s="1150" t="s">
        <v>1614</v>
      </c>
      <c r="D112" s="1064" t="s">
        <v>1615</v>
      </c>
      <c r="E112" s="1135">
        <v>0.2</v>
      </c>
      <c r="F112" s="1150">
        <v>30</v>
      </c>
    </row>
    <row r="113" spans="1:14" s="1101" customFormat="1" ht="24">
      <c r="A113" s="1150">
        <v>53</v>
      </c>
      <c r="B113" s="345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7" t="s">
        <v>2576</v>
      </c>
      <c r="C1" s="3477"/>
      <c r="D1" s="3477"/>
      <c r="E1" s="3477"/>
      <c r="F1" s="3477"/>
      <c r="G1" s="3476" t="s">
        <v>2577</v>
      </c>
      <c r="H1" s="3476"/>
      <c r="I1" s="3476"/>
      <c r="J1" s="3476"/>
      <c r="K1" s="3476"/>
      <c r="L1" s="3476"/>
      <c r="N1" s="3476" t="s">
        <v>2578</v>
      </c>
      <c r="O1" s="3476"/>
      <c r="P1" s="3476"/>
      <c r="Q1" s="3476"/>
      <c r="R1" s="2619"/>
      <c r="S1" s="3476" t="s">
        <v>2579</v>
      </c>
      <c r="T1" s="3476"/>
      <c r="U1" s="3476"/>
      <c r="V1" s="3476"/>
      <c r="X1" s="3475" t="s">
        <v>2639</v>
      </c>
      <c r="Y1" s="3476"/>
      <c r="Z1" s="3476"/>
      <c r="AA1" s="3476"/>
      <c r="AB1" s="3476"/>
      <c r="AD1" s="3475" t="s">
        <v>2643</v>
      </c>
      <c r="AE1" s="3476"/>
      <c r="AF1" s="3476"/>
      <c r="AG1" s="3476"/>
      <c r="AH1" s="347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9">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9"/>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9"/>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9"/>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9"/>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9"/>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9"/>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9"/>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9"/>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9"/>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9"/>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9"/>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9"/>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9">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9">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9">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9">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9">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9">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9">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9">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9">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9">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9">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9">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9">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9">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9">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9">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9">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9">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9">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9">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11" t="s">
        <v>2471</v>
      </c>
      <c r="B1" s="3512"/>
      <c r="C1" s="3513"/>
      <c r="D1" s="3514">
        <f>SUM(I10,I15,I20,I21,I23)</f>
        <v>0</v>
      </c>
      <c r="E1" s="3514"/>
      <c r="F1" s="3514"/>
      <c r="G1" s="3514"/>
      <c r="H1" s="3514"/>
      <c r="I1" s="3515"/>
    </row>
    <row r="2" spans="1:9">
      <c r="A2" s="3501" t="s">
        <v>2472</v>
      </c>
      <c r="B2" s="3502" t="s">
        <v>2473</v>
      </c>
      <c r="C2" s="3502"/>
      <c r="D2" s="2472" t="s">
        <v>2474</v>
      </c>
      <c r="E2" s="2472" t="s">
        <v>2475</v>
      </c>
      <c r="F2" s="2472" t="s">
        <v>2476</v>
      </c>
      <c r="G2" s="2472" t="s">
        <v>2477</v>
      </c>
      <c r="H2" s="2472" t="s">
        <v>2478</v>
      </c>
      <c r="I2" s="2473" t="s">
        <v>2479</v>
      </c>
    </row>
    <row r="3" spans="1:9">
      <c r="A3" s="3501"/>
      <c r="B3" s="3502" t="s">
        <v>2480</v>
      </c>
      <c r="C3" s="3502"/>
      <c r="D3" s="2474"/>
      <c r="E3" s="2472"/>
      <c r="F3" s="2475"/>
      <c r="G3" s="2475"/>
      <c r="H3" s="2476"/>
      <c r="I3" s="2477">
        <f>ROUND(D3*E3*F3*G3*H3/10000,0)</f>
        <v>0</v>
      </c>
    </row>
    <row r="4" spans="1:9">
      <c r="A4" s="3501"/>
      <c r="B4" s="3502" t="s">
        <v>2481</v>
      </c>
      <c r="C4" s="3502"/>
      <c r="D4" s="2474"/>
      <c r="E4" s="2472"/>
      <c r="F4" s="2475"/>
      <c r="G4" s="2475"/>
      <c r="H4" s="2476"/>
      <c r="I4" s="2477">
        <f t="shared" ref="I4:I9" si="0">ROUND(D4*E4*F4*G4*H4/10000,0)</f>
        <v>0</v>
      </c>
    </row>
    <row r="5" spans="1:9">
      <c r="A5" s="3501"/>
      <c r="B5" s="3502" t="s">
        <v>2482</v>
      </c>
      <c r="C5" s="3502"/>
      <c r="D5" s="2474"/>
      <c r="E5" s="2472"/>
      <c r="F5" s="2475"/>
      <c r="G5" s="2475"/>
      <c r="H5" s="2476"/>
      <c r="I5" s="2477">
        <f t="shared" si="0"/>
        <v>0</v>
      </c>
    </row>
    <row r="6" spans="1:9">
      <c r="A6" s="3501"/>
      <c r="B6" s="3502" t="s">
        <v>2483</v>
      </c>
      <c r="C6" s="3502"/>
      <c r="D6" s="2474"/>
      <c r="E6" s="2472"/>
      <c r="F6" s="2475"/>
      <c r="G6" s="2475"/>
      <c r="H6" s="2476"/>
      <c r="I6" s="2477">
        <f t="shared" si="0"/>
        <v>0</v>
      </c>
    </row>
    <row r="7" spans="1:9">
      <c r="A7" s="3501"/>
      <c r="B7" s="3502" t="s">
        <v>2484</v>
      </c>
      <c r="C7" s="3502"/>
      <c r="D7" s="2474"/>
      <c r="E7" s="2472"/>
      <c r="F7" s="2475"/>
      <c r="G7" s="2475"/>
      <c r="H7" s="2476"/>
      <c r="I7" s="2477">
        <f t="shared" si="0"/>
        <v>0</v>
      </c>
    </row>
    <row r="8" spans="1:9">
      <c r="A8" s="3501"/>
      <c r="B8" s="3502" t="s">
        <v>2485</v>
      </c>
      <c r="C8" s="3502"/>
      <c r="D8" s="2474"/>
      <c r="E8" s="2472"/>
      <c r="F8" s="2475"/>
      <c r="G8" s="2475"/>
      <c r="H8" s="2476"/>
      <c r="I8" s="2477">
        <f t="shared" si="0"/>
        <v>0</v>
      </c>
    </row>
    <row r="9" spans="1:9">
      <c r="A9" s="3501"/>
      <c r="B9" s="3502" t="s">
        <v>2486</v>
      </c>
      <c r="C9" s="3502"/>
      <c r="D9" s="2474"/>
      <c r="E9" s="2472"/>
      <c r="F9" s="2475"/>
      <c r="G9" s="2475"/>
      <c r="H9" s="2476"/>
      <c r="I9" s="2477">
        <f t="shared" si="0"/>
        <v>0</v>
      </c>
    </row>
    <row r="10" spans="1:9">
      <c r="A10" s="3501"/>
      <c r="B10" s="3503" t="s">
        <v>2487</v>
      </c>
      <c r="C10" s="3503"/>
      <c r="D10" s="2478">
        <v>527</v>
      </c>
      <c r="E10" s="2478" t="e">
        <f>ROUND(D1*10000/D10/H9,0)</f>
        <v>#DIV/0!</v>
      </c>
      <c r="F10" s="2479"/>
      <c r="G10" s="2479"/>
      <c r="H10" s="2480"/>
      <c r="I10" s="2481">
        <f>SUM(I3:I9)</f>
        <v>0</v>
      </c>
    </row>
    <row r="11" spans="1:9" ht="14.25">
      <c r="A11" s="3501" t="s">
        <v>2488</v>
      </c>
      <c r="B11" s="3502" t="s">
        <v>2489</v>
      </c>
      <c r="C11" s="3502"/>
      <c r="D11" s="2474" t="s">
        <v>2490</v>
      </c>
      <c r="E11" s="2474" t="s">
        <v>2491</v>
      </c>
      <c r="F11" s="2475" t="s">
        <v>2492</v>
      </c>
      <c r="G11" s="2475" t="s">
        <v>2493</v>
      </c>
      <c r="H11" s="2482" t="s">
        <v>2494</v>
      </c>
      <c r="I11" s="2473" t="s">
        <v>2495</v>
      </c>
    </row>
    <row r="12" spans="1:9">
      <c r="A12" s="3501"/>
      <c r="B12" s="3502" t="s">
        <v>2496</v>
      </c>
      <c r="C12" s="3502"/>
      <c r="D12" s="2474"/>
      <c r="E12" s="2474"/>
      <c r="F12" s="2475"/>
      <c r="G12" s="2476"/>
      <c r="H12" s="2483"/>
      <c r="I12" s="2473">
        <f>ROUND(D12*E12*F12*G12/10000,0)</f>
        <v>0</v>
      </c>
    </row>
    <row r="13" spans="1:9">
      <c r="A13" s="3501"/>
      <c r="B13" s="3502" t="s">
        <v>2497</v>
      </c>
      <c r="C13" s="3502"/>
      <c r="D13" s="2474"/>
      <c r="E13" s="2474"/>
      <c r="F13" s="2475"/>
      <c r="G13" s="2476"/>
      <c r="H13" s="2483"/>
      <c r="I13" s="2473">
        <f>ROUND(D13*E13*F13*G13/10000,0)</f>
        <v>0</v>
      </c>
    </row>
    <row r="14" spans="1:9">
      <c r="A14" s="3501"/>
      <c r="B14" s="3502" t="s">
        <v>2498</v>
      </c>
      <c r="C14" s="3502"/>
      <c r="D14" s="2474"/>
      <c r="E14" s="2474"/>
      <c r="F14" s="2475"/>
      <c r="G14" s="2476"/>
      <c r="H14" s="2483"/>
      <c r="I14" s="2473">
        <f>ROUND(D14*E14*F14*G14/10000,0)</f>
        <v>0</v>
      </c>
    </row>
    <row r="15" spans="1:9">
      <c r="A15" s="3501"/>
      <c r="B15" s="3503" t="s">
        <v>2487</v>
      </c>
      <c r="C15" s="3503"/>
      <c r="D15" s="2478"/>
      <c r="E15" s="2478">
        <f>SUM(E12:E14)</f>
        <v>0</v>
      </c>
      <c r="F15" s="2479"/>
      <c r="G15" s="2476"/>
      <c r="H15" s="2483"/>
      <c r="I15" s="2484">
        <f>SUM(I12:I14)</f>
        <v>0</v>
      </c>
    </row>
    <row r="16" spans="1:9" ht="24">
      <c r="A16" s="3501" t="s">
        <v>2499</v>
      </c>
      <c r="B16" s="3502" t="s">
        <v>2500</v>
      </c>
      <c r="C16" s="3502"/>
      <c r="D16" s="2474" t="s">
        <v>2501</v>
      </c>
      <c r="E16" s="2485" t="s">
        <v>2502</v>
      </c>
      <c r="F16" s="2475" t="s">
        <v>2503</v>
      </c>
      <c r="G16" s="2476" t="s">
        <v>2493</v>
      </c>
      <c r="H16" s="2482" t="s">
        <v>2494</v>
      </c>
      <c r="I16" s="2473" t="s">
        <v>2495</v>
      </c>
    </row>
    <row r="17" spans="1:9" ht="14.25">
      <c r="A17" s="3501"/>
      <c r="B17" s="3502" t="s">
        <v>2504</v>
      </c>
      <c r="C17" s="3502"/>
      <c r="D17" s="2474"/>
      <c r="E17" s="2474"/>
      <c r="F17" s="2475"/>
      <c r="G17" s="2476"/>
      <c r="H17" s="2486"/>
      <c r="I17" s="2487">
        <f>ROUND(D17*E17*F17*G17/10000,0)</f>
        <v>0</v>
      </c>
    </row>
    <row r="18" spans="1:9" ht="14.25">
      <c r="A18" s="3501"/>
      <c r="B18" s="3502" t="s">
        <v>2505</v>
      </c>
      <c r="C18" s="3502"/>
      <c r="D18" s="2474"/>
      <c r="E18" s="2474"/>
      <c r="F18" s="2475"/>
      <c r="G18" s="2476"/>
      <c r="H18" s="2486"/>
      <c r="I18" s="2487">
        <f>ROUND(D18*E18*F18*G18/10000,0)</f>
        <v>0</v>
      </c>
    </row>
    <row r="19" spans="1:9" ht="14.25">
      <c r="A19" s="3501"/>
      <c r="B19" s="3502" t="s">
        <v>2506</v>
      </c>
      <c r="C19" s="3502"/>
      <c r="D19" s="2474"/>
      <c r="E19" s="2474"/>
      <c r="F19" s="2475"/>
      <c r="G19" s="2476"/>
      <c r="H19" s="2486"/>
      <c r="I19" s="2487">
        <f>ROUND(D19*E19*F19*G19/10000,0)</f>
        <v>0</v>
      </c>
    </row>
    <row r="20" spans="1:9">
      <c r="A20" s="3501"/>
      <c r="B20" s="3503" t="s">
        <v>2487</v>
      </c>
      <c r="C20" s="3503"/>
      <c r="D20" s="2478">
        <f>SUM(D17:D19)</f>
        <v>0</v>
      </c>
      <c r="E20" s="2478"/>
      <c r="F20" s="2479"/>
      <c r="G20" s="2476"/>
      <c r="H20" s="2483"/>
      <c r="I20" s="2484">
        <f>SUM(I17:I19)</f>
        <v>0</v>
      </c>
    </row>
    <row r="21" spans="1:9">
      <c r="A21" s="3501"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498">
        <f>C27-C30-C31-C32</f>
        <v>0</v>
      </c>
      <c r="F26" s="3498"/>
      <c r="G26" s="3498"/>
      <c r="H26" s="2995" t="s">
        <v>2843</v>
      </c>
    </row>
    <row r="27" spans="1:9">
      <c r="A27" s="2496">
        <v>1</v>
      </c>
      <c r="B27" s="2497" t="s">
        <v>2516</v>
      </c>
      <c r="C27" s="2497"/>
      <c r="D27" s="2497"/>
      <c r="E27" s="3499"/>
      <c r="F27" s="3499"/>
      <c r="G27" s="3499"/>
    </row>
    <row r="28" spans="1:9">
      <c r="A28" s="2498" t="s">
        <v>2517</v>
      </c>
      <c r="B28" s="2497" t="s">
        <v>2518</v>
      </c>
      <c r="C28" s="2497"/>
      <c r="D28" s="2497"/>
      <c r="E28" s="3499"/>
      <c r="F28" s="3499"/>
      <c r="G28" s="3499"/>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0"/>
      <c r="F32" s="3500"/>
      <c r="G32" s="3500"/>
    </row>
    <row r="33" spans="1:7" hidden="1">
      <c r="A33" s="3495" t="s">
        <v>2526</v>
      </c>
      <c r="B33" s="3496"/>
      <c r="C33" s="3496"/>
      <c r="D33" s="3497"/>
      <c r="E33" s="3498"/>
      <c r="F33" s="3498"/>
      <c r="G33" s="3498"/>
    </row>
    <row r="34" spans="1:7" hidden="1">
      <c r="A34" s="2500">
        <v>1</v>
      </c>
      <c r="B34" s="2497" t="s">
        <v>2527</v>
      </c>
      <c r="C34" s="2497"/>
      <c r="D34" s="2497"/>
      <c r="E34" s="3499"/>
      <c r="F34" s="3499"/>
      <c r="G34" s="3499"/>
    </row>
    <row r="35" spans="1:7" hidden="1">
      <c r="A35" s="2500">
        <v>2</v>
      </c>
      <c r="B35" s="2497" t="s">
        <v>2528</v>
      </c>
      <c r="C35" s="2497"/>
      <c r="D35" s="2497"/>
      <c r="E35" s="3499"/>
      <c r="F35" s="3499"/>
      <c r="G35" s="3499"/>
    </row>
    <row r="36" spans="1:7" hidden="1">
      <c r="A36" s="2500">
        <v>3</v>
      </c>
      <c r="B36" s="2497" t="s">
        <v>2529</v>
      </c>
      <c r="C36" s="2497"/>
      <c r="D36" s="2497"/>
      <c r="E36" s="3499"/>
      <c r="F36" s="3499"/>
      <c r="G36" s="3499"/>
    </row>
    <row r="37" spans="1:7" hidden="1">
      <c r="A37" s="2500">
        <v>4</v>
      </c>
      <c r="B37" s="2497" t="s">
        <v>2530</v>
      </c>
      <c r="C37" s="2497"/>
      <c r="D37" s="2497"/>
      <c r="E37" s="3499"/>
      <c r="F37" s="3499"/>
      <c r="G37" s="3499"/>
    </row>
    <row r="38" spans="1:7" hidden="1">
      <c r="A38" s="3495" t="s">
        <v>2531</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2931</v>
      </c>
      <c r="D5" s="3431"/>
      <c r="E5" s="3445" t="s">
        <v>2932</v>
      </c>
      <c r="F5" s="3446"/>
      <c r="G5" s="3430" t="s">
        <v>2933</v>
      </c>
      <c r="H5" s="3431"/>
      <c r="I5" s="3430" t="s">
        <v>2934</v>
      </c>
      <c r="J5" s="3431"/>
      <c r="K5" s="85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5" t="s">
        <v>530</v>
      </c>
      <c r="Q7" s="3414"/>
      <c r="R7" s="1555" t="s">
        <v>13</v>
      </c>
      <c r="S7" s="1556">
        <f t="shared" ref="S7:S15" si="0">F7</f>
        <v>0</v>
      </c>
      <c r="T7" s="1555" t="s">
        <v>13</v>
      </c>
      <c r="U7" s="1556">
        <f t="shared" ref="U7:U15" si="1">H7</f>
        <v>0</v>
      </c>
      <c r="V7" s="1555" t="s">
        <v>13</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5" t="s">
        <v>533</v>
      </c>
      <c r="Q8" s="3406"/>
      <c r="R8" s="1555" t="s">
        <v>13</v>
      </c>
      <c r="S8" s="1556">
        <f t="shared" si="0"/>
        <v>0</v>
      </c>
      <c r="T8" s="1555" t="s">
        <v>13</v>
      </c>
      <c r="U8" s="1556">
        <f t="shared" si="1"/>
        <v>0</v>
      </c>
      <c r="V8" s="1555" t="s">
        <v>13</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3"/>
      <c r="Q11" s="1147" t="str">
        <f t="shared" si="6"/>
        <v>容积率</v>
      </c>
      <c r="R11" s="1555" t="s">
        <v>11</v>
      </c>
      <c r="S11" s="1556" t="e">
        <f t="shared" si="0"/>
        <v>#N/A</v>
      </c>
      <c r="T11" s="1555" t="s">
        <v>11</v>
      </c>
      <c r="U11" s="1556" t="e">
        <f t="shared" si="1"/>
        <v>#N/A</v>
      </c>
      <c r="V11" s="1555" t="s">
        <v>11</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5" t="s">
        <v>540</v>
      </c>
      <c r="Q15" s="1559" t="str">
        <f t="shared" si="6"/>
        <v>居住社区成熟度</v>
      </c>
      <c r="R15" s="1560" t="s">
        <v>11</v>
      </c>
      <c r="S15" s="1561">
        <f t="shared" si="0"/>
        <v>100</v>
      </c>
      <c r="T15" s="1560" t="s">
        <v>11</v>
      </c>
      <c r="U15" s="1561">
        <f t="shared" si="1"/>
        <v>100</v>
      </c>
      <c r="V15" s="1560" t="s">
        <v>11</v>
      </c>
      <c r="W15" s="1561">
        <f t="shared" si="2"/>
        <v>100</v>
      </c>
      <c r="X15" s="1554"/>
      <c r="Y15" s="341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6"/>
      <c r="Q17" s="1559" t="str">
        <f>B17</f>
        <v>交通便捷度</v>
      </c>
      <c r="R17" s="1560" t="s">
        <v>11</v>
      </c>
      <c r="S17" s="1561">
        <f>F17</f>
        <v>100</v>
      </c>
      <c r="T17" s="1560" t="s">
        <v>11</v>
      </c>
      <c r="U17" s="1561">
        <f>H17</f>
        <v>100</v>
      </c>
      <c r="V17" s="1560" t="s">
        <v>11</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6"/>
      <c r="Q19" s="1559" t="str">
        <f>B19</f>
        <v>公共配套设施</v>
      </c>
      <c r="R19" s="1560" t="s">
        <v>11</v>
      </c>
      <c r="S19" s="1561">
        <f>F19</f>
        <v>100</v>
      </c>
      <c r="T19" s="1560" t="s">
        <v>11</v>
      </c>
      <c r="U19" s="1561">
        <f>H19</f>
        <v>100</v>
      </c>
      <c r="V19" s="1560" t="s">
        <v>11</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8"/>
      <c r="Q33" s="1591" t="str">
        <f t="shared" si="11"/>
        <v>项目建筑规模</v>
      </c>
      <c r="R33" s="1564" t="s">
        <v>11</v>
      </c>
      <c r="S33" s="1565" t="e">
        <f t="shared" si="12"/>
        <v>#N/A</v>
      </c>
      <c r="T33" s="1564" t="s">
        <v>11</v>
      </c>
      <c r="U33" s="1565" t="e">
        <f t="shared" si="13"/>
        <v>#N/A</v>
      </c>
      <c r="V33" s="1564" t="s">
        <v>11</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8"/>
      <c r="Q37" s="1147" t="str">
        <f t="shared" si="11"/>
        <v>成新度</v>
      </c>
      <c r="R37" s="1555" t="s">
        <v>11</v>
      </c>
      <c r="S37" s="1556" t="e">
        <f t="shared" si="12"/>
        <v>#N/A</v>
      </c>
      <c r="T37" s="1555" t="s">
        <v>11</v>
      </c>
      <c r="U37" s="1556" t="e">
        <f t="shared" si="13"/>
        <v>#N/A</v>
      </c>
      <c r="V37" s="1555" t="s">
        <v>11</v>
      </c>
      <c r="W37" s="1556" t="e">
        <f t="shared" si="14"/>
        <v>#N/A</v>
      </c>
      <c r="X37" s="1557"/>
      <c r="Y37" s="341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27"/>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9" t="s">
        <v>522</v>
      </c>
      <c r="D4" s="3420"/>
      <c r="E4" s="3443" t="s">
        <v>523</v>
      </c>
      <c r="F4" s="3444"/>
      <c r="G4" s="3419" t="s">
        <v>524</v>
      </c>
      <c r="H4" s="3420"/>
      <c r="I4" s="3419" t="s">
        <v>525</v>
      </c>
      <c r="J4" s="3420"/>
      <c r="K4" s="514" t="s">
        <v>526</v>
      </c>
      <c r="L4" s="2119"/>
      <c r="M4" s="2120"/>
      <c r="N4" s="2120"/>
      <c r="O4" s="2120"/>
      <c r="P4" s="3519"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520"/>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521"/>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2" t="str">
        <f>A50</f>
        <v>估价对象XX用房的比较价格（楼面单价，元/平方米）</v>
      </c>
      <c r="Q50" s="3435"/>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2931</v>
      </c>
      <c r="D5" s="3431"/>
      <c r="E5" s="3430" t="s">
        <v>2932</v>
      </c>
      <c r="F5" s="3431"/>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32" t="s">
        <v>2935</v>
      </c>
      <c r="F6" s="3433"/>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topLeftCell="A7"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ROUND(B2/(G1/666.67),2)</f>
        <v>74.47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980.34749999999997</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4" t="s">
        <v>2029</v>
      </c>
      <c r="B3" s="3234" t="s">
        <v>2731</v>
      </c>
      <c r="C3" s="3235" t="s">
        <v>2030</v>
      </c>
      <c r="D3" s="3234" t="s">
        <v>2735</v>
      </c>
      <c r="E3" s="3237" t="s">
        <v>2031</v>
      </c>
      <c r="F3" s="3237"/>
      <c r="G3" s="3237"/>
      <c r="H3" s="3237" t="s">
        <v>2032</v>
      </c>
      <c r="I3" s="3237"/>
      <c r="J3" s="3237"/>
      <c r="K3" s="3235" t="s">
        <v>2033</v>
      </c>
      <c r="L3" s="3235" t="s">
        <v>2034</v>
      </c>
      <c r="M3" s="3234" t="s">
        <v>2732</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14" t="s">
        <v>2042</v>
      </c>
      <c r="F4" s="2614" t="s">
        <v>2744</v>
      </c>
      <c r="G4" s="2614" t="s">
        <v>2036</v>
      </c>
      <c r="H4" s="2614" t="s">
        <v>2037</v>
      </c>
      <c r="I4" s="2614" t="s">
        <v>2745</v>
      </c>
      <c r="J4" s="2614" t="s">
        <v>2036</v>
      </c>
      <c r="K4" s="3235"/>
      <c r="L4" s="3235"/>
      <c r="M4" s="3234"/>
      <c r="N4" s="3236"/>
      <c r="O4" s="3234"/>
      <c r="P4" s="3235"/>
      <c r="Q4" s="3235"/>
      <c r="R4" s="323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8"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8"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2746</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44581</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2022-01-20T08:21:40Z</dcterms:modified>
</cp:coreProperties>
</file>