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media/image5.jpg" ContentType="image/png"/>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37E21C1-2ED6-4D1E-9FB5-03D2ADC8CC2A}" xr6:coauthVersionLast="47" xr6:coauthVersionMax="47" xr10:uidLastSave="{00000000-0000-0000-0000-000000000000}"/>
  <bookViews>
    <workbookView xWindow="-120" yWindow="-120" windowWidth="19440" windowHeight="15000" tabRatio="899" firstSheet="28"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合并" sheetId="88" r:id="rId19"/>
    <sheet name="结果表" sheetId="9" r:id="rId20"/>
    <sheet name="成本法 (元)" sheetId="69" state="hidden" r:id="rId21"/>
    <sheet name="假设开发法" sheetId="12" state="hidden" r:id="rId22"/>
    <sheet name="比较法-办公" sheetId="34" r:id="rId23"/>
    <sheet name="典型户型修正 (办公)" sheetId="87" r:id="rId24"/>
    <sheet name="比较法案例" sheetId="79" r:id="rId25"/>
    <sheet name="收益法" sheetId="15" r:id="rId26"/>
    <sheet name="收益法 (元)" sheetId="67" state="hidden" r:id="rId27"/>
    <sheet name="收益法-酒店模型" sheetId="77" state="hidden" r:id="rId28"/>
    <sheet name="结果表 (地下综合)" sheetId="83" r:id="rId29"/>
    <sheet name="成本法" sheetId="68" r:id="rId30"/>
    <sheet name="收益法 (地下综合)" sheetId="81" r:id="rId31"/>
    <sheet name="结果表 (地下车库) " sheetId="85" r:id="rId32"/>
    <sheet name="成本法 (地下车库)" sheetId="84" r:id="rId33"/>
    <sheet name="收益法 (地下车库)" sheetId="82" r:id="rId34"/>
    <sheet name="收益法（汇总）" sheetId="70"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结果表 (土增税)" sheetId="86" r:id="rId53"/>
    <sheet name="土地比较法-住宅、综合" sheetId="39" state="hidden" r:id="rId54"/>
    <sheet name="土地案例" sheetId="80" state="hidden" r:id="rId55"/>
  </sheets>
  <externalReferences>
    <externalReference r:id="rId56"/>
    <externalReference r:id="rId57"/>
  </externalReferences>
  <definedNames>
    <definedName name="_xlnm._FilterDatabase" localSheetId="22"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9">成本法!$A$1:$G$57</definedName>
    <definedName name="_xlnm.Print_Area" localSheetId="32">'成本法 (地下车库)'!$A$1:$G$57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1">假设开发法!$A$1:$K$32</definedName>
    <definedName name="_xlnm.Print_Area" localSheetId="19">结果表!$A$1:$O$127</definedName>
    <definedName name="_xlnm.Print_Area" localSheetId="31">'结果表 (地下车库) '!$A$1:$O$127</definedName>
    <definedName name="_xlnm.Print_Area" localSheetId="28">'结果表 (地下综合)'!$A$1:$O$127</definedName>
    <definedName name="_xlnm.Print_Area" localSheetId="52">'结果表 (土增税)'!$A$1:$O$127</definedName>
    <definedName name="_xlnm.Print_Area" localSheetId="25">收益法!$A$1:$F$43,收益法!$H$3:$M$29,收益法!$A$46:$F$71,收益法!$I$46:$N$65</definedName>
    <definedName name="_xlnm.Print_Area" localSheetId="33">'收益法 (地下车库)'!$A$1:$F$43,'收益法 (地下车库)'!$H$3:$M$29,'收益法 (地下车库)'!$A$46:$F$71,'收益法 (地下车库)'!$I$46:$N$65</definedName>
    <definedName name="_xlnm.Print_Area" localSheetId="30">'收益法 (地下综合)'!$A$1:$F$43,'收益法 (地下综合)'!$H$3:$M$29,'收益法 (地下综合)'!$A$46:$F$71,'收益法 (地下综合)'!$I$46:$N$65</definedName>
    <definedName name="_xlnm.Print_Area" localSheetId="26">'收益法 (元)'!$A$1:$F$43,'收益法 (元)'!$H$3:$M$29,'收益法 (元)'!$A$45:$F$71,'收益法 (元)'!$I$46:$N$65</definedName>
    <definedName name="_xlnm.Print_Area" localSheetId="34">'收益法（汇总）'!$A$1:$F$13</definedName>
    <definedName name="_xlnm.Print_Area" localSheetId="14">'数据-汇总表'!$A$1:$M$32</definedName>
    <definedName name="_xlnm.Print_Area" localSheetId="12">'数据-基础表'!$A$1:$AT$14</definedName>
    <definedName name="_xlnm.Print_Area" localSheetId="40">'土地比较法-工业'!$A$1:$K$61,'土地比较法-工业'!$A$64:$M$121</definedName>
    <definedName name="_xlnm.Print_Area" localSheetId="5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 localSheetId="23">'典型户型修正 (办公)'!$5:$5</definedName>
    <definedName name="一修多修正项2">典型户型修正!$5:$5</definedName>
    <definedName name="一修多修正项3" localSheetId="23">'典型户型修正 (办公)'!$7:$7</definedName>
    <definedName name="一修多修正项3">典型户型修正!$7:$7</definedName>
    <definedName name="一修多修正项4" localSheetId="23">'典型户型修正 (办公)'!$9:$9</definedName>
    <definedName name="一修多修正项4">典型户型修正!$9:$9</definedName>
    <definedName name="一修多修正项5" localSheetId="23">'典型户型修正 (办公)'!$11:$11</definedName>
    <definedName name="一修多修正项5">典型户型修正!$11:$11</definedName>
    <definedName name="一修多修正项6" localSheetId="23">'典型户型修正 (办公)'!$13:$13</definedName>
    <definedName name="一修多修正项6">典型户型修正!$13:$13</definedName>
    <definedName name="一修多修正项7" localSheetId="23">'典型户型修正 (办公)'!$15:$15</definedName>
    <definedName name="一修多修正项7">典型户型修正!$15:$15</definedName>
    <definedName name="一修多修正项8" localSheetId="23">'典型户型修正 (办公)'!$17:$17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D14" i="9"/>
  <c r="L7" i="1"/>
  <c r="M35" i="78" l="1"/>
  <c r="B47" i="78"/>
  <c r="B9" i="78"/>
  <c r="C34" i="34" l="1"/>
  <c r="B37" i="87"/>
  <c r="B38" i="87"/>
  <c r="B39" i="87"/>
  <c r="B40" i="87"/>
  <c r="B41" i="87"/>
  <c r="B42" i="87"/>
  <c r="B43" i="87"/>
  <c r="B44" i="87"/>
  <c r="B45" i="87"/>
  <c r="B46" i="87"/>
  <c r="B47" i="87"/>
  <c r="B48" i="87"/>
  <c r="B49" i="87"/>
  <c r="B50" i="87"/>
  <c r="B51" i="87"/>
  <c r="B52" i="87"/>
  <c r="B53" i="87"/>
  <c r="B54" i="87"/>
  <c r="B55" i="87"/>
  <c r="B56" i="87"/>
  <c r="B57" i="87"/>
  <c r="B58" i="87"/>
  <c r="B59" i="87"/>
  <c r="B60" i="87"/>
  <c r="B61" i="87"/>
  <c r="B36" i="87"/>
  <c r="B32" i="87"/>
  <c r="B33" i="87"/>
  <c r="B34" i="87"/>
  <c r="B35" i="87"/>
  <c r="B31" i="87"/>
  <c r="B25" i="87"/>
  <c r="B26" i="87"/>
  <c r="B27" i="87"/>
  <c r="B28" i="87"/>
  <c r="B29" i="87"/>
  <c r="B30" i="87"/>
  <c r="B24" i="87"/>
  <c r="A60" i="87"/>
  <c r="A61" i="87"/>
  <c r="A57" i="87"/>
  <c r="A58" i="87"/>
  <c r="A59" i="87"/>
  <c r="A49" i="87"/>
  <c r="A50" i="87"/>
  <c r="A51" i="87"/>
  <c r="A52" i="87"/>
  <c r="A53" i="87"/>
  <c r="A54" i="87"/>
  <c r="A55" i="87"/>
  <c r="A56" i="87"/>
  <c r="A47" i="87"/>
  <c r="A48" i="87"/>
  <c r="A42" i="87"/>
  <c r="A43" i="87"/>
  <c r="A44" i="87"/>
  <c r="A45" i="87"/>
  <c r="A46" i="87"/>
  <c r="A37" i="87"/>
  <c r="A38" i="87"/>
  <c r="A39" i="87"/>
  <c r="A40" i="87"/>
  <c r="A41" i="87"/>
  <c r="A36" i="87"/>
  <c r="A32" i="87"/>
  <c r="A33" i="87"/>
  <c r="A34" i="87"/>
  <c r="A35" i="87"/>
  <c r="A31" i="87"/>
  <c r="A28" i="87"/>
  <c r="A29" i="87"/>
  <c r="A30" i="87"/>
  <c r="A25" i="87"/>
  <c r="A26" i="87"/>
  <c r="A27" i="87"/>
  <c r="A24" i="87"/>
  <c r="C18" i="87"/>
  <c r="T5" i="87"/>
  <c r="D5" i="87"/>
  <c r="E5" i="87"/>
  <c r="F5" i="87"/>
  <c r="C5" i="87"/>
  <c r="D4" i="87"/>
  <c r="E4" i="87"/>
  <c r="F4" i="87"/>
  <c r="G4" i="87"/>
  <c r="H4" i="87"/>
  <c r="I4" i="87"/>
  <c r="C4" i="87"/>
  <c r="I3" i="87"/>
  <c r="H3" i="87"/>
  <c r="D3" i="87"/>
  <c r="E3" i="87"/>
  <c r="F3" i="87"/>
  <c r="G3" i="87"/>
  <c r="G2" i="87" s="1"/>
  <c r="C3" i="87"/>
  <c r="AN14" i="3"/>
  <c r="O35" i="78"/>
  <c r="O34" i="78"/>
  <c r="N37" i="78"/>
  <c r="L35" i="78"/>
  <c r="M37" i="78"/>
  <c r="K36" i="78"/>
  <c r="L36" i="78" s="1"/>
  <c r="O36" i="78" s="1"/>
  <c r="AT13" i="3"/>
  <c r="R524" i="87"/>
  <c r="S524" i="87" s="1"/>
  <c r="O524" i="87"/>
  <c r="M524" i="87"/>
  <c r="K524" i="87"/>
  <c r="I524" i="87"/>
  <c r="G524" i="87"/>
  <c r="C524" i="87"/>
  <c r="R523" i="87"/>
  <c r="S523" i="87" s="1"/>
  <c r="O523" i="87"/>
  <c r="M523" i="87"/>
  <c r="K523" i="87"/>
  <c r="I523" i="87"/>
  <c r="G523" i="87"/>
  <c r="C523" i="87"/>
  <c r="R522" i="87"/>
  <c r="S522" i="87" s="1"/>
  <c r="O522" i="87"/>
  <c r="M522" i="87"/>
  <c r="K522" i="87"/>
  <c r="I522" i="87"/>
  <c r="G522" i="87"/>
  <c r="C522" i="87"/>
  <c r="R521" i="87"/>
  <c r="S521" i="87" s="1"/>
  <c r="O521" i="87"/>
  <c r="M521" i="87"/>
  <c r="K521" i="87"/>
  <c r="I521" i="87"/>
  <c r="G521" i="87"/>
  <c r="C521" i="87"/>
  <c r="R520" i="87"/>
  <c r="S520" i="87" s="1"/>
  <c r="O520" i="87"/>
  <c r="M520" i="87"/>
  <c r="K520" i="87"/>
  <c r="I520" i="87"/>
  <c r="G520" i="87"/>
  <c r="C520" i="87"/>
  <c r="R519" i="87"/>
  <c r="S519" i="87" s="1"/>
  <c r="O519" i="87"/>
  <c r="M519" i="87"/>
  <c r="K519" i="87"/>
  <c r="I519" i="87"/>
  <c r="G519" i="87"/>
  <c r="C519" i="87"/>
  <c r="R518" i="87"/>
  <c r="S518" i="87" s="1"/>
  <c r="O518" i="87"/>
  <c r="M518" i="87"/>
  <c r="K518" i="87"/>
  <c r="I518" i="87"/>
  <c r="G518" i="87"/>
  <c r="C518" i="87"/>
  <c r="R517" i="87"/>
  <c r="S517" i="87" s="1"/>
  <c r="O517" i="87"/>
  <c r="M517" i="87"/>
  <c r="K517" i="87"/>
  <c r="I517" i="87"/>
  <c r="G517" i="87"/>
  <c r="C517" i="87"/>
  <c r="R516" i="87"/>
  <c r="S516" i="87" s="1"/>
  <c r="O516" i="87"/>
  <c r="M516" i="87"/>
  <c r="K516" i="87"/>
  <c r="I516" i="87"/>
  <c r="G516" i="87"/>
  <c r="C516" i="87"/>
  <c r="R515" i="87"/>
  <c r="S515" i="87" s="1"/>
  <c r="O515" i="87"/>
  <c r="M515" i="87"/>
  <c r="K515" i="87"/>
  <c r="I515" i="87"/>
  <c r="G515" i="87"/>
  <c r="C515" i="87"/>
  <c r="R514" i="87"/>
  <c r="S514" i="87" s="1"/>
  <c r="O514" i="87"/>
  <c r="M514" i="87"/>
  <c r="K514" i="87"/>
  <c r="I514" i="87"/>
  <c r="G514" i="87"/>
  <c r="C514" i="87"/>
  <c r="R513" i="87"/>
  <c r="S513" i="87" s="1"/>
  <c r="O513" i="87"/>
  <c r="M513" i="87"/>
  <c r="K513" i="87"/>
  <c r="I513" i="87"/>
  <c r="G513" i="87"/>
  <c r="C513" i="87"/>
  <c r="R512" i="87"/>
  <c r="S512" i="87" s="1"/>
  <c r="O512" i="87"/>
  <c r="M512" i="87"/>
  <c r="K512" i="87"/>
  <c r="I512" i="87"/>
  <c r="G512" i="87"/>
  <c r="C512" i="87"/>
  <c r="R511" i="87"/>
  <c r="S511" i="87" s="1"/>
  <c r="O511" i="87"/>
  <c r="M511" i="87"/>
  <c r="K511" i="87"/>
  <c r="I511" i="87"/>
  <c r="G511" i="87"/>
  <c r="C511" i="87"/>
  <c r="R510" i="87"/>
  <c r="S510" i="87" s="1"/>
  <c r="O510" i="87"/>
  <c r="M510" i="87"/>
  <c r="K510" i="87"/>
  <c r="I510" i="87"/>
  <c r="G510" i="87"/>
  <c r="C510" i="87"/>
  <c r="R509" i="87"/>
  <c r="S509" i="87" s="1"/>
  <c r="O509" i="87"/>
  <c r="M509" i="87"/>
  <c r="K509" i="87"/>
  <c r="I509" i="87"/>
  <c r="G509" i="87"/>
  <c r="C509" i="87"/>
  <c r="R508" i="87"/>
  <c r="S508" i="87" s="1"/>
  <c r="O508" i="87"/>
  <c r="M508" i="87"/>
  <c r="K508" i="87"/>
  <c r="I508" i="87"/>
  <c r="G508" i="87"/>
  <c r="C508" i="87"/>
  <c r="R507" i="87"/>
  <c r="S507" i="87" s="1"/>
  <c r="O507" i="87"/>
  <c r="M507" i="87"/>
  <c r="K507" i="87"/>
  <c r="I507" i="87"/>
  <c r="G507" i="87"/>
  <c r="C507" i="87"/>
  <c r="R506" i="87"/>
  <c r="S506" i="87" s="1"/>
  <c r="O506" i="87"/>
  <c r="M506" i="87"/>
  <c r="K506" i="87"/>
  <c r="I506" i="87"/>
  <c r="G506" i="87"/>
  <c r="C506" i="87"/>
  <c r="R505" i="87"/>
  <c r="S505" i="87" s="1"/>
  <c r="O505" i="87"/>
  <c r="M505" i="87"/>
  <c r="K505" i="87"/>
  <c r="I505" i="87"/>
  <c r="G505" i="87"/>
  <c r="C505" i="87"/>
  <c r="R504" i="87"/>
  <c r="S504" i="87" s="1"/>
  <c r="O504" i="87"/>
  <c r="M504" i="87"/>
  <c r="K504" i="87"/>
  <c r="I504" i="87"/>
  <c r="G504" i="87"/>
  <c r="C504" i="87"/>
  <c r="R503" i="87"/>
  <c r="S503" i="87" s="1"/>
  <c r="O503" i="87"/>
  <c r="M503" i="87"/>
  <c r="K503" i="87"/>
  <c r="I503" i="87"/>
  <c r="G503" i="87"/>
  <c r="C503" i="87"/>
  <c r="R502" i="87"/>
  <c r="S502" i="87" s="1"/>
  <c r="O502" i="87"/>
  <c r="M502" i="87"/>
  <c r="K502" i="87"/>
  <c r="I502" i="87"/>
  <c r="G502" i="87"/>
  <c r="C502" i="87"/>
  <c r="R501" i="87"/>
  <c r="S501" i="87" s="1"/>
  <c r="O501" i="87"/>
  <c r="M501" i="87"/>
  <c r="K501" i="87"/>
  <c r="I501" i="87"/>
  <c r="G501" i="87"/>
  <c r="C501" i="87"/>
  <c r="R500" i="87"/>
  <c r="S500" i="87" s="1"/>
  <c r="O500" i="87"/>
  <c r="M500" i="87"/>
  <c r="K500" i="87"/>
  <c r="I500" i="87"/>
  <c r="G500" i="87"/>
  <c r="C500" i="87"/>
  <c r="R499" i="87"/>
  <c r="S499" i="87" s="1"/>
  <c r="O499" i="87"/>
  <c r="M499" i="87"/>
  <c r="K499" i="87"/>
  <c r="I499" i="87"/>
  <c r="G499" i="87"/>
  <c r="C499" i="87"/>
  <c r="R498" i="87"/>
  <c r="S498" i="87" s="1"/>
  <c r="O498" i="87"/>
  <c r="M498" i="87"/>
  <c r="K498" i="87"/>
  <c r="I498" i="87"/>
  <c r="G498" i="87"/>
  <c r="C498" i="87"/>
  <c r="R497" i="87"/>
  <c r="S497" i="87" s="1"/>
  <c r="O497" i="87"/>
  <c r="M497" i="87"/>
  <c r="K497" i="87"/>
  <c r="I497" i="87"/>
  <c r="G497" i="87"/>
  <c r="C497" i="87"/>
  <c r="R496" i="87"/>
  <c r="S496" i="87" s="1"/>
  <c r="O496" i="87"/>
  <c r="M496" i="87"/>
  <c r="K496" i="87"/>
  <c r="I496" i="87"/>
  <c r="G496" i="87"/>
  <c r="C496" i="87"/>
  <c r="R495" i="87"/>
  <c r="S495" i="87" s="1"/>
  <c r="O495" i="87"/>
  <c r="M495" i="87"/>
  <c r="K495" i="87"/>
  <c r="I495" i="87"/>
  <c r="G495" i="87"/>
  <c r="C495" i="87"/>
  <c r="R494" i="87"/>
  <c r="S494" i="87" s="1"/>
  <c r="O494" i="87"/>
  <c r="M494" i="87"/>
  <c r="K494" i="87"/>
  <c r="I494" i="87"/>
  <c r="G494" i="87"/>
  <c r="C494" i="87"/>
  <c r="R493" i="87"/>
  <c r="S493" i="87" s="1"/>
  <c r="O493" i="87"/>
  <c r="M493" i="87"/>
  <c r="K493" i="87"/>
  <c r="I493" i="87"/>
  <c r="G493" i="87"/>
  <c r="C493" i="87"/>
  <c r="R492" i="87"/>
  <c r="S492" i="87" s="1"/>
  <c r="O492" i="87"/>
  <c r="M492" i="87"/>
  <c r="K492" i="87"/>
  <c r="I492" i="87"/>
  <c r="G492" i="87"/>
  <c r="C492" i="87"/>
  <c r="R491" i="87"/>
  <c r="S491" i="87" s="1"/>
  <c r="O491" i="87"/>
  <c r="M491" i="87"/>
  <c r="K491" i="87"/>
  <c r="I491" i="87"/>
  <c r="G491" i="87"/>
  <c r="C491" i="87"/>
  <c r="R490" i="87"/>
  <c r="S490" i="87" s="1"/>
  <c r="O490" i="87"/>
  <c r="M490" i="87"/>
  <c r="K490" i="87"/>
  <c r="I490" i="87"/>
  <c r="G490" i="87"/>
  <c r="C490" i="87"/>
  <c r="R489" i="87"/>
  <c r="S489" i="87" s="1"/>
  <c r="O489" i="87"/>
  <c r="M489" i="87"/>
  <c r="K489" i="87"/>
  <c r="I489" i="87"/>
  <c r="G489" i="87"/>
  <c r="C489" i="87"/>
  <c r="R488" i="87"/>
  <c r="S488" i="87" s="1"/>
  <c r="O488" i="87"/>
  <c r="M488" i="87"/>
  <c r="K488" i="87"/>
  <c r="I488" i="87"/>
  <c r="G488" i="87"/>
  <c r="C488" i="87"/>
  <c r="R487" i="87"/>
  <c r="S487" i="87" s="1"/>
  <c r="O487" i="87"/>
  <c r="M487" i="87"/>
  <c r="K487" i="87"/>
  <c r="I487" i="87"/>
  <c r="G487" i="87"/>
  <c r="C487" i="87"/>
  <c r="R486" i="87"/>
  <c r="S486" i="87" s="1"/>
  <c r="O486" i="87"/>
  <c r="M486" i="87"/>
  <c r="K486" i="87"/>
  <c r="I486" i="87"/>
  <c r="G486" i="87"/>
  <c r="C486" i="87"/>
  <c r="R485" i="87"/>
  <c r="S485" i="87" s="1"/>
  <c r="O485" i="87"/>
  <c r="M485" i="87"/>
  <c r="K485" i="87"/>
  <c r="I485" i="87"/>
  <c r="G485" i="87"/>
  <c r="C485" i="87"/>
  <c r="R484" i="87"/>
  <c r="S484" i="87" s="1"/>
  <c r="O484" i="87"/>
  <c r="M484" i="87"/>
  <c r="K484" i="87"/>
  <c r="I484" i="87"/>
  <c r="G484" i="87"/>
  <c r="C484" i="87"/>
  <c r="R483" i="87"/>
  <c r="S483" i="87" s="1"/>
  <c r="O483" i="87"/>
  <c r="M483" i="87"/>
  <c r="K483" i="87"/>
  <c r="I483" i="87"/>
  <c r="G483" i="87"/>
  <c r="C483" i="87"/>
  <c r="R482" i="87"/>
  <c r="S482" i="87" s="1"/>
  <c r="O482" i="87"/>
  <c r="M482" i="87"/>
  <c r="K482" i="87"/>
  <c r="I482" i="87"/>
  <c r="G482" i="87"/>
  <c r="C482" i="87"/>
  <c r="R481" i="87"/>
  <c r="S481" i="87" s="1"/>
  <c r="O481" i="87"/>
  <c r="M481" i="87"/>
  <c r="K481" i="87"/>
  <c r="I481" i="87"/>
  <c r="G481" i="87"/>
  <c r="C481" i="87"/>
  <c r="R480" i="87"/>
  <c r="S480" i="87" s="1"/>
  <c r="O480" i="87"/>
  <c r="M480" i="87"/>
  <c r="K480" i="87"/>
  <c r="I480" i="87"/>
  <c r="G480" i="87"/>
  <c r="C480" i="87"/>
  <c r="R479" i="87"/>
  <c r="S479" i="87" s="1"/>
  <c r="O479" i="87"/>
  <c r="M479" i="87"/>
  <c r="K479" i="87"/>
  <c r="I479" i="87"/>
  <c r="G479" i="87"/>
  <c r="C479" i="87"/>
  <c r="R478" i="87"/>
  <c r="S478" i="87" s="1"/>
  <c r="O478" i="87"/>
  <c r="M478" i="87"/>
  <c r="K478" i="87"/>
  <c r="I478" i="87"/>
  <c r="G478" i="87"/>
  <c r="C478" i="87"/>
  <c r="R477" i="87"/>
  <c r="S477" i="87" s="1"/>
  <c r="O477" i="87"/>
  <c r="M477" i="87"/>
  <c r="K477" i="87"/>
  <c r="I477" i="87"/>
  <c r="G477" i="87"/>
  <c r="C477" i="87"/>
  <c r="R476" i="87"/>
  <c r="S476" i="87" s="1"/>
  <c r="O476" i="87"/>
  <c r="M476" i="87"/>
  <c r="K476" i="87"/>
  <c r="I476" i="87"/>
  <c r="G476" i="87"/>
  <c r="C476" i="87"/>
  <c r="R475" i="87"/>
  <c r="S475" i="87" s="1"/>
  <c r="O475" i="87"/>
  <c r="M475" i="87"/>
  <c r="K475" i="87"/>
  <c r="I475" i="87"/>
  <c r="G475" i="87"/>
  <c r="C475" i="87"/>
  <c r="R474" i="87"/>
  <c r="S474" i="87" s="1"/>
  <c r="O474" i="87"/>
  <c r="M474" i="87"/>
  <c r="K474" i="87"/>
  <c r="I474" i="87"/>
  <c r="G474" i="87"/>
  <c r="C474" i="87"/>
  <c r="R473" i="87"/>
  <c r="S473" i="87" s="1"/>
  <c r="O473" i="87"/>
  <c r="M473" i="87"/>
  <c r="K473" i="87"/>
  <c r="I473" i="87"/>
  <c r="G473" i="87"/>
  <c r="C473" i="87"/>
  <c r="R472" i="87"/>
  <c r="S472" i="87" s="1"/>
  <c r="O472" i="87"/>
  <c r="M472" i="87"/>
  <c r="K472" i="87"/>
  <c r="I472" i="87"/>
  <c r="G472" i="87"/>
  <c r="C472" i="87"/>
  <c r="R471" i="87"/>
  <c r="S471" i="87" s="1"/>
  <c r="O471" i="87"/>
  <c r="M471" i="87"/>
  <c r="K471" i="87"/>
  <c r="I471" i="87"/>
  <c r="G471" i="87"/>
  <c r="C471" i="87"/>
  <c r="R470" i="87"/>
  <c r="S470" i="87" s="1"/>
  <c r="O470" i="87"/>
  <c r="M470" i="87"/>
  <c r="K470" i="87"/>
  <c r="I470" i="87"/>
  <c r="G470" i="87"/>
  <c r="C470" i="87"/>
  <c r="R469" i="87"/>
  <c r="S469" i="87" s="1"/>
  <c r="O469" i="87"/>
  <c r="M469" i="87"/>
  <c r="K469" i="87"/>
  <c r="I469" i="87"/>
  <c r="G469" i="87"/>
  <c r="C469" i="87"/>
  <c r="R468" i="87"/>
  <c r="S468" i="87" s="1"/>
  <c r="O468" i="87"/>
  <c r="M468" i="87"/>
  <c r="K468" i="87"/>
  <c r="I468" i="87"/>
  <c r="G468" i="87"/>
  <c r="C468" i="87"/>
  <c r="R467" i="87"/>
  <c r="S467" i="87" s="1"/>
  <c r="O467" i="87"/>
  <c r="M467" i="87"/>
  <c r="K467" i="87"/>
  <c r="I467" i="87"/>
  <c r="G467" i="87"/>
  <c r="C467" i="87"/>
  <c r="R466" i="87"/>
  <c r="S466" i="87" s="1"/>
  <c r="O466" i="87"/>
  <c r="M466" i="87"/>
  <c r="K466" i="87"/>
  <c r="I466" i="87"/>
  <c r="G466" i="87"/>
  <c r="C466" i="87"/>
  <c r="R465" i="87"/>
  <c r="S465" i="87" s="1"/>
  <c r="O465" i="87"/>
  <c r="M465" i="87"/>
  <c r="K465" i="87"/>
  <c r="I465" i="87"/>
  <c r="G465" i="87"/>
  <c r="C465" i="87"/>
  <c r="R464" i="87"/>
  <c r="S464" i="87" s="1"/>
  <c r="O464" i="87"/>
  <c r="M464" i="87"/>
  <c r="K464" i="87"/>
  <c r="I464" i="87"/>
  <c r="G464" i="87"/>
  <c r="C464" i="87"/>
  <c r="R463" i="87"/>
  <c r="S463" i="87" s="1"/>
  <c r="O463" i="87"/>
  <c r="M463" i="87"/>
  <c r="K463" i="87"/>
  <c r="I463" i="87"/>
  <c r="G463" i="87"/>
  <c r="C463" i="87"/>
  <c r="R462" i="87"/>
  <c r="S462" i="87" s="1"/>
  <c r="O462" i="87"/>
  <c r="M462" i="87"/>
  <c r="K462" i="87"/>
  <c r="I462" i="87"/>
  <c r="G462" i="87"/>
  <c r="C462" i="87"/>
  <c r="R461" i="87"/>
  <c r="S461" i="87" s="1"/>
  <c r="O461" i="87"/>
  <c r="M461" i="87"/>
  <c r="K461" i="87"/>
  <c r="I461" i="87"/>
  <c r="G461" i="87"/>
  <c r="C461" i="87"/>
  <c r="R460" i="87"/>
  <c r="S460" i="87" s="1"/>
  <c r="O460" i="87"/>
  <c r="M460" i="87"/>
  <c r="K460" i="87"/>
  <c r="I460" i="87"/>
  <c r="G460" i="87"/>
  <c r="C460" i="87"/>
  <c r="R459" i="87"/>
  <c r="S459" i="87" s="1"/>
  <c r="O459" i="87"/>
  <c r="M459" i="87"/>
  <c r="K459" i="87"/>
  <c r="I459" i="87"/>
  <c r="G459" i="87"/>
  <c r="C459" i="87"/>
  <c r="R458" i="87"/>
  <c r="S458" i="87" s="1"/>
  <c r="O458" i="87"/>
  <c r="M458" i="87"/>
  <c r="K458" i="87"/>
  <c r="I458" i="87"/>
  <c r="G458" i="87"/>
  <c r="C458" i="87"/>
  <c r="R457" i="87"/>
  <c r="S457" i="87" s="1"/>
  <c r="O457" i="87"/>
  <c r="M457" i="87"/>
  <c r="K457" i="87"/>
  <c r="I457" i="87"/>
  <c r="G457" i="87"/>
  <c r="C457" i="87"/>
  <c r="R456" i="87"/>
  <c r="S456" i="87" s="1"/>
  <c r="O456" i="87"/>
  <c r="M456" i="87"/>
  <c r="K456" i="87"/>
  <c r="I456" i="87"/>
  <c r="G456" i="87"/>
  <c r="C456" i="87"/>
  <c r="R455" i="87"/>
  <c r="S455" i="87" s="1"/>
  <c r="O455" i="87"/>
  <c r="M455" i="87"/>
  <c r="K455" i="87"/>
  <c r="I455" i="87"/>
  <c r="G455" i="87"/>
  <c r="C455" i="87"/>
  <c r="R454" i="87"/>
  <c r="S454" i="87" s="1"/>
  <c r="O454" i="87"/>
  <c r="M454" i="87"/>
  <c r="K454" i="87"/>
  <c r="I454" i="87"/>
  <c r="G454" i="87"/>
  <c r="C454" i="87"/>
  <c r="R453" i="87"/>
  <c r="S453" i="87" s="1"/>
  <c r="O453" i="87"/>
  <c r="M453" i="87"/>
  <c r="K453" i="87"/>
  <c r="I453" i="87"/>
  <c r="G453" i="87"/>
  <c r="C453" i="87"/>
  <c r="R452" i="87"/>
  <c r="S452" i="87" s="1"/>
  <c r="O452" i="87"/>
  <c r="M452" i="87"/>
  <c r="K452" i="87"/>
  <c r="I452" i="87"/>
  <c r="G452" i="87"/>
  <c r="C452" i="87"/>
  <c r="R451" i="87"/>
  <c r="S451" i="87" s="1"/>
  <c r="O451" i="87"/>
  <c r="M451" i="87"/>
  <c r="K451" i="87"/>
  <c r="I451" i="87"/>
  <c r="G451" i="87"/>
  <c r="C451" i="87"/>
  <c r="R450" i="87"/>
  <c r="S450" i="87" s="1"/>
  <c r="O450" i="87"/>
  <c r="M450" i="87"/>
  <c r="K450" i="87"/>
  <c r="I450" i="87"/>
  <c r="G450" i="87"/>
  <c r="C450" i="87"/>
  <c r="R449" i="87"/>
  <c r="S449" i="87" s="1"/>
  <c r="O449" i="87"/>
  <c r="M449" i="87"/>
  <c r="K449" i="87"/>
  <c r="I449" i="87"/>
  <c r="G449" i="87"/>
  <c r="C449" i="87"/>
  <c r="R448" i="87"/>
  <c r="S448" i="87" s="1"/>
  <c r="O448" i="87"/>
  <c r="M448" i="87"/>
  <c r="K448" i="87"/>
  <c r="I448" i="87"/>
  <c r="G448" i="87"/>
  <c r="C448" i="87"/>
  <c r="R447" i="87"/>
  <c r="S447" i="87" s="1"/>
  <c r="O447" i="87"/>
  <c r="M447" i="87"/>
  <c r="K447" i="87"/>
  <c r="I447" i="87"/>
  <c r="G447" i="87"/>
  <c r="C447" i="87"/>
  <c r="R446" i="87"/>
  <c r="S446" i="87" s="1"/>
  <c r="O446" i="87"/>
  <c r="M446" i="87"/>
  <c r="K446" i="87"/>
  <c r="I446" i="87"/>
  <c r="G446" i="87"/>
  <c r="C446" i="87"/>
  <c r="R445" i="87"/>
  <c r="S445" i="87" s="1"/>
  <c r="O445" i="87"/>
  <c r="M445" i="87"/>
  <c r="K445" i="87"/>
  <c r="I445" i="87"/>
  <c r="G445" i="87"/>
  <c r="C445" i="87"/>
  <c r="R444" i="87"/>
  <c r="S444" i="87" s="1"/>
  <c r="O444" i="87"/>
  <c r="M444" i="87"/>
  <c r="K444" i="87"/>
  <c r="I444" i="87"/>
  <c r="G444" i="87"/>
  <c r="C444" i="87"/>
  <c r="R443" i="87"/>
  <c r="S443" i="87" s="1"/>
  <c r="O443" i="87"/>
  <c r="M443" i="87"/>
  <c r="K443" i="87"/>
  <c r="I443" i="87"/>
  <c r="G443" i="87"/>
  <c r="C443" i="87"/>
  <c r="R442" i="87"/>
  <c r="S442" i="87" s="1"/>
  <c r="O442" i="87"/>
  <c r="M442" i="87"/>
  <c r="K442" i="87"/>
  <c r="I442" i="87"/>
  <c r="G442" i="87"/>
  <c r="C442" i="87"/>
  <c r="R441" i="87"/>
  <c r="S441" i="87" s="1"/>
  <c r="O441" i="87"/>
  <c r="M441" i="87"/>
  <c r="K441" i="87"/>
  <c r="I441" i="87"/>
  <c r="G441" i="87"/>
  <c r="C441" i="87"/>
  <c r="R440" i="87"/>
  <c r="S440" i="87" s="1"/>
  <c r="O440" i="87"/>
  <c r="M440" i="87"/>
  <c r="K440" i="87"/>
  <c r="I440" i="87"/>
  <c r="G440" i="87"/>
  <c r="C440" i="87"/>
  <c r="R439" i="87"/>
  <c r="S439" i="87" s="1"/>
  <c r="O439" i="87"/>
  <c r="M439" i="87"/>
  <c r="K439" i="87"/>
  <c r="I439" i="87"/>
  <c r="G439" i="87"/>
  <c r="C439" i="87"/>
  <c r="R438" i="87"/>
  <c r="S438" i="87" s="1"/>
  <c r="O438" i="87"/>
  <c r="M438" i="87"/>
  <c r="K438" i="87"/>
  <c r="I438" i="87"/>
  <c r="G438" i="87"/>
  <c r="C438" i="87"/>
  <c r="R437" i="87"/>
  <c r="S437" i="87" s="1"/>
  <c r="O437" i="87"/>
  <c r="M437" i="87"/>
  <c r="K437" i="87"/>
  <c r="I437" i="87"/>
  <c r="G437" i="87"/>
  <c r="C437" i="87"/>
  <c r="R436" i="87"/>
  <c r="S436" i="87" s="1"/>
  <c r="O436" i="87"/>
  <c r="M436" i="87"/>
  <c r="K436" i="87"/>
  <c r="I436" i="87"/>
  <c r="G436" i="87"/>
  <c r="C436" i="87"/>
  <c r="R435" i="87"/>
  <c r="S435" i="87" s="1"/>
  <c r="O435" i="87"/>
  <c r="M435" i="87"/>
  <c r="K435" i="87"/>
  <c r="I435" i="87"/>
  <c r="G435" i="87"/>
  <c r="C435" i="87"/>
  <c r="R434" i="87"/>
  <c r="S434" i="87" s="1"/>
  <c r="O434" i="87"/>
  <c r="M434" i="87"/>
  <c r="K434" i="87"/>
  <c r="I434" i="87"/>
  <c r="G434" i="87"/>
  <c r="C434" i="87"/>
  <c r="R433" i="87"/>
  <c r="S433" i="87" s="1"/>
  <c r="O433" i="87"/>
  <c r="M433" i="87"/>
  <c r="K433" i="87"/>
  <c r="I433" i="87"/>
  <c r="G433" i="87"/>
  <c r="C433" i="87"/>
  <c r="R432" i="87"/>
  <c r="S432" i="87" s="1"/>
  <c r="O432" i="87"/>
  <c r="M432" i="87"/>
  <c r="K432" i="87"/>
  <c r="I432" i="87"/>
  <c r="G432" i="87"/>
  <c r="C432" i="87"/>
  <c r="R431" i="87"/>
  <c r="S431" i="87" s="1"/>
  <c r="O431" i="87"/>
  <c r="M431" i="87"/>
  <c r="K431" i="87"/>
  <c r="I431" i="87"/>
  <c r="G431" i="87"/>
  <c r="C431" i="87"/>
  <c r="R430" i="87"/>
  <c r="S430" i="87" s="1"/>
  <c r="O430" i="87"/>
  <c r="M430" i="87"/>
  <c r="K430" i="87"/>
  <c r="I430" i="87"/>
  <c r="G430" i="87"/>
  <c r="C430" i="87"/>
  <c r="R429" i="87"/>
  <c r="S429" i="87" s="1"/>
  <c r="O429" i="87"/>
  <c r="M429" i="87"/>
  <c r="K429" i="87"/>
  <c r="I429" i="87"/>
  <c r="G429" i="87"/>
  <c r="C429" i="87"/>
  <c r="R428" i="87"/>
  <c r="S428" i="87" s="1"/>
  <c r="O428" i="87"/>
  <c r="M428" i="87"/>
  <c r="K428" i="87"/>
  <c r="I428" i="87"/>
  <c r="G428" i="87"/>
  <c r="C428" i="87"/>
  <c r="R427" i="87"/>
  <c r="S427" i="87" s="1"/>
  <c r="O427" i="87"/>
  <c r="M427" i="87"/>
  <c r="K427" i="87"/>
  <c r="I427" i="87"/>
  <c r="G427" i="87"/>
  <c r="C427" i="87"/>
  <c r="R426" i="87"/>
  <c r="S426" i="87" s="1"/>
  <c r="O426" i="87"/>
  <c r="M426" i="87"/>
  <c r="K426" i="87"/>
  <c r="I426" i="87"/>
  <c r="G426" i="87"/>
  <c r="C426" i="87"/>
  <c r="R425" i="87"/>
  <c r="S425" i="87" s="1"/>
  <c r="O425" i="87"/>
  <c r="M425" i="87"/>
  <c r="K425" i="87"/>
  <c r="I425" i="87"/>
  <c r="G425" i="87"/>
  <c r="C425" i="87"/>
  <c r="R424" i="87"/>
  <c r="S424" i="87" s="1"/>
  <c r="O424" i="87"/>
  <c r="M424" i="87"/>
  <c r="K424" i="87"/>
  <c r="I424" i="87"/>
  <c r="G424" i="87"/>
  <c r="C424" i="87"/>
  <c r="R423" i="87"/>
  <c r="S423" i="87" s="1"/>
  <c r="O423" i="87"/>
  <c r="M423" i="87"/>
  <c r="K423" i="87"/>
  <c r="I423" i="87"/>
  <c r="G423" i="87"/>
  <c r="C423" i="87"/>
  <c r="R422" i="87"/>
  <c r="S422" i="87" s="1"/>
  <c r="O422" i="87"/>
  <c r="M422" i="87"/>
  <c r="K422" i="87"/>
  <c r="I422" i="87"/>
  <c r="G422" i="87"/>
  <c r="C422" i="87"/>
  <c r="R421" i="87"/>
  <c r="S421" i="87" s="1"/>
  <c r="O421" i="87"/>
  <c r="M421" i="87"/>
  <c r="K421" i="87"/>
  <c r="I421" i="87"/>
  <c r="G421" i="87"/>
  <c r="C421" i="87"/>
  <c r="R420" i="87"/>
  <c r="S420" i="87" s="1"/>
  <c r="O420" i="87"/>
  <c r="M420" i="87"/>
  <c r="K420" i="87"/>
  <c r="I420" i="87"/>
  <c r="G420" i="87"/>
  <c r="C420" i="87"/>
  <c r="R419" i="87"/>
  <c r="S419" i="87" s="1"/>
  <c r="O419" i="87"/>
  <c r="M419" i="87"/>
  <c r="K419" i="87"/>
  <c r="I419" i="87"/>
  <c r="G419" i="87"/>
  <c r="C419" i="87"/>
  <c r="R418" i="87"/>
  <c r="S418" i="87" s="1"/>
  <c r="O418" i="87"/>
  <c r="M418" i="87"/>
  <c r="K418" i="87"/>
  <c r="I418" i="87"/>
  <c r="G418" i="87"/>
  <c r="C418" i="87"/>
  <c r="R417" i="87"/>
  <c r="S417" i="87" s="1"/>
  <c r="O417" i="87"/>
  <c r="M417" i="87"/>
  <c r="K417" i="87"/>
  <c r="I417" i="87"/>
  <c r="G417" i="87"/>
  <c r="C417" i="87"/>
  <c r="R416" i="87"/>
  <c r="S416" i="87" s="1"/>
  <c r="O416" i="87"/>
  <c r="M416" i="87"/>
  <c r="K416" i="87"/>
  <c r="I416" i="87"/>
  <c r="G416" i="87"/>
  <c r="C416" i="87"/>
  <c r="R415" i="87"/>
  <c r="S415" i="87" s="1"/>
  <c r="O415" i="87"/>
  <c r="M415" i="87"/>
  <c r="K415" i="87"/>
  <c r="I415" i="87"/>
  <c r="G415" i="87"/>
  <c r="C415" i="87"/>
  <c r="R414" i="87"/>
  <c r="S414" i="87" s="1"/>
  <c r="O414" i="87"/>
  <c r="M414" i="87"/>
  <c r="K414" i="87"/>
  <c r="I414" i="87"/>
  <c r="G414" i="87"/>
  <c r="C414" i="87"/>
  <c r="R413" i="87"/>
  <c r="S413" i="87" s="1"/>
  <c r="O413" i="87"/>
  <c r="M413" i="87"/>
  <c r="K413" i="87"/>
  <c r="I413" i="87"/>
  <c r="G413" i="87"/>
  <c r="C413" i="87"/>
  <c r="R412" i="87"/>
  <c r="S412" i="87" s="1"/>
  <c r="O412" i="87"/>
  <c r="M412" i="87"/>
  <c r="K412" i="87"/>
  <c r="I412" i="87"/>
  <c r="G412" i="87"/>
  <c r="C412" i="87"/>
  <c r="R411" i="87"/>
  <c r="S411" i="87" s="1"/>
  <c r="O411" i="87"/>
  <c r="M411" i="87"/>
  <c r="K411" i="87"/>
  <c r="I411" i="87"/>
  <c r="G411" i="87"/>
  <c r="C411" i="87"/>
  <c r="R410" i="87"/>
  <c r="S410" i="87" s="1"/>
  <c r="O410" i="87"/>
  <c r="M410" i="87"/>
  <c r="K410" i="87"/>
  <c r="I410" i="87"/>
  <c r="G410" i="87"/>
  <c r="C410" i="87"/>
  <c r="R409" i="87"/>
  <c r="S409" i="87" s="1"/>
  <c r="O409" i="87"/>
  <c r="M409" i="87"/>
  <c r="K409" i="87"/>
  <c r="I409" i="87"/>
  <c r="G409" i="87"/>
  <c r="C409" i="87"/>
  <c r="R408" i="87"/>
  <c r="S408" i="87" s="1"/>
  <c r="O408" i="87"/>
  <c r="M408" i="87"/>
  <c r="K408" i="87"/>
  <c r="I408" i="87"/>
  <c r="G408" i="87"/>
  <c r="C408" i="87"/>
  <c r="R407" i="87"/>
  <c r="S407" i="87" s="1"/>
  <c r="O407" i="87"/>
  <c r="M407" i="87"/>
  <c r="K407" i="87"/>
  <c r="I407" i="87"/>
  <c r="G407" i="87"/>
  <c r="C407" i="87"/>
  <c r="R406" i="87"/>
  <c r="S406" i="87" s="1"/>
  <c r="O406" i="87"/>
  <c r="M406" i="87"/>
  <c r="K406" i="87"/>
  <c r="I406" i="87"/>
  <c r="G406" i="87"/>
  <c r="C406" i="87"/>
  <c r="R405" i="87"/>
  <c r="S405" i="87" s="1"/>
  <c r="O405" i="87"/>
  <c r="M405" i="87"/>
  <c r="K405" i="87"/>
  <c r="I405" i="87"/>
  <c r="G405" i="87"/>
  <c r="C405" i="87"/>
  <c r="R404" i="87"/>
  <c r="S404" i="87" s="1"/>
  <c r="O404" i="87"/>
  <c r="M404" i="87"/>
  <c r="K404" i="87"/>
  <c r="I404" i="87"/>
  <c r="G404" i="87"/>
  <c r="C404" i="87"/>
  <c r="R403" i="87"/>
  <c r="S403" i="87" s="1"/>
  <c r="O403" i="87"/>
  <c r="M403" i="87"/>
  <c r="K403" i="87"/>
  <c r="I403" i="87"/>
  <c r="G403" i="87"/>
  <c r="C403" i="87"/>
  <c r="R402" i="87"/>
  <c r="S402" i="87" s="1"/>
  <c r="O402" i="87"/>
  <c r="M402" i="87"/>
  <c r="K402" i="87"/>
  <c r="I402" i="87"/>
  <c r="G402" i="87"/>
  <c r="C402" i="87"/>
  <c r="R401" i="87"/>
  <c r="S401" i="87" s="1"/>
  <c r="O401" i="87"/>
  <c r="M401" i="87"/>
  <c r="K401" i="87"/>
  <c r="I401" i="87"/>
  <c r="G401" i="87"/>
  <c r="C401" i="87"/>
  <c r="R400" i="87"/>
  <c r="S400" i="87" s="1"/>
  <c r="O400" i="87"/>
  <c r="M400" i="87"/>
  <c r="K400" i="87"/>
  <c r="I400" i="87"/>
  <c r="G400" i="87"/>
  <c r="C400" i="87"/>
  <c r="R399" i="87"/>
  <c r="S399" i="87" s="1"/>
  <c r="O399" i="87"/>
  <c r="M399" i="87"/>
  <c r="K399" i="87"/>
  <c r="I399" i="87"/>
  <c r="G399" i="87"/>
  <c r="C399" i="87"/>
  <c r="R398" i="87"/>
  <c r="S398" i="87" s="1"/>
  <c r="O398" i="87"/>
  <c r="M398" i="87"/>
  <c r="K398" i="87"/>
  <c r="I398" i="87"/>
  <c r="G398" i="87"/>
  <c r="C398" i="87"/>
  <c r="R397" i="87"/>
  <c r="S397" i="87" s="1"/>
  <c r="O397" i="87"/>
  <c r="M397" i="87"/>
  <c r="K397" i="87"/>
  <c r="I397" i="87"/>
  <c r="G397" i="87"/>
  <c r="C397" i="87"/>
  <c r="R396" i="87"/>
  <c r="S396" i="87" s="1"/>
  <c r="O396" i="87"/>
  <c r="M396" i="87"/>
  <c r="K396" i="87"/>
  <c r="I396" i="87"/>
  <c r="G396" i="87"/>
  <c r="C396" i="87"/>
  <c r="R395" i="87"/>
  <c r="S395" i="87" s="1"/>
  <c r="O395" i="87"/>
  <c r="M395" i="87"/>
  <c r="K395" i="87"/>
  <c r="I395" i="87"/>
  <c r="G395" i="87"/>
  <c r="C395" i="87"/>
  <c r="R394" i="87"/>
  <c r="S394" i="87" s="1"/>
  <c r="O394" i="87"/>
  <c r="M394" i="87"/>
  <c r="K394" i="87"/>
  <c r="I394" i="87"/>
  <c r="G394" i="87"/>
  <c r="C394" i="87"/>
  <c r="R393" i="87"/>
  <c r="S393" i="87" s="1"/>
  <c r="O393" i="87"/>
  <c r="M393" i="87"/>
  <c r="K393" i="87"/>
  <c r="I393" i="87"/>
  <c r="G393" i="87"/>
  <c r="C393" i="87"/>
  <c r="R392" i="87"/>
  <c r="S392" i="87" s="1"/>
  <c r="O392" i="87"/>
  <c r="M392" i="87"/>
  <c r="K392" i="87"/>
  <c r="I392" i="87"/>
  <c r="G392" i="87"/>
  <c r="C392" i="87"/>
  <c r="R391" i="87"/>
  <c r="S391" i="87" s="1"/>
  <c r="O391" i="87"/>
  <c r="M391" i="87"/>
  <c r="K391" i="87"/>
  <c r="I391" i="87"/>
  <c r="G391" i="87"/>
  <c r="C391" i="87"/>
  <c r="R390" i="87"/>
  <c r="S390" i="87" s="1"/>
  <c r="O390" i="87"/>
  <c r="M390" i="87"/>
  <c r="K390" i="87"/>
  <c r="I390" i="87"/>
  <c r="G390" i="87"/>
  <c r="C390" i="87"/>
  <c r="R389" i="87"/>
  <c r="S389" i="87" s="1"/>
  <c r="O389" i="87"/>
  <c r="M389" i="87"/>
  <c r="K389" i="87"/>
  <c r="I389" i="87"/>
  <c r="G389" i="87"/>
  <c r="C389" i="87"/>
  <c r="R388" i="87"/>
  <c r="S388" i="87" s="1"/>
  <c r="O388" i="87"/>
  <c r="M388" i="87"/>
  <c r="K388" i="87"/>
  <c r="I388" i="87"/>
  <c r="G388" i="87"/>
  <c r="C388" i="87"/>
  <c r="R387" i="87"/>
  <c r="S387" i="87" s="1"/>
  <c r="O387" i="87"/>
  <c r="M387" i="87"/>
  <c r="K387" i="87"/>
  <c r="I387" i="87"/>
  <c r="G387" i="87"/>
  <c r="C387" i="87"/>
  <c r="R386" i="87"/>
  <c r="S386" i="87" s="1"/>
  <c r="O386" i="87"/>
  <c r="M386" i="87"/>
  <c r="K386" i="87"/>
  <c r="I386" i="87"/>
  <c r="G386" i="87"/>
  <c r="C386" i="87"/>
  <c r="R385" i="87"/>
  <c r="S385" i="87" s="1"/>
  <c r="O385" i="87"/>
  <c r="M385" i="87"/>
  <c r="K385" i="87"/>
  <c r="I385" i="87"/>
  <c r="G385" i="87"/>
  <c r="C385" i="87"/>
  <c r="R384" i="87"/>
  <c r="S384" i="87" s="1"/>
  <c r="O384" i="87"/>
  <c r="M384" i="87"/>
  <c r="K384" i="87"/>
  <c r="I384" i="87"/>
  <c r="G384" i="87"/>
  <c r="C384" i="87"/>
  <c r="R383" i="87"/>
  <c r="S383" i="87" s="1"/>
  <c r="O383" i="87"/>
  <c r="M383" i="87"/>
  <c r="K383" i="87"/>
  <c r="I383" i="87"/>
  <c r="G383" i="87"/>
  <c r="C383" i="87"/>
  <c r="R382" i="87"/>
  <c r="S382" i="87" s="1"/>
  <c r="O382" i="87"/>
  <c r="M382" i="87"/>
  <c r="K382" i="87"/>
  <c r="I382" i="87"/>
  <c r="G382" i="87"/>
  <c r="C382" i="87"/>
  <c r="R381" i="87"/>
  <c r="S381" i="87" s="1"/>
  <c r="O381" i="87"/>
  <c r="M381" i="87"/>
  <c r="K381" i="87"/>
  <c r="I381" i="87"/>
  <c r="G381" i="87"/>
  <c r="C381" i="87"/>
  <c r="R380" i="87"/>
  <c r="S380" i="87" s="1"/>
  <c r="O380" i="87"/>
  <c r="M380" i="87"/>
  <c r="K380" i="87"/>
  <c r="I380" i="87"/>
  <c r="G380" i="87"/>
  <c r="C380" i="87"/>
  <c r="R379" i="87"/>
  <c r="S379" i="87" s="1"/>
  <c r="O379" i="87"/>
  <c r="M379" i="87"/>
  <c r="K379" i="87"/>
  <c r="I379" i="87"/>
  <c r="G379" i="87"/>
  <c r="C379" i="87"/>
  <c r="R378" i="87"/>
  <c r="S378" i="87" s="1"/>
  <c r="O378" i="87"/>
  <c r="M378" i="87"/>
  <c r="K378" i="87"/>
  <c r="I378" i="87"/>
  <c r="G378" i="87"/>
  <c r="C378" i="87"/>
  <c r="R377" i="87"/>
  <c r="S377" i="87" s="1"/>
  <c r="O377" i="87"/>
  <c r="M377" i="87"/>
  <c r="K377" i="87"/>
  <c r="I377" i="87"/>
  <c r="G377" i="87"/>
  <c r="C377" i="87"/>
  <c r="R376" i="87"/>
  <c r="S376" i="87" s="1"/>
  <c r="O376" i="87"/>
  <c r="M376" i="87"/>
  <c r="K376" i="87"/>
  <c r="I376" i="87"/>
  <c r="G376" i="87"/>
  <c r="C376" i="87"/>
  <c r="R375" i="87"/>
  <c r="S375" i="87" s="1"/>
  <c r="O375" i="87"/>
  <c r="M375" i="87"/>
  <c r="K375" i="87"/>
  <c r="I375" i="87"/>
  <c r="G375" i="87"/>
  <c r="C375" i="87"/>
  <c r="R374" i="87"/>
  <c r="S374" i="87" s="1"/>
  <c r="O374" i="87"/>
  <c r="M374" i="87"/>
  <c r="K374" i="87"/>
  <c r="I374" i="87"/>
  <c r="G374" i="87"/>
  <c r="C374" i="87"/>
  <c r="R373" i="87"/>
  <c r="S373" i="87" s="1"/>
  <c r="O373" i="87"/>
  <c r="M373" i="87"/>
  <c r="K373" i="87"/>
  <c r="I373" i="87"/>
  <c r="G373" i="87"/>
  <c r="C373" i="87"/>
  <c r="R372" i="87"/>
  <c r="S372" i="87" s="1"/>
  <c r="O372" i="87"/>
  <c r="M372" i="87"/>
  <c r="K372" i="87"/>
  <c r="I372" i="87"/>
  <c r="G372" i="87"/>
  <c r="C372" i="87"/>
  <c r="R371" i="87"/>
  <c r="S371" i="87" s="1"/>
  <c r="O371" i="87"/>
  <c r="M371" i="87"/>
  <c r="K371" i="87"/>
  <c r="I371" i="87"/>
  <c r="G371" i="87"/>
  <c r="C371" i="87"/>
  <c r="R370" i="87"/>
  <c r="S370" i="87" s="1"/>
  <c r="O370" i="87"/>
  <c r="M370" i="87"/>
  <c r="K370" i="87"/>
  <c r="I370" i="87"/>
  <c r="G370" i="87"/>
  <c r="C370" i="87"/>
  <c r="R369" i="87"/>
  <c r="S369" i="87" s="1"/>
  <c r="O369" i="87"/>
  <c r="M369" i="87"/>
  <c r="K369" i="87"/>
  <c r="I369" i="87"/>
  <c r="G369" i="87"/>
  <c r="C369" i="87"/>
  <c r="R368" i="87"/>
  <c r="S368" i="87" s="1"/>
  <c r="O368" i="87"/>
  <c r="M368" i="87"/>
  <c r="K368" i="87"/>
  <c r="I368" i="87"/>
  <c r="G368" i="87"/>
  <c r="C368" i="87"/>
  <c r="R367" i="87"/>
  <c r="S367" i="87" s="1"/>
  <c r="O367" i="87"/>
  <c r="M367" i="87"/>
  <c r="K367" i="87"/>
  <c r="I367" i="87"/>
  <c r="G367" i="87"/>
  <c r="C367" i="87"/>
  <c r="R366" i="87"/>
  <c r="S366" i="87" s="1"/>
  <c r="O366" i="87"/>
  <c r="M366" i="87"/>
  <c r="K366" i="87"/>
  <c r="I366" i="87"/>
  <c r="G366" i="87"/>
  <c r="C366" i="87"/>
  <c r="R365" i="87"/>
  <c r="S365" i="87" s="1"/>
  <c r="O365" i="87"/>
  <c r="M365" i="87"/>
  <c r="K365" i="87"/>
  <c r="I365" i="87"/>
  <c r="G365" i="87"/>
  <c r="C365" i="87"/>
  <c r="R364" i="87"/>
  <c r="S364" i="87" s="1"/>
  <c r="O364" i="87"/>
  <c r="M364" i="87"/>
  <c r="K364" i="87"/>
  <c r="I364" i="87"/>
  <c r="G364" i="87"/>
  <c r="C364" i="87"/>
  <c r="R363" i="87"/>
  <c r="S363" i="87" s="1"/>
  <c r="O363" i="87"/>
  <c r="M363" i="87"/>
  <c r="K363" i="87"/>
  <c r="I363" i="87"/>
  <c r="G363" i="87"/>
  <c r="C363" i="87"/>
  <c r="R362" i="87"/>
  <c r="S362" i="87" s="1"/>
  <c r="O362" i="87"/>
  <c r="M362" i="87"/>
  <c r="K362" i="87"/>
  <c r="I362" i="87"/>
  <c r="G362" i="87"/>
  <c r="C362" i="87"/>
  <c r="R361" i="87"/>
  <c r="S361" i="87" s="1"/>
  <c r="O361" i="87"/>
  <c r="M361" i="87"/>
  <c r="K361" i="87"/>
  <c r="I361" i="87"/>
  <c r="G361" i="87"/>
  <c r="C361" i="87"/>
  <c r="R360" i="87"/>
  <c r="S360" i="87" s="1"/>
  <c r="O360" i="87"/>
  <c r="M360" i="87"/>
  <c r="K360" i="87"/>
  <c r="I360" i="87"/>
  <c r="G360" i="87"/>
  <c r="C360" i="87"/>
  <c r="R359" i="87"/>
  <c r="S359" i="87" s="1"/>
  <c r="O359" i="87"/>
  <c r="M359" i="87"/>
  <c r="K359" i="87"/>
  <c r="I359" i="87"/>
  <c r="G359" i="87"/>
  <c r="C359" i="87"/>
  <c r="R358" i="87"/>
  <c r="S358" i="87" s="1"/>
  <c r="O358" i="87"/>
  <c r="M358" i="87"/>
  <c r="K358" i="87"/>
  <c r="I358" i="87"/>
  <c r="G358" i="87"/>
  <c r="C358" i="87"/>
  <c r="R357" i="87"/>
  <c r="S357" i="87" s="1"/>
  <c r="O357" i="87"/>
  <c r="M357" i="87"/>
  <c r="K357" i="87"/>
  <c r="I357" i="87"/>
  <c r="G357" i="87"/>
  <c r="C357" i="87"/>
  <c r="R356" i="87"/>
  <c r="S356" i="87" s="1"/>
  <c r="O356" i="87"/>
  <c r="M356" i="87"/>
  <c r="K356" i="87"/>
  <c r="I356" i="87"/>
  <c r="G356" i="87"/>
  <c r="C356" i="87"/>
  <c r="R355" i="87"/>
  <c r="S355" i="87" s="1"/>
  <c r="O355" i="87"/>
  <c r="M355" i="87"/>
  <c r="K355" i="87"/>
  <c r="I355" i="87"/>
  <c r="G355" i="87"/>
  <c r="C355" i="87"/>
  <c r="R354" i="87"/>
  <c r="S354" i="87" s="1"/>
  <c r="O354" i="87"/>
  <c r="M354" i="87"/>
  <c r="K354" i="87"/>
  <c r="I354" i="87"/>
  <c r="G354" i="87"/>
  <c r="C354" i="87"/>
  <c r="R353" i="87"/>
  <c r="S353" i="87" s="1"/>
  <c r="O353" i="87"/>
  <c r="M353" i="87"/>
  <c r="K353" i="87"/>
  <c r="I353" i="87"/>
  <c r="G353" i="87"/>
  <c r="C353" i="87"/>
  <c r="R352" i="87"/>
  <c r="S352" i="87" s="1"/>
  <c r="O352" i="87"/>
  <c r="M352" i="87"/>
  <c r="K352" i="87"/>
  <c r="I352" i="87"/>
  <c r="G352" i="87"/>
  <c r="C352" i="87"/>
  <c r="R351" i="87"/>
  <c r="S351" i="87" s="1"/>
  <c r="O351" i="87"/>
  <c r="M351" i="87"/>
  <c r="K351" i="87"/>
  <c r="I351" i="87"/>
  <c r="G351" i="87"/>
  <c r="C351" i="87"/>
  <c r="R350" i="87"/>
  <c r="S350" i="87" s="1"/>
  <c r="O350" i="87"/>
  <c r="M350" i="87"/>
  <c r="K350" i="87"/>
  <c r="I350" i="87"/>
  <c r="G350" i="87"/>
  <c r="C350" i="87"/>
  <c r="R349" i="87"/>
  <c r="S349" i="87" s="1"/>
  <c r="O349" i="87"/>
  <c r="M349" i="87"/>
  <c r="K349" i="87"/>
  <c r="I349" i="87"/>
  <c r="G349" i="87"/>
  <c r="C349" i="87"/>
  <c r="R348" i="87"/>
  <c r="S348" i="87" s="1"/>
  <c r="O348" i="87"/>
  <c r="M348" i="87"/>
  <c r="K348" i="87"/>
  <c r="I348" i="87"/>
  <c r="G348" i="87"/>
  <c r="C348" i="87"/>
  <c r="R347" i="87"/>
  <c r="S347" i="87" s="1"/>
  <c r="O347" i="87"/>
  <c r="M347" i="87"/>
  <c r="K347" i="87"/>
  <c r="I347" i="87"/>
  <c r="G347" i="87"/>
  <c r="C347" i="87"/>
  <c r="R346" i="87"/>
  <c r="S346" i="87" s="1"/>
  <c r="O346" i="87"/>
  <c r="M346" i="87"/>
  <c r="K346" i="87"/>
  <c r="I346" i="87"/>
  <c r="G346" i="87"/>
  <c r="C346" i="87"/>
  <c r="R345" i="87"/>
  <c r="S345" i="87" s="1"/>
  <c r="O345" i="87"/>
  <c r="M345" i="87"/>
  <c r="K345" i="87"/>
  <c r="I345" i="87"/>
  <c r="G345" i="87"/>
  <c r="C345" i="87"/>
  <c r="R344" i="87"/>
  <c r="S344" i="87" s="1"/>
  <c r="O344" i="87"/>
  <c r="M344" i="87"/>
  <c r="K344" i="87"/>
  <c r="I344" i="87"/>
  <c r="G344" i="87"/>
  <c r="C344" i="87"/>
  <c r="R343" i="87"/>
  <c r="S343" i="87" s="1"/>
  <c r="O343" i="87"/>
  <c r="M343" i="87"/>
  <c r="K343" i="87"/>
  <c r="I343" i="87"/>
  <c r="G343" i="87"/>
  <c r="C343" i="87"/>
  <c r="R342" i="87"/>
  <c r="S342" i="87" s="1"/>
  <c r="O342" i="87"/>
  <c r="M342" i="87"/>
  <c r="K342" i="87"/>
  <c r="I342" i="87"/>
  <c r="G342" i="87"/>
  <c r="C342" i="87"/>
  <c r="R341" i="87"/>
  <c r="S341" i="87" s="1"/>
  <c r="O341" i="87"/>
  <c r="M341" i="87"/>
  <c r="K341" i="87"/>
  <c r="I341" i="87"/>
  <c r="G341" i="87"/>
  <c r="C341" i="87"/>
  <c r="R340" i="87"/>
  <c r="S340" i="87" s="1"/>
  <c r="O340" i="87"/>
  <c r="M340" i="87"/>
  <c r="K340" i="87"/>
  <c r="I340" i="87"/>
  <c r="G340" i="87"/>
  <c r="C340" i="87"/>
  <c r="R339" i="87"/>
  <c r="S339" i="87" s="1"/>
  <c r="O339" i="87"/>
  <c r="M339" i="87"/>
  <c r="K339" i="87"/>
  <c r="I339" i="87"/>
  <c r="G339" i="87"/>
  <c r="C339" i="87"/>
  <c r="R338" i="87"/>
  <c r="S338" i="87" s="1"/>
  <c r="O338" i="87"/>
  <c r="M338" i="87"/>
  <c r="K338" i="87"/>
  <c r="I338" i="87"/>
  <c r="G338" i="87"/>
  <c r="C338" i="87"/>
  <c r="R337" i="87"/>
  <c r="S337" i="87" s="1"/>
  <c r="O337" i="87"/>
  <c r="M337" i="87"/>
  <c r="K337" i="87"/>
  <c r="I337" i="87"/>
  <c r="G337" i="87"/>
  <c r="C337" i="87"/>
  <c r="R336" i="87"/>
  <c r="S336" i="87" s="1"/>
  <c r="O336" i="87"/>
  <c r="M336" i="87"/>
  <c r="K336" i="87"/>
  <c r="I336" i="87"/>
  <c r="G336" i="87"/>
  <c r="C336" i="87"/>
  <c r="R335" i="87"/>
  <c r="S335" i="87" s="1"/>
  <c r="O335" i="87"/>
  <c r="M335" i="87"/>
  <c r="K335" i="87"/>
  <c r="I335" i="87"/>
  <c r="G335" i="87"/>
  <c r="C335" i="87"/>
  <c r="R334" i="87"/>
  <c r="S334" i="87" s="1"/>
  <c r="O334" i="87"/>
  <c r="M334" i="87"/>
  <c r="K334" i="87"/>
  <c r="I334" i="87"/>
  <c r="G334" i="87"/>
  <c r="C334" i="87"/>
  <c r="R333" i="87"/>
  <c r="S333" i="87" s="1"/>
  <c r="O333" i="87"/>
  <c r="M333" i="87"/>
  <c r="K333" i="87"/>
  <c r="I333" i="87"/>
  <c r="G333" i="87"/>
  <c r="C333" i="87"/>
  <c r="R332" i="87"/>
  <c r="S332" i="87" s="1"/>
  <c r="O332" i="87"/>
  <c r="M332" i="87"/>
  <c r="K332" i="87"/>
  <c r="I332" i="87"/>
  <c r="G332" i="87"/>
  <c r="C332" i="87"/>
  <c r="R331" i="87"/>
  <c r="S331" i="87" s="1"/>
  <c r="O331" i="87"/>
  <c r="M331" i="87"/>
  <c r="K331" i="87"/>
  <c r="I331" i="87"/>
  <c r="G331" i="87"/>
  <c r="C331" i="87"/>
  <c r="R330" i="87"/>
  <c r="S330" i="87" s="1"/>
  <c r="O330" i="87"/>
  <c r="M330" i="87"/>
  <c r="K330" i="87"/>
  <c r="I330" i="87"/>
  <c r="G330" i="87"/>
  <c r="C330" i="87"/>
  <c r="R329" i="87"/>
  <c r="S329" i="87" s="1"/>
  <c r="O329" i="87"/>
  <c r="M329" i="87"/>
  <c r="K329" i="87"/>
  <c r="I329" i="87"/>
  <c r="G329" i="87"/>
  <c r="C329" i="87"/>
  <c r="R328" i="87"/>
  <c r="S328" i="87" s="1"/>
  <c r="O328" i="87"/>
  <c r="M328" i="87"/>
  <c r="K328" i="87"/>
  <c r="I328" i="87"/>
  <c r="G328" i="87"/>
  <c r="C328" i="87"/>
  <c r="R327" i="87"/>
  <c r="S327" i="87" s="1"/>
  <c r="O327" i="87"/>
  <c r="M327" i="87"/>
  <c r="K327" i="87"/>
  <c r="I327" i="87"/>
  <c r="G327" i="87"/>
  <c r="C327" i="87"/>
  <c r="R326" i="87"/>
  <c r="S326" i="87" s="1"/>
  <c r="O326" i="87"/>
  <c r="M326" i="87"/>
  <c r="K326" i="87"/>
  <c r="I326" i="87"/>
  <c r="G326" i="87"/>
  <c r="C326" i="87"/>
  <c r="R325" i="87"/>
  <c r="S325" i="87" s="1"/>
  <c r="O325" i="87"/>
  <c r="M325" i="87"/>
  <c r="K325" i="87"/>
  <c r="I325" i="87"/>
  <c r="G325" i="87"/>
  <c r="C325" i="87"/>
  <c r="R324" i="87"/>
  <c r="S324" i="87" s="1"/>
  <c r="O324" i="87"/>
  <c r="M324" i="87"/>
  <c r="K324" i="87"/>
  <c r="I324" i="87"/>
  <c r="G324" i="87"/>
  <c r="C324" i="87"/>
  <c r="R323" i="87"/>
  <c r="S323" i="87" s="1"/>
  <c r="O323" i="87"/>
  <c r="M323" i="87"/>
  <c r="K323" i="87"/>
  <c r="I323" i="87"/>
  <c r="G323" i="87"/>
  <c r="C323" i="87"/>
  <c r="R322" i="87"/>
  <c r="S322" i="87" s="1"/>
  <c r="O322" i="87"/>
  <c r="M322" i="87"/>
  <c r="K322" i="87"/>
  <c r="I322" i="87"/>
  <c r="G322" i="87"/>
  <c r="C322" i="87"/>
  <c r="R321" i="87"/>
  <c r="S321" i="87" s="1"/>
  <c r="O321" i="87"/>
  <c r="M321" i="87"/>
  <c r="K321" i="87"/>
  <c r="I321" i="87"/>
  <c r="G321" i="87"/>
  <c r="C321" i="87"/>
  <c r="R320" i="87"/>
  <c r="S320" i="87" s="1"/>
  <c r="O320" i="87"/>
  <c r="M320" i="87"/>
  <c r="K320" i="87"/>
  <c r="I320" i="87"/>
  <c r="G320" i="87"/>
  <c r="C320" i="87"/>
  <c r="R319" i="87"/>
  <c r="S319" i="87" s="1"/>
  <c r="O319" i="87"/>
  <c r="M319" i="87"/>
  <c r="K319" i="87"/>
  <c r="I319" i="87"/>
  <c r="G319" i="87"/>
  <c r="C319" i="87"/>
  <c r="R318" i="87"/>
  <c r="S318" i="87" s="1"/>
  <c r="O318" i="87"/>
  <c r="M318" i="87"/>
  <c r="K318" i="87"/>
  <c r="I318" i="87"/>
  <c r="G318" i="87"/>
  <c r="C318" i="87"/>
  <c r="R317" i="87"/>
  <c r="S317" i="87" s="1"/>
  <c r="O317" i="87"/>
  <c r="M317" i="87"/>
  <c r="K317" i="87"/>
  <c r="I317" i="87"/>
  <c r="G317" i="87"/>
  <c r="C317" i="87"/>
  <c r="R316" i="87"/>
  <c r="S316" i="87" s="1"/>
  <c r="O316" i="87"/>
  <c r="M316" i="87"/>
  <c r="K316" i="87"/>
  <c r="I316" i="87"/>
  <c r="G316" i="87"/>
  <c r="C316" i="87"/>
  <c r="R315" i="87"/>
  <c r="S315" i="87" s="1"/>
  <c r="O315" i="87"/>
  <c r="M315" i="87"/>
  <c r="K315" i="87"/>
  <c r="I315" i="87"/>
  <c r="G315" i="87"/>
  <c r="C315" i="87"/>
  <c r="R314" i="87"/>
  <c r="S314" i="87" s="1"/>
  <c r="O314" i="87"/>
  <c r="M314" i="87"/>
  <c r="K314" i="87"/>
  <c r="I314" i="87"/>
  <c r="G314" i="87"/>
  <c r="C314" i="87"/>
  <c r="R313" i="87"/>
  <c r="S313" i="87" s="1"/>
  <c r="O313" i="87"/>
  <c r="M313" i="87"/>
  <c r="K313" i="87"/>
  <c r="I313" i="87"/>
  <c r="G313" i="87"/>
  <c r="C313" i="87"/>
  <c r="R312" i="87"/>
  <c r="S312" i="87" s="1"/>
  <c r="O312" i="87"/>
  <c r="M312" i="87"/>
  <c r="K312" i="87"/>
  <c r="I312" i="87"/>
  <c r="G312" i="87"/>
  <c r="C312" i="87"/>
  <c r="R311" i="87"/>
  <c r="S311" i="87" s="1"/>
  <c r="O311" i="87"/>
  <c r="M311" i="87"/>
  <c r="K311" i="87"/>
  <c r="I311" i="87"/>
  <c r="G311" i="87"/>
  <c r="C311" i="87"/>
  <c r="R310" i="87"/>
  <c r="S310" i="87" s="1"/>
  <c r="O310" i="87"/>
  <c r="M310" i="87"/>
  <c r="K310" i="87"/>
  <c r="I310" i="87"/>
  <c r="G310" i="87"/>
  <c r="C310" i="87"/>
  <c r="R309" i="87"/>
  <c r="S309" i="87" s="1"/>
  <c r="O309" i="87"/>
  <c r="M309" i="87"/>
  <c r="K309" i="87"/>
  <c r="I309" i="87"/>
  <c r="G309" i="87"/>
  <c r="C309" i="87"/>
  <c r="R308" i="87"/>
  <c r="S308" i="87" s="1"/>
  <c r="O308" i="87"/>
  <c r="M308" i="87"/>
  <c r="K308" i="87"/>
  <c r="I308" i="87"/>
  <c r="G308" i="87"/>
  <c r="C308" i="87"/>
  <c r="R307" i="87"/>
  <c r="S307" i="87" s="1"/>
  <c r="O307" i="87"/>
  <c r="M307" i="87"/>
  <c r="K307" i="87"/>
  <c r="I307" i="87"/>
  <c r="G307" i="87"/>
  <c r="C307" i="87"/>
  <c r="R306" i="87"/>
  <c r="S306" i="87" s="1"/>
  <c r="O306" i="87"/>
  <c r="M306" i="87"/>
  <c r="K306" i="87"/>
  <c r="I306" i="87"/>
  <c r="G306" i="87"/>
  <c r="C306" i="87"/>
  <c r="R305" i="87"/>
  <c r="S305" i="87" s="1"/>
  <c r="O305" i="87"/>
  <c r="M305" i="87"/>
  <c r="K305" i="87"/>
  <c r="I305" i="87"/>
  <c r="G305" i="87"/>
  <c r="C305" i="87"/>
  <c r="R304" i="87"/>
  <c r="S304" i="87" s="1"/>
  <c r="O304" i="87"/>
  <c r="M304" i="87"/>
  <c r="K304" i="87"/>
  <c r="I304" i="87"/>
  <c r="G304" i="87"/>
  <c r="C304" i="87"/>
  <c r="R303" i="87"/>
  <c r="S303" i="87" s="1"/>
  <c r="O303" i="87"/>
  <c r="M303" i="87"/>
  <c r="K303" i="87"/>
  <c r="I303" i="87"/>
  <c r="G303" i="87"/>
  <c r="C303" i="87"/>
  <c r="R302" i="87"/>
  <c r="S302" i="87" s="1"/>
  <c r="O302" i="87"/>
  <c r="M302" i="87"/>
  <c r="K302" i="87"/>
  <c r="I302" i="87"/>
  <c r="G302" i="87"/>
  <c r="C302" i="87"/>
  <c r="R301" i="87"/>
  <c r="S301" i="87" s="1"/>
  <c r="O301" i="87"/>
  <c r="M301" i="87"/>
  <c r="K301" i="87"/>
  <c r="I301" i="87"/>
  <c r="G301" i="87"/>
  <c r="C301" i="87"/>
  <c r="R300" i="87"/>
  <c r="S300" i="87" s="1"/>
  <c r="O300" i="87"/>
  <c r="M300" i="87"/>
  <c r="K300" i="87"/>
  <c r="I300" i="87"/>
  <c r="G300" i="87"/>
  <c r="C300" i="87"/>
  <c r="R299" i="87"/>
  <c r="S299" i="87" s="1"/>
  <c r="O299" i="87"/>
  <c r="M299" i="87"/>
  <c r="K299" i="87"/>
  <c r="I299" i="87"/>
  <c r="G299" i="87"/>
  <c r="C299" i="87"/>
  <c r="R298" i="87"/>
  <c r="S298" i="87" s="1"/>
  <c r="O298" i="87"/>
  <c r="M298" i="87"/>
  <c r="K298" i="87"/>
  <c r="I298" i="87"/>
  <c r="G298" i="87"/>
  <c r="C298" i="87"/>
  <c r="R297" i="87"/>
  <c r="S297" i="87" s="1"/>
  <c r="O297" i="87"/>
  <c r="M297" i="87"/>
  <c r="K297" i="87"/>
  <c r="I297" i="87"/>
  <c r="G297" i="87"/>
  <c r="C297" i="87"/>
  <c r="R296" i="87"/>
  <c r="S296" i="87" s="1"/>
  <c r="O296" i="87"/>
  <c r="M296" i="87"/>
  <c r="K296" i="87"/>
  <c r="I296" i="87"/>
  <c r="G296" i="87"/>
  <c r="C296" i="87"/>
  <c r="R295" i="87"/>
  <c r="S295" i="87" s="1"/>
  <c r="O295" i="87"/>
  <c r="M295" i="87"/>
  <c r="K295" i="87"/>
  <c r="I295" i="87"/>
  <c r="G295" i="87"/>
  <c r="C295" i="87"/>
  <c r="R294" i="87"/>
  <c r="S294" i="87" s="1"/>
  <c r="O294" i="87"/>
  <c r="M294" i="87"/>
  <c r="K294" i="87"/>
  <c r="I294" i="87"/>
  <c r="G294" i="87"/>
  <c r="C294" i="87"/>
  <c r="R293" i="87"/>
  <c r="S293" i="87" s="1"/>
  <c r="O293" i="87"/>
  <c r="M293" i="87"/>
  <c r="K293" i="87"/>
  <c r="I293" i="87"/>
  <c r="G293" i="87"/>
  <c r="C293" i="87"/>
  <c r="R292" i="87"/>
  <c r="S292" i="87" s="1"/>
  <c r="O292" i="87"/>
  <c r="M292" i="87"/>
  <c r="K292" i="87"/>
  <c r="I292" i="87"/>
  <c r="G292" i="87"/>
  <c r="C292" i="87"/>
  <c r="R291" i="87"/>
  <c r="S291" i="87" s="1"/>
  <c r="O291" i="87"/>
  <c r="M291" i="87"/>
  <c r="K291" i="87"/>
  <c r="I291" i="87"/>
  <c r="G291" i="87"/>
  <c r="C291" i="87"/>
  <c r="R290" i="87"/>
  <c r="S290" i="87" s="1"/>
  <c r="O290" i="87"/>
  <c r="M290" i="87"/>
  <c r="K290" i="87"/>
  <c r="I290" i="87"/>
  <c r="G290" i="87"/>
  <c r="C290" i="87"/>
  <c r="R289" i="87"/>
  <c r="S289" i="87" s="1"/>
  <c r="O289" i="87"/>
  <c r="M289" i="87"/>
  <c r="K289" i="87"/>
  <c r="I289" i="87"/>
  <c r="G289" i="87"/>
  <c r="C289" i="87"/>
  <c r="R288" i="87"/>
  <c r="S288" i="87" s="1"/>
  <c r="O288" i="87"/>
  <c r="M288" i="87"/>
  <c r="K288" i="87"/>
  <c r="I288" i="87"/>
  <c r="G288" i="87"/>
  <c r="C288" i="87"/>
  <c r="R287" i="87"/>
  <c r="S287" i="87" s="1"/>
  <c r="O287" i="87"/>
  <c r="M287" i="87"/>
  <c r="K287" i="87"/>
  <c r="I287" i="87"/>
  <c r="G287" i="87"/>
  <c r="C287" i="87"/>
  <c r="R286" i="87"/>
  <c r="S286" i="87" s="1"/>
  <c r="O286" i="87"/>
  <c r="M286" i="87"/>
  <c r="K286" i="87"/>
  <c r="I286" i="87"/>
  <c r="G286" i="87"/>
  <c r="C286" i="87"/>
  <c r="R285" i="87"/>
  <c r="S285" i="87" s="1"/>
  <c r="O285" i="87"/>
  <c r="M285" i="87"/>
  <c r="K285" i="87"/>
  <c r="I285" i="87"/>
  <c r="G285" i="87"/>
  <c r="C285" i="87"/>
  <c r="R284" i="87"/>
  <c r="S284" i="87" s="1"/>
  <c r="O284" i="87"/>
  <c r="M284" i="87"/>
  <c r="K284" i="87"/>
  <c r="I284" i="87"/>
  <c r="G284" i="87"/>
  <c r="C284" i="87"/>
  <c r="R283" i="87"/>
  <c r="S283" i="87" s="1"/>
  <c r="O283" i="87"/>
  <c r="M283" i="87"/>
  <c r="K283" i="87"/>
  <c r="I283" i="87"/>
  <c r="G283" i="87"/>
  <c r="C283" i="87"/>
  <c r="R282" i="87"/>
  <c r="S282" i="87" s="1"/>
  <c r="O282" i="87"/>
  <c r="M282" i="87"/>
  <c r="K282" i="87"/>
  <c r="I282" i="87"/>
  <c r="G282" i="87"/>
  <c r="C282" i="87"/>
  <c r="R281" i="87"/>
  <c r="S281" i="87" s="1"/>
  <c r="O281" i="87"/>
  <c r="M281" i="87"/>
  <c r="K281" i="87"/>
  <c r="I281" i="87"/>
  <c r="G281" i="87"/>
  <c r="C281" i="87"/>
  <c r="R280" i="87"/>
  <c r="S280" i="87" s="1"/>
  <c r="O280" i="87"/>
  <c r="M280" i="87"/>
  <c r="K280" i="87"/>
  <c r="I280" i="87"/>
  <c r="G280" i="87"/>
  <c r="C280" i="87"/>
  <c r="R279" i="87"/>
  <c r="S279" i="87" s="1"/>
  <c r="O279" i="87"/>
  <c r="M279" i="87"/>
  <c r="K279" i="87"/>
  <c r="I279" i="87"/>
  <c r="G279" i="87"/>
  <c r="C279" i="87"/>
  <c r="R278" i="87"/>
  <c r="S278" i="87" s="1"/>
  <c r="O278" i="87"/>
  <c r="M278" i="87"/>
  <c r="K278" i="87"/>
  <c r="I278" i="87"/>
  <c r="G278" i="87"/>
  <c r="C278" i="87"/>
  <c r="R277" i="87"/>
  <c r="S277" i="87" s="1"/>
  <c r="O277" i="87"/>
  <c r="M277" i="87"/>
  <c r="K277" i="87"/>
  <c r="I277" i="87"/>
  <c r="G277" i="87"/>
  <c r="C277" i="87"/>
  <c r="R276" i="87"/>
  <c r="S276" i="87" s="1"/>
  <c r="O276" i="87"/>
  <c r="M276" i="87"/>
  <c r="K276" i="87"/>
  <c r="I276" i="87"/>
  <c r="G276" i="87"/>
  <c r="C276" i="87"/>
  <c r="R275" i="87"/>
  <c r="S275" i="87" s="1"/>
  <c r="O275" i="87"/>
  <c r="M275" i="87"/>
  <c r="K275" i="87"/>
  <c r="I275" i="87"/>
  <c r="G275" i="87"/>
  <c r="C275" i="87"/>
  <c r="R274" i="87"/>
  <c r="S274" i="87" s="1"/>
  <c r="O274" i="87"/>
  <c r="M274" i="87"/>
  <c r="K274" i="87"/>
  <c r="I274" i="87"/>
  <c r="G274" i="87"/>
  <c r="C274" i="87"/>
  <c r="R273" i="87"/>
  <c r="S273" i="87" s="1"/>
  <c r="O273" i="87"/>
  <c r="M273" i="87"/>
  <c r="K273" i="87"/>
  <c r="I273" i="87"/>
  <c r="G273" i="87"/>
  <c r="C273" i="87"/>
  <c r="R272" i="87"/>
  <c r="S272" i="87" s="1"/>
  <c r="O272" i="87"/>
  <c r="M272" i="87"/>
  <c r="K272" i="87"/>
  <c r="I272" i="87"/>
  <c r="G272" i="87"/>
  <c r="C272" i="87"/>
  <c r="R271" i="87"/>
  <c r="S271" i="87" s="1"/>
  <c r="O271" i="87"/>
  <c r="M271" i="87"/>
  <c r="K271" i="87"/>
  <c r="I271" i="87"/>
  <c r="G271" i="87"/>
  <c r="C271" i="87"/>
  <c r="R270" i="87"/>
  <c r="S270" i="87" s="1"/>
  <c r="O270" i="87"/>
  <c r="M270" i="87"/>
  <c r="K270" i="87"/>
  <c r="I270" i="87"/>
  <c r="G270" i="87"/>
  <c r="C270" i="87"/>
  <c r="R269" i="87"/>
  <c r="S269" i="87" s="1"/>
  <c r="O269" i="87"/>
  <c r="M269" i="87"/>
  <c r="K269" i="87"/>
  <c r="I269" i="87"/>
  <c r="G269" i="87"/>
  <c r="C269" i="87"/>
  <c r="R268" i="87"/>
  <c r="S268" i="87" s="1"/>
  <c r="O268" i="87"/>
  <c r="M268" i="87"/>
  <c r="K268" i="87"/>
  <c r="I268" i="87"/>
  <c r="G268" i="87"/>
  <c r="C268" i="87"/>
  <c r="R267" i="87"/>
  <c r="S267" i="87" s="1"/>
  <c r="O267" i="87"/>
  <c r="M267" i="87"/>
  <c r="K267" i="87"/>
  <c r="I267" i="87"/>
  <c r="G267" i="87"/>
  <c r="C267" i="87"/>
  <c r="R266" i="87"/>
  <c r="S266" i="87" s="1"/>
  <c r="O266" i="87"/>
  <c r="M266" i="87"/>
  <c r="K266" i="87"/>
  <c r="I266" i="87"/>
  <c r="G266" i="87"/>
  <c r="C266" i="87"/>
  <c r="R265" i="87"/>
  <c r="S265" i="87" s="1"/>
  <c r="O265" i="87"/>
  <c r="M265" i="87"/>
  <c r="K265" i="87"/>
  <c r="I265" i="87"/>
  <c r="G265" i="87"/>
  <c r="C265" i="87"/>
  <c r="R264" i="87"/>
  <c r="S264" i="87" s="1"/>
  <c r="O264" i="87"/>
  <c r="M264" i="87"/>
  <c r="K264" i="87"/>
  <c r="I264" i="87"/>
  <c r="G264" i="87"/>
  <c r="C264" i="87"/>
  <c r="R263" i="87"/>
  <c r="S263" i="87" s="1"/>
  <c r="O263" i="87"/>
  <c r="M263" i="87"/>
  <c r="K263" i="87"/>
  <c r="I263" i="87"/>
  <c r="G263" i="87"/>
  <c r="C263" i="87"/>
  <c r="R262" i="87"/>
  <c r="S262" i="87" s="1"/>
  <c r="O262" i="87"/>
  <c r="M262" i="87"/>
  <c r="K262" i="87"/>
  <c r="I262" i="87"/>
  <c r="G262" i="87"/>
  <c r="C262" i="87"/>
  <c r="R261" i="87"/>
  <c r="S261" i="87" s="1"/>
  <c r="O261" i="87"/>
  <c r="M261" i="87"/>
  <c r="K261" i="87"/>
  <c r="I261" i="87"/>
  <c r="G261" i="87"/>
  <c r="C261" i="87"/>
  <c r="R260" i="87"/>
  <c r="S260" i="87" s="1"/>
  <c r="O260" i="87"/>
  <c r="M260" i="87"/>
  <c r="K260" i="87"/>
  <c r="I260" i="87"/>
  <c r="G260" i="87"/>
  <c r="C260" i="87"/>
  <c r="R259" i="87"/>
  <c r="S259" i="87" s="1"/>
  <c r="O259" i="87"/>
  <c r="M259" i="87"/>
  <c r="K259" i="87"/>
  <c r="I259" i="87"/>
  <c r="G259" i="87"/>
  <c r="C259" i="87"/>
  <c r="R258" i="87"/>
  <c r="S258" i="87" s="1"/>
  <c r="O258" i="87"/>
  <c r="M258" i="87"/>
  <c r="K258" i="87"/>
  <c r="I258" i="87"/>
  <c r="G258" i="87"/>
  <c r="C258" i="87"/>
  <c r="R257" i="87"/>
  <c r="S257" i="87" s="1"/>
  <c r="O257" i="87"/>
  <c r="M257" i="87"/>
  <c r="K257" i="87"/>
  <c r="I257" i="87"/>
  <c r="G257" i="87"/>
  <c r="C257" i="87"/>
  <c r="R256" i="87"/>
  <c r="S256" i="87" s="1"/>
  <c r="O256" i="87"/>
  <c r="M256" i="87"/>
  <c r="K256" i="87"/>
  <c r="I256" i="87"/>
  <c r="G256" i="87"/>
  <c r="C256" i="87"/>
  <c r="R255" i="87"/>
  <c r="S255" i="87" s="1"/>
  <c r="O255" i="87"/>
  <c r="M255" i="87"/>
  <c r="K255" i="87"/>
  <c r="I255" i="87"/>
  <c r="G255" i="87"/>
  <c r="C255" i="87"/>
  <c r="R254" i="87"/>
  <c r="S254" i="87" s="1"/>
  <c r="O254" i="87"/>
  <c r="M254" i="87"/>
  <c r="K254" i="87"/>
  <c r="I254" i="87"/>
  <c r="G254" i="87"/>
  <c r="C254" i="87"/>
  <c r="R253" i="87"/>
  <c r="S253" i="87" s="1"/>
  <c r="O253" i="87"/>
  <c r="M253" i="87"/>
  <c r="K253" i="87"/>
  <c r="I253" i="87"/>
  <c r="G253" i="87"/>
  <c r="C253" i="87"/>
  <c r="R252" i="87"/>
  <c r="S252" i="87" s="1"/>
  <c r="O252" i="87"/>
  <c r="M252" i="87"/>
  <c r="K252" i="87"/>
  <c r="I252" i="87"/>
  <c r="G252" i="87"/>
  <c r="C252" i="87"/>
  <c r="R251" i="87"/>
  <c r="S251" i="87" s="1"/>
  <c r="O251" i="87"/>
  <c r="M251" i="87"/>
  <c r="K251" i="87"/>
  <c r="I251" i="87"/>
  <c r="G251" i="87"/>
  <c r="C251" i="87"/>
  <c r="R250" i="87"/>
  <c r="S250" i="87" s="1"/>
  <c r="O250" i="87"/>
  <c r="M250" i="87"/>
  <c r="K250" i="87"/>
  <c r="I250" i="87"/>
  <c r="G250" i="87"/>
  <c r="C250" i="87"/>
  <c r="R249" i="87"/>
  <c r="S249" i="87" s="1"/>
  <c r="O249" i="87"/>
  <c r="M249" i="87"/>
  <c r="K249" i="87"/>
  <c r="I249" i="87"/>
  <c r="G249" i="87"/>
  <c r="C249" i="87"/>
  <c r="R248" i="87"/>
  <c r="S248" i="87" s="1"/>
  <c r="O248" i="87"/>
  <c r="M248" i="87"/>
  <c r="K248" i="87"/>
  <c r="I248" i="87"/>
  <c r="G248" i="87"/>
  <c r="C248" i="87"/>
  <c r="R247" i="87"/>
  <c r="S247" i="87" s="1"/>
  <c r="O247" i="87"/>
  <c r="M247" i="87"/>
  <c r="K247" i="87"/>
  <c r="I247" i="87"/>
  <c r="G247" i="87"/>
  <c r="C247" i="87"/>
  <c r="R246" i="87"/>
  <c r="S246" i="87" s="1"/>
  <c r="O246" i="87"/>
  <c r="M246" i="87"/>
  <c r="K246" i="87"/>
  <c r="I246" i="87"/>
  <c r="G246" i="87"/>
  <c r="C246" i="87"/>
  <c r="R245" i="87"/>
  <c r="S245" i="87" s="1"/>
  <c r="O245" i="87"/>
  <c r="M245" i="87"/>
  <c r="K245" i="87"/>
  <c r="I245" i="87"/>
  <c r="G245" i="87"/>
  <c r="C245" i="87"/>
  <c r="R244" i="87"/>
  <c r="S244" i="87" s="1"/>
  <c r="O244" i="87"/>
  <c r="M244" i="87"/>
  <c r="K244" i="87"/>
  <c r="I244" i="87"/>
  <c r="G244" i="87"/>
  <c r="C244" i="87"/>
  <c r="R243" i="87"/>
  <c r="S243" i="87" s="1"/>
  <c r="O243" i="87"/>
  <c r="M243" i="87"/>
  <c r="K243" i="87"/>
  <c r="I243" i="87"/>
  <c r="G243" i="87"/>
  <c r="C243" i="87"/>
  <c r="R242" i="87"/>
  <c r="S242" i="87" s="1"/>
  <c r="O242" i="87"/>
  <c r="M242" i="87"/>
  <c r="K242" i="87"/>
  <c r="I242" i="87"/>
  <c r="G242" i="87"/>
  <c r="C242" i="87"/>
  <c r="R241" i="87"/>
  <c r="S241" i="87" s="1"/>
  <c r="O241" i="87"/>
  <c r="M241" i="87"/>
  <c r="K241" i="87"/>
  <c r="I241" i="87"/>
  <c r="G241" i="87"/>
  <c r="C241" i="87"/>
  <c r="R240" i="87"/>
  <c r="S240" i="87" s="1"/>
  <c r="O240" i="87"/>
  <c r="M240" i="87"/>
  <c r="K240" i="87"/>
  <c r="I240" i="87"/>
  <c r="G240" i="87"/>
  <c r="C240" i="87"/>
  <c r="R239" i="87"/>
  <c r="S239" i="87" s="1"/>
  <c r="O239" i="87"/>
  <c r="M239" i="87"/>
  <c r="K239" i="87"/>
  <c r="I239" i="87"/>
  <c r="G239" i="87"/>
  <c r="C239" i="87"/>
  <c r="R238" i="87"/>
  <c r="S238" i="87" s="1"/>
  <c r="O238" i="87"/>
  <c r="M238" i="87"/>
  <c r="K238" i="87"/>
  <c r="I238" i="87"/>
  <c r="G238" i="87"/>
  <c r="C238" i="87"/>
  <c r="R237" i="87"/>
  <c r="S237" i="87" s="1"/>
  <c r="O237" i="87"/>
  <c r="M237" i="87"/>
  <c r="K237" i="87"/>
  <c r="I237" i="87"/>
  <c r="G237" i="87"/>
  <c r="C237" i="87"/>
  <c r="R236" i="87"/>
  <c r="S236" i="87" s="1"/>
  <c r="O236" i="87"/>
  <c r="M236" i="87"/>
  <c r="K236" i="87"/>
  <c r="I236" i="87"/>
  <c r="G236" i="87"/>
  <c r="C236" i="87"/>
  <c r="R235" i="87"/>
  <c r="S235" i="87" s="1"/>
  <c r="O235" i="87"/>
  <c r="M235" i="87"/>
  <c r="K235" i="87"/>
  <c r="I235" i="87"/>
  <c r="G235" i="87"/>
  <c r="C235" i="87"/>
  <c r="R234" i="87"/>
  <c r="S234" i="87" s="1"/>
  <c r="O234" i="87"/>
  <c r="M234" i="87"/>
  <c r="K234" i="87"/>
  <c r="I234" i="87"/>
  <c r="G234" i="87"/>
  <c r="C234" i="87"/>
  <c r="R233" i="87"/>
  <c r="S233" i="87" s="1"/>
  <c r="O233" i="87"/>
  <c r="M233" i="87"/>
  <c r="K233" i="87"/>
  <c r="I233" i="87"/>
  <c r="G233" i="87"/>
  <c r="C233" i="87"/>
  <c r="R232" i="87"/>
  <c r="S232" i="87" s="1"/>
  <c r="O232" i="87"/>
  <c r="M232" i="87"/>
  <c r="K232" i="87"/>
  <c r="I232" i="87"/>
  <c r="G232" i="87"/>
  <c r="C232" i="87"/>
  <c r="R231" i="87"/>
  <c r="S231" i="87" s="1"/>
  <c r="O231" i="87"/>
  <c r="M231" i="87"/>
  <c r="K231" i="87"/>
  <c r="I231" i="87"/>
  <c r="G231" i="87"/>
  <c r="C231" i="87"/>
  <c r="R230" i="87"/>
  <c r="S230" i="87" s="1"/>
  <c r="O230" i="87"/>
  <c r="M230" i="87"/>
  <c r="K230" i="87"/>
  <c r="I230" i="87"/>
  <c r="G230" i="87"/>
  <c r="C230" i="87"/>
  <c r="R229" i="87"/>
  <c r="S229" i="87" s="1"/>
  <c r="O229" i="87"/>
  <c r="M229" i="87"/>
  <c r="K229" i="87"/>
  <c r="I229" i="87"/>
  <c r="G229" i="87"/>
  <c r="C229" i="87"/>
  <c r="R228" i="87"/>
  <c r="S228" i="87" s="1"/>
  <c r="O228" i="87"/>
  <c r="M228" i="87"/>
  <c r="K228" i="87"/>
  <c r="I228" i="87"/>
  <c r="G228" i="87"/>
  <c r="C228" i="87"/>
  <c r="R227" i="87"/>
  <c r="S227" i="87" s="1"/>
  <c r="O227" i="87"/>
  <c r="M227" i="87"/>
  <c r="K227" i="87"/>
  <c r="I227" i="87"/>
  <c r="G227" i="87"/>
  <c r="C227" i="87"/>
  <c r="R226" i="87"/>
  <c r="S226" i="87" s="1"/>
  <c r="O226" i="87"/>
  <c r="M226" i="87"/>
  <c r="K226" i="87"/>
  <c r="I226" i="87"/>
  <c r="G226" i="87"/>
  <c r="C226" i="87"/>
  <c r="R225" i="87"/>
  <c r="S225" i="87" s="1"/>
  <c r="O225" i="87"/>
  <c r="M225" i="87"/>
  <c r="K225" i="87"/>
  <c r="I225" i="87"/>
  <c r="G225" i="87"/>
  <c r="C225" i="87"/>
  <c r="R224" i="87"/>
  <c r="S224" i="87" s="1"/>
  <c r="O224" i="87"/>
  <c r="M224" i="87"/>
  <c r="K224" i="87"/>
  <c r="I224" i="87"/>
  <c r="G224" i="87"/>
  <c r="C224" i="87"/>
  <c r="R223" i="87"/>
  <c r="S223" i="87" s="1"/>
  <c r="O223" i="87"/>
  <c r="M223" i="87"/>
  <c r="K223" i="87"/>
  <c r="I223" i="87"/>
  <c r="G223" i="87"/>
  <c r="C223" i="87"/>
  <c r="R222" i="87"/>
  <c r="S222" i="87" s="1"/>
  <c r="O222" i="87"/>
  <c r="M222" i="87"/>
  <c r="K222" i="87"/>
  <c r="I222" i="87"/>
  <c r="G222" i="87"/>
  <c r="C222" i="87"/>
  <c r="R221" i="87"/>
  <c r="S221" i="87" s="1"/>
  <c r="O221" i="87"/>
  <c r="M221" i="87"/>
  <c r="K221" i="87"/>
  <c r="I221" i="87"/>
  <c r="G221" i="87"/>
  <c r="C221" i="87"/>
  <c r="R220" i="87"/>
  <c r="S220" i="87" s="1"/>
  <c r="O220" i="87"/>
  <c r="M220" i="87"/>
  <c r="K220" i="87"/>
  <c r="I220" i="87"/>
  <c r="G220" i="87"/>
  <c r="C220" i="87"/>
  <c r="R219" i="87"/>
  <c r="S219" i="87" s="1"/>
  <c r="O219" i="87"/>
  <c r="M219" i="87"/>
  <c r="K219" i="87"/>
  <c r="I219" i="87"/>
  <c r="G219" i="87"/>
  <c r="C219" i="87"/>
  <c r="R218" i="87"/>
  <c r="S218" i="87" s="1"/>
  <c r="O218" i="87"/>
  <c r="M218" i="87"/>
  <c r="K218" i="87"/>
  <c r="I218" i="87"/>
  <c r="G218" i="87"/>
  <c r="C218" i="87"/>
  <c r="R217" i="87"/>
  <c r="S217" i="87" s="1"/>
  <c r="O217" i="87"/>
  <c r="M217" i="87"/>
  <c r="K217" i="87"/>
  <c r="I217" i="87"/>
  <c r="G217" i="87"/>
  <c r="C217" i="87"/>
  <c r="R216" i="87"/>
  <c r="S216" i="87" s="1"/>
  <c r="O216" i="87"/>
  <c r="M216" i="87"/>
  <c r="K216" i="87"/>
  <c r="I216" i="87"/>
  <c r="G216" i="87"/>
  <c r="C216" i="87"/>
  <c r="R215" i="87"/>
  <c r="S215" i="87" s="1"/>
  <c r="O215" i="87"/>
  <c r="M215" i="87"/>
  <c r="K215" i="87"/>
  <c r="I215" i="87"/>
  <c r="G215" i="87"/>
  <c r="C215" i="87"/>
  <c r="R214" i="87"/>
  <c r="S214" i="87" s="1"/>
  <c r="O214" i="87"/>
  <c r="M214" i="87"/>
  <c r="K214" i="87"/>
  <c r="I214" i="87"/>
  <c r="G214" i="87"/>
  <c r="C214" i="87"/>
  <c r="R213" i="87"/>
  <c r="S213" i="87" s="1"/>
  <c r="O213" i="87"/>
  <c r="M213" i="87"/>
  <c r="K213" i="87"/>
  <c r="I213" i="87"/>
  <c r="G213" i="87"/>
  <c r="C213" i="87"/>
  <c r="R212" i="87"/>
  <c r="S212" i="87" s="1"/>
  <c r="O212" i="87"/>
  <c r="M212" i="87"/>
  <c r="K212" i="87"/>
  <c r="I212" i="87"/>
  <c r="G212" i="87"/>
  <c r="C212" i="87"/>
  <c r="R211" i="87"/>
  <c r="S211" i="87" s="1"/>
  <c r="O211" i="87"/>
  <c r="M211" i="87"/>
  <c r="K211" i="87"/>
  <c r="I211" i="87"/>
  <c r="G211" i="87"/>
  <c r="C211" i="87"/>
  <c r="R210" i="87"/>
  <c r="S210" i="87" s="1"/>
  <c r="O210" i="87"/>
  <c r="M210" i="87"/>
  <c r="K210" i="87"/>
  <c r="I210" i="87"/>
  <c r="G210" i="87"/>
  <c r="C210" i="87"/>
  <c r="R209" i="87"/>
  <c r="S209" i="87" s="1"/>
  <c r="O209" i="87"/>
  <c r="M209" i="87"/>
  <c r="K209" i="87"/>
  <c r="I209" i="87"/>
  <c r="G209" i="87"/>
  <c r="C209" i="87"/>
  <c r="R208" i="87"/>
  <c r="S208" i="87" s="1"/>
  <c r="O208" i="87"/>
  <c r="M208" i="87"/>
  <c r="K208" i="87"/>
  <c r="I208" i="87"/>
  <c r="G208" i="87"/>
  <c r="C208" i="87"/>
  <c r="R207" i="87"/>
  <c r="S207" i="87" s="1"/>
  <c r="O207" i="87"/>
  <c r="M207" i="87"/>
  <c r="K207" i="87"/>
  <c r="I207" i="87"/>
  <c r="G207" i="87"/>
  <c r="C207" i="87"/>
  <c r="R206" i="87"/>
  <c r="S206" i="87" s="1"/>
  <c r="O206" i="87"/>
  <c r="M206" i="87"/>
  <c r="K206" i="87"/>
  <c r="I206" i="87"/>
  <c r="G206" i="87"/>
  <c r="C206" i="87"/>
  <c r="R205" i="87"/>
  <c r="S205" i="87" s="1"/>
  <c r="O205" i="87"/>
  <c r="M205" i="87"/>
  <c r="K205" i="87"/>
  <c r="I205" i="87"/>
  <c r="G205" i="87"/>
  <c r="C205" i="87"/>
  <c r="R204" i="87"/>
  <c r="S204" i="87" s="1"/>
  <c r="O204" i="87"/>
  <c r="M204" i="87"/>
  <c r="K204" i="87"/>
  <c r="I204" i="87"/>
  <c r="G204" i="87"/>
  <c r="C204" i="87"/>
  <c r="R203" i="87"/>
  <c r="S203" i="87" s="1"/>
  <c r="O203" i="87"/>
  <c r="M203" i="87"/>
  <c r="K203" i="87"/>
  <c r="I203" i="87"/>
  <c r="G203" i="87"/>
  <c r="C203" i="87"/>
  <c r="R202" i="87"/>
  <c r="S202" i="87" s="1"/>
  <c r="O202" i="87"/>
  <c r="M202" i="87"/>
  <c r="K202" i="87"/>
  <c r="I202" i="87"/>
  <c r="G202" i="87"/>
  <c r="C202" i="87"/>
  <c r="R201" i="87"/>
  <c r="S201" i="87" s="1"/>
  <c r="O201" i="87"/>
  <c r="M201" i="87"/>
  <c r="K201" i="87"/>
  <c r="I201" i="87"/>
  <c r="G201" i="87"/>
  <c r="C201" i="87"/>
  <c r="R200" i="87"/>
  <c r="S200" i="87" s="1"/>
  <c r="O200" i="87"/>
  <c r="M200" i="87"/>
  <c r="K200" i="87"/>
  <c r="I200" i="87"/>
  <c r="G200" i="87"/>
  <c r="C200" i="87"/>
  <c r="R199" i="87"/>
  <c r="S199" i="87" s="1"/>
  <c r="O199" i="87"/>
  <c r="M199" i="87"/>
  <c r="K199" i="87"/>
  <c r="I199" i="87"/>
  <c r="G199" i="87"/>
  <c r="C199" i="87"/>
  <c r="R198" i="87"/>
  <c r="S198" i="87" s="1"/>
  <c r="O198" i="87"/>
  <c r="M198" i="87"/>
  <c r="K198" i="87"/>
  <c r="I198" i="87"/>
  <c r="G198" i="87"/>
  <c r="C198" i="87"/>
  <c r="R197" i="87"/>
  <c r="S197" i="87" s="1"/>
  <c r="O197" i="87"/>
  <c r="M197" i="87"/>
  <c r="K197" i="87"/>
  <c r="I197" i="87"/>
  <c r="G197" i="87"/>
  <c r="C197" i="87"/>
  <c r="R196" i="87"/>
  <c r="S196" i="87" s="1"/>
  <c r="O196" i="87"/>
  <c r="M196" i="87"/>
  <c r="K196" i="87"/>
  <c r="I196" i="87"/>
  <c r="G196" i="87"/>
  <c r="C196" i="87"/>
  <c r="R195" i="87"/>
  <c r="S195" i="87" s="1"/>
  <c r="O195" i="87"/>
  <c r="M195" i="87"/>
  <c r="K195" i="87"/>
  <c r="I195" i="87"/>
  <c r="G195" i="87"/>
  <c r="C195" i="87"/>
  <c r="R194" i="87"/>
  <c r="S194" i="87" s="1"/>
  <c r="O194" i="87"/>
  <c r="M194" i="87"/>
  <c r="K194" i="87"/>
  <c r="I194" i="87"/>
  <c r="G194" i="87"/>
  <c r="C194" i="87"/>
  <c r="R193" i="87"/>
  <c r="S193" i="87" s="1"/>
  <c r="O193" i="87"/>
  <c r="M193" i="87"/>
  <c r="K193" i="87"/>
  <c r="I193" i="87"/>
  <c r="G193" i="87"/>
  <c r="C193" i="87"/>
  <c r="R192" i="87"/>
  <c r="S192" i="87" s="1"/>
  <c r="O192" i="87"/>
  <c r="M192" i="87"/>
  <c r="K192" i="87"/>
  <c r="I192" i="87"/>
  <c r="G192" i="87"/>
  <c r="C192" i="87"/>
  <c r="R191" i="87"/>
  <c r="S191" i="87" s="1"/>
  <c r="O191" i="87"/>
  <c r="M191" i="87"/>
  <c r="K191" i="87"/>
  <c r="I191" i="87"/>
  <c r="G191" i="87"/>
  <c r="C191" i="87"/>
  <c r="R190" i="87"/>
  <c r="S190" i="87" s="1"/>
  <c r="O190" i="87"/>
  <c r="M190" i="87"/>
  <c r="K190" i="87"/>
  <c r="I190" i="87"/>
  <c r="G190" i="87"/>
  <c r="C190" i="87"/>
  <c r="R189" i="87"/>
  <c r="S189" i="87" s="1"/>
  <c r="O189" i="87"/>
  <c r="M189" i="87"/>
  <c r="K189" i="87"/>
  <c r="I189" i="87"/>
  <c r="G189" i="87"/>
  <c r="C189" i="87"/>
  <c r="R188" i="87"/>
  <c r="S188" i="87" s="1"/>
  <c r="O188" i="87"/>
  <c r="M188" i="87"/>
  <c r="K188" i="87"/>
  <c r="I188" i="87"/>
  <c r="G188" i="87"/>
  <c r="C188" i="87"/>
  <c r="R187" i="87"/>
  <c r="S187" i="87" s="1"/>
  <c r="O187" i="87"/>
  <c r="M187" i="87"/>
  <c r="K187" i="87"/>
  <c r="I187" i="87"/>
  <c r="G187" i="87"/>
  <c r="C187" i="87"/>
  <c r="R186" i="87"/>
  <c r="S186" i="87" s="1"/>
  <c r="O186" i="87"/>
  <c r="M186" i="87"/>
  <c r="K186" i="87"/>
  <c r="I186" i="87"/>
  <c r="G186" i="87"/>
  <c r="C186" i="87"/>
  <c r="R185" i="87"/>
  <c r="S185" i="87" s="1"/>
  <c r="O185" i="87"/>
  <c r="M185" i="87"/>
  <c r="K185" i="87"/>
  <c r="I185" i="87"/>
  <c r="G185" i="87"/>
  <c r="C185" i="87"/>
  <c r="R184" i="87"/>
  <c r="S184" i="87" s="1"/>
  <c r="O184" i="87"/>
  <c r="M184" i="87"/>
  <c r="K184" i="87"/>
  <c r="I184" i="87"/>
  <c r="G184" i="87"/>
  <c r="C184" i="87"/>
  <c r="R183" i="87"/>
  <c r="S183" i="87" s="1"/>
  <c r="O183" i="87"/>
  <c r="M183" i="87"/>
  <c r="K183" i="87"/>
  <c r="I183" i="87"/>
  <c r="G183" i="87"/>
  <c r="C183" i="87"/>
  <c r="R182" i="87"/>
  <c r="S182" i="87" s="1"/>
  <c r="O182" i="87"/>
  <c r="M182" i="87"/>
  <c r="K182" i="87"/>
  <c r="I182" i="87"/>
  <c r="G182" i="87"/>
  <c r="C182" i="87"/>
  <c r="R181" i="87"/>
  <c r="S181" i="87" s="1"/>
  <c r="O181" i="87"/>
  <c r="M181" i="87"/>
  <c r="K181" i="87"/>
  <c r="I181" i="87"/>
  <c r="G181" i="87"/>
  <c r="C181" i="87"/>
  <c r="R180" i="87"/>
  <c r="S180" i="87" s="1"/>
  <c r="O180" i="87"/>
  <c r="M180" i="87"/>
  <c r="K180" i="87"/>
  <c r="I180" i="87"/>
  <c r="G180" i="87"/>
  <c r="C180" i="87"/>
  <c r="R179" i="87"/>
  <c r="S179" i="87" s="1"/>
  <c r="O179" i="87"/>
  <c r="M179" i="87"/>
  <c r="K179" i="87"/>
  <c r="I179" i="87"/>
  <c r="G179" i="87"/>
  <c r="C179" i="87"/>
  <c r="R178" i="87"/>
  <c r="S178" i="87" s="1"/>
  <c r="O178" i="87"/>
  <c r="M178" i="87"/>
  <c r="K178" i="87"/>
  <c r="I178" i="87"/>
  <c r="G178" i="87"/>
  <c r="C178" i="87"/>
  <c r="R177" i="87"/>
  <c r="S177" i="87" s="1"/>
  <c r="O177" i="87"/>
  <c r="M177" i="87"/>
  <c r="K177" i="87"/>
  <c r="I177" i="87"/>
  <c r="G177" i="87"/>
  <c r="C177" i="87"/>
  <c r="R176" i="87"/>
  <c r="S176" i="87" s="1"/>
  <c r="O176" i="87"/>
  <c r="M176" i="87"/>
  <c r="K176" i="87"/>
  <c r="I176" i="87"/>
  <c r="G176" i="87"/>
  <c r="C176" i="87"/>
  <c r="R175" i="87"/>
  <c r="S175" i="87" s="1"/>
  <c r="O175" i="87"/>
  <c r="M175" i="87"/>
  <c r="K175" i="87"/>
  <c r="I175" i="87"/>
  <c r="G175" i="87"/>
  <c r="C175" i="87"/>
  <c r="R174" i="87"/>
  <c r="S174" i="87" s="1"/>
  <c r="O174" i="87"/>
  <c r="M174" i="87"/>
  <c r="K174" i="87"/>
  <c r="I174" i="87"/>
  <c r="G174" i="87"/>
  <c r="C174" i="87"/>
  <c r="R173" i="87"/>
  <c r="S173" i="87" s="1"/>
  <c r="O173" i="87"/>
  <c r="M173" i="87"/>
  <c r="K173" i="87"/>
  <c r="I173" i="87"/>
  <c r="G173" i="87"/>
  <c r="C173" i="87"/>
  <c r="R172" i="87"/>
  <c r="S172" i="87" s="1"/>
  <c r="O172" i="87"/>
  <c r="M172" i="87"/>
  <c r="K172" i="87"/>
  <c r="I172" i="87"/>
  <c r="G172" i="87"/>
  <c r="C172" i="87"/>
  <c r="R171" i="87"/>
  <c r="S171" i="87" s="1"/>
  <c r="O171" i="87"/>
  <c r="M171" i="87"/>
  <c r="K171" i="87"/>
  <c r="I171" i="87"/>
  <c r="G171" i="87"/>
  <c r="C171" i="87"/>
  <c r="R170" i="87"/>
  <c r="S170" i="87" s="1"/>
  <c r="O170" i="87"/>
  <c r="M170" i="87"/>
  <c r="K170" i="87"/>
  <c r="I170" i="87"/>
  <c r="G170" i="87"/>
  <c r="C170" i="87"/>
  <c r="R169" i="87"/>
  <c r="S169" i="87" s="1"/>
  <c r="O169" i="87"/>
  <c r="M169" i="87"/>
  <c r="K169" i="87"/>
  <c r="I169" i="87"/>
  <c r="G169" i="87"/>
  <c r="C169" i="87"/>
  <c r="R168" i="87"/>
  <c r="S168" i="87" s="1"/>
  <c r="O168" i="87"/>
  <c r="M168" i="87"/>
  <c r="K168" i="87"/>
  <c r="I168" i="87"/>
  <c r="G168" i="87"/>
  <c r="C168" i="87"/>
  <c r="R167" i="87"/>
  <c r="S167" i="87" s="1"/>
  <c r="O167" i="87"/>
  <c r="M167" i="87"/>
  <c r="K167" i="87"/>
  <c r="I167" i="87"/>
  <c r="G167" i="87"/>
  <c r="C167" i="87"/>
  <c r="R166" i="87"/>
  <c r="S166" i="87" s="1"/>
  <c r="O166" i="87"/>
  <c r="M166" i="87"/>
  <c r="K166" i="87"/>
  <c r="I166" i="87"/>
  <c r="G166" i="87"/>
  <c r="C166" i="87"/>
  <c r="R165" i="87"/>
  <c r="S165" i="87" s="1"/>
  <c r="O165" i="87"/>
  <c r="M165" i="87"/>
  <c r="K165" i="87"/>
  <c r="I165" i="87"/>
  <c r="G165" i="87"/>
  <c r="C165" i="87"/>
  <c r="R164" i="87"/>
  <c r="S164" i="87" s="1"/>
  <c r="O164" i="87"/>
  <c r="M164" i="87"/>
  <c r="K164" i="87"/>
  <c r="I164" i="87"/>
  <c r="G164" i="87"/>
  <c r="C164" i="87"/>
  <c r="R163" i="87"/>
  <c r="S163" i="87" s="1"/>
  <c r="O163" i="87"/>
  <c r="M163" i="87"/>
  <c r="K163" i="87"/>
  <c r="I163" i="87"/>
  <c r="G163" i="87"/>
  <c r="C163" i="87"/>
  <c r="R162" i="87"/>
  <c r="S162" i="87" s="1"/>
  <c r="O162" i="87"/>
  <c r="M162" i="87"/>
  <c r="K162" i="87"/>
  <c r="I162" i="87"/>
  <c r="G162" i="87"/>
  <c r="C162" i="87"/>
  <c r="R161" i="87"/>
  <c r="S161" i="87" s="1"/>
  <c r="O161" i="87"/>
  <c r="M161" i="87"/>
  <c r="K161" i="87"/>
  <c r="I161" i="87"/>
  <c r="G161" i="87"/>
  <c r="C161" i="87"/>
  <c r="R160" i="87"/>
  <c r="S160" i="87" s="1"/>
  <c r="O160" i="87"/>
  <c r="M160" i="87"/>
  <c r="K160" i="87"/>
  <c r="I160" i="87"/>
  <c r="G160" i="87"/>
  <c r="C160" i="87"/>
  <c r="R159" i="87"/>
  <c r="S159" i="87" s="1"/>
  <c r="O159" i="87"/>
  <c r="M159" i="87"/>
  <c r="K159" i="87"/>
  <c r="I159" i="87"/>
  <c r="G159" i="87"/>
  <c r="C159" i="87"/>
  <c r="R158" i="87"/>
  <c r="S158" i="87" s="1"/>
  <c r="O158" i="87"/>
  <c r="M158" i="87"/>
  <c r="K158" i="87"/>
  <c r="I158" i="87"/>
  <c r="G158" i="87"/>
  <c r="C158" i="87"/>
  <c r="R157" i="87"/>
  <c r="S157" i="87" s="1"/>
  <c r="O157" i="87"/>
  <c r="M157" i="87"/>
  <c r="K157" i="87"/>
  <c r="I157" i="87"/>
  <c r="G157" i="87"/>
  <c r="C157" i="87"/>
  <c r="R156" i="87"/>
  <c r="S156" i="87" s="1"/>
  <c r="O156" i="87"/>
  <c r="M156" i="87"/>
  <c r="K156" i="87"/>
  <c r="I156" i="87"/>
  <c r="G156" i="87"/>
  <c r="C156" i="87"/>
  <c r="R155" i="87"/>
  <c r="S155" i="87" s="1"/>
  <c r="O155" i="87"/>
  <c r="M155" i="87"/>
  <c r="K155" i="87"/>
  <c r="I155" i="87"/>
  <c r="G155" i="87"/>
  <c r="C155" i="87"/>
  <c r="R154" i="87"/>
  <c r="S154" i="87" s="1"/>
  <c r="O154" i="87"/>
  <c r="M154" i="87"/>
  <c r="K154" i="87"/>
  <c r="I154" i="87"/>
  <c r="G154" i="87"/>
  <c r="C154" i="87"/>
  <c r="R153" i="87"/>
  <c r="S153" i="87" s="1"/>
  <c r="O153" i="87"/>
  <c r="M153" i="87"/>
  <c r="K153" i="87"/>
  <c r="I153" i="87"/>
  <c r="G153" i="87"/>
  <c r="C153" i="87"/>
  <c r="R152" i="87"/>
  <c r="S152" i="87" s="1"/>
  <c r="O152" i="87"/>
  <c r="M152" i="87"/>
  <c r="K152" i="87"/>
  <c r="I152" i="87"/>
  <c r="G152" i="87"/>
  <c r="C152" i="87"/>
  <c r="R151" i="87"/>
  <c r="S151" i="87" s="1"/>
  <c r="O151" i="87"/>
  <c r="M151" i="87"/>
  <c r="K151" i="87"/>
  <c r="I151" i="87"/>
  <c r="G151" i="87"/>
  <c r="C151" i="87"/>
  <c r="R150" i="87"/>
  <c r="S150" i="87" s="1"/>
  <c r="O150" i="87"/>
  <c r="M150" i="87"/>
  <c r="K150" i="87"/>
  <c r="I150" i="87"/>
  <c r="G150" i="87"/>
  <c r="C150" i="87"/>
  <c r="R149" i="87"/>
  <c r="S149" i="87" s="1"/>
  <c r="O149" i="87"/>
  <c r="M149" i="87"/>
  <c r="K149" i="87"/>
  <c r="I149" i="87"/>
  <c r="G149" i="87"/>
  <c r="C149" i="87"/>
  <c r="R148" i="87"/>
  <c r="S148" i="87" s="1"/>
  <c r="O148" i="87"/>
  <c r="M148" i="87"/>
  <c r="K148" i="87"/>
  <c r="I148" i="87"/>
  <c r="G148" i="87"/>
  <c r="C148" i="87"/>
  <c r="R147" i="87"/>
  <c r="S147" i="87" s="1"/>
  <c r="O147" i="87"/>
  <c r="M147" i="87"/>
  <c r="K147" i="87"/>
  <c r="I147" i="87"/>
  <c r="G147" i="87"/>
  <c r="C147" i="87"/>
  <c r="R146" i="87"/>
  <c r="S146" i="87" s="1"/>
  <c r="O146" i="87"/>
  <c r="M146" i="87"/>
  <c r="K146" i="87"/>
  <c r="I146" i="87"/>
  <c r="G146" i="87"/>
  <c r="C146" i="87"/>
  <c r="R145" i="87"/>
  <c r="S145" i="87" s="1"/>
  <c r="O145" i="87"/>
  <c r="M145" i="87"/>
  <c r="K145" i="87"/>
  <c r="I145" i="87"/>
  <c r="G145" i="87"/>
  <c r="C145" i="87"/>
  <c r="R144" i="87"/>
  <c r="S144" i="87" s="1"/>
  <c r="O144" i="87"/>
  <c r="M144" i="87"/>
  <c r="K144" i="87"/>
  <c r="I144" i="87"/>
  <c r="G144" i="87"/>
  <c r="C144" i="87"/>
  <c r="R143" i="87"/>
  <c r="S143" i="87" s="1"/>
  <c r="O143" i="87"/>
  <c r="M143" i="87"/>
  <c r="K143" i="87"/>
  <c r="I143" i="87"/>
  <c r="G143" i="87"/>
  <c r="C143" i="87"/>
  <c r="R142" i="87"/>
  <c r="S142" i="87" s="1"/>
  <c r="O142" i="87"/>
  <c r="M142" i="87"/>
  <c r="K142" i="87"/>
  <c r="I142" i="87"/>
  <c r="G142" i="87"/>
  <c r="C142" i="87"/>
  <c r="R141" i="87"/>
  <c r="S141" i="87" s="1"/>
  <c r="O141" i="87"/>
  <c r="M141" i="87"/>
  <c r="K141" i="87"/>
  <c r="I141" i="87"/>
  <c r="G141" i="87"/>
  <c r="C141" i="87"/>
  <c r="R140" i="87"/>
  <c r="S140" i="87" s="1"/>
  <c r="O140" i="87"/>
  <c r="M140" i="87"/>
  <c r="K140" i="87"/>
  <c r="I140" i="87"/>
  <c r="G140" i="87"/>
  <c r="C140" i="87"/>
  <c r="R139" i="87"/>
  <c r="S139" i="87" s="1"/>
  <c r="O139" i="87"/>
  <c r="M139" i="87"/>
  <c r="K139" i="87"/>
  <c r="I139" i="87"/>
  <c r="G139" i="87"/>
  <c r="C139" i="87"/>
  <c r="R138" i="87"/>
  <c r="S138" i="87" s="1"/>
  <c r="O138" i="87"/>
  <c r="M138" i="87"/>
  <c r="K138" i="87"/>
  <c r="I138" i="87"/>
  <c r="G138" i="87"/>
  <c r="C138" i="87"/>
  <c r="R137" i="87"/>
  <c r="S137" i="87" s="1"/>
  <c r="O137" i="87"/>
  <c r="M137" i="87"/>
  <c r="K137" i="87"/>
  <c r="I137" i="87"/>
  <c r="G137" i="87"/>
  <c r="C137" i="87"/>
  <c r="R136" i="87"/>
  <c r="S136" i="87" s="1"/>
  <c r="O136" i="87"/>
  <c r="M136" i="87"/>
  <c r="K136" i="87"/>
  <c r="I136" i="87"/>
  <c r="G136" i="87"/>
  <c r="C136" i="87"/>
  <c r="R135" i="87"/>
  <c r="S135" i="87" s="1"/>
  <c r="O135" i="87"/>
  <c r="M135" i="87"/>
  <c r="K135" i="87"/>
  <c r="I135" i="87"/>
  <c r="G135" i="87"/>
  <c r="C135" i="87"/>
  <c r="R134" i="87"/>
  <c r="S134" i="87" s="1"/>
  <c r="O134" i="87"/>
  <c r="M134" i="87"/>
  <c r="K134" i="87"/>
  <c r="I134" i="87"/>
  <c r="G134" i="87"/>
  <c r="C134" i="87"/>
  <c r="R133" i="87"/>
  <c r="S133" i="87" s="1"/>
  <c r="O133" i="87"/>
  <c r="M133" i="87"/>
  <c r="K133" i="87"/>
  <c r="I133" i="87"/>
  <c r="G133" i="87"/>
  <c r="C133" i="87"/>
  <c r="R132" i="87"/>
  <c r="S132" i="87" s="1"/>
  <c r="O132" i="87"/>
  <c r="M132" i="87"/>
  <c r="K132" i="87"/>
  <c r="I132" i="87"/>
  <c r="G132" i="87"/>
  <c r="C132" i="87"/>
  <c r="R131" i="87"/>
  <c r="S131" i="87" s="1"/>
  <c r="O131" i="87"/>
  <c r="M131" i="87"/>
  <c r="K131" i="87"/>
  <c r="I131" i="87"/>
  <c r="G131" i="87"/>
  <c r="C131" i="87"/>
  <c r="R130" i="87"/>
  <c r="S130" i="87" s="1"/>
  <c r="O130" i="87"/>
  <c r="M130" i="87"/>
  <c r="K130" i="87"/>
  <c r="I130" i="87"/>
  <c r="G130" i="87"/>
  <c r="C130" i="87"/>
  <c r="R129" i="87"/>
  <c r="S129" i="87" s="1"/>
  <c r="O129" i="87"/>
  <c r="M129" i="87"/>
  <c r="K129" i="87"/>
  <c r="I129" i="87"/>
  <c r="G129" i="87"/>
  <c r="C129" i="87"/>
  <c r="R128" i="87"/>
  <c r="S128" i="87" s="1"/>
  <c r="O128" i="87"/>
  <c r="M128" i="87"/>
  <c r="K128" i="87"/>
  <c r="I128" i="87"/>
  <c r="G128" i="87"/>
  <c r="C128" i="87"/>
  <c r="R127" i="87"/>
  <c r="S127" i="87" s="1"/>
  <c r="O127" i="87"/>
  <c r="M127" i="87"/>
  <c r="K127" i="87"/>
  <c r="I127" i="87"/>
  <c r="G127" i="87"/>
  <c r="C127" i="87"/>
  <c r="R126" i="87"/>
  <c r="S126" i="87" s="1"/>
  <c r="O126" i="87"/>
  <c r="M126" i="87"/>
  <c r="K126" i="87"/>
  <c r="I126" i="87"/>
  <c r="G126" i="87"/>
  <c r="C126" i="87"/>
  <c r="R125" i="87"/>
  <c r="S125" i="87" s="1"/>
  <c r="O125" i="87"/>
  <c r="M125" i="87"/>
  <c r="K125" i="87"/>
  <c r="I125" i="87"/>
  <c r="G125" i="87"/>
  <c r="C125" i="87"/>
  <c r="R124" i="87"/>
  <c r="S124" i="87" s="1"/>
  <c r="O124" i="87"/>
  <c r="M124" i="87"/>
  <c r="K124" i="87"/>
  <c r="I124" i="87"/>
  <c r="G124" i="87"/>
  <c r="C124" i="87"/>
  <c r="R123" i="87"/>
  <c r="S123" i="87" s="1"/>
  <c r="O123" i="87"/>
  <c r="M123" i="87"/>
  <c r="K123" i="87"/>
  <c r="I123" i="87"/>
  <c r="G123" i="87"/>
  <c r="C123" i="87"/>
  <c r="R122" i="87"/>
  <c r="S122" i="87" s="1"/>
  <c r="O122" i="87"/>
  <c r="M122" i="87"/>
  <c r="K122" i="87"/>
  <c r="I122" i="87"/>
  <c r="G122" i="87"/>
  <c r="C122" i="87"/>
  <c r="R121" i="87"/>
  <c r="S121" i="87" s="1"/>
  <c r="O121" i="87"/>
  <c r="M121" i="87"/>
  <c r="K121" i="87"/>
  <c r="I121" i="87"/>
  <c r="G121" i="87"/>
  <c r="C121" i="87"/>
  <c r="R120" i="87"/>
  <c r="S120" i="87" s="1"/>
  <c r="O120" i="87"/>
  <c r="M120" i="87"/>
  <c r="K120" i="87"/>
  <c r="I120" i="87"/>
  <c r="G120" i="87"/>
  <c r="C120" i="87"/>
  <c r="R119" i="87"/>
  <c r="S119" i="87" s="1"/>
  <c r="O119" i="87"/>
  <c r="M119" i="87"/>
  <c r="K119" i="87"/>
  <c r="I119" i="87"/>
  <c r="G119" i="87"/>
  <c r="C119" i="87"/>
  <c r="R118" i="87"/>
  <c r="S118" i="87" s="1"/>
  <c r="O118" i="87"/>
  <c r="M118" i="87"/>
  <c r="K118" i="87"/>
  <c r="I118" i="87"/>
  <c r="G118" i="87"/>
  <c r="C118" i="87"/>
  <c r="R117" i="87"/>
  <c r="S117" i="87" s="1"/>
  <c r="O117" i="87"/>
  <c r="M117" i="87"/>
  <c r="K117" i="87"/>
  <c r="I117" i="87"/>
  <c r="G117" i="87"/>
  <c r="C117" i="87"/>
  <c r="R116" i="87"/>
  <c r="S116" i="87" s="1"/>
  <c r="O116" i="87"/>
  <c r="M116" i="87"/>
  <c r="K116" i="87"/>
  <c r="I116" i="87"/>
  <c r="G116" i="87"/>
  <c r="C116" i="87"/>
  <c r="R115" i="87"/>
  <c r="S115" i="87" s="1"/>
  <c r="O115" i="87"/>
  <c r="M115" i="87"/>
  <c r="K115" i="87"/>
  <c r="I115" i="87"/>
  <c r="G115" i="87"/>
  <c r="C115" i="87"/>
  <c r="R114" i="87"/>
  <c r="S114" i="87" s="1"/>
  <c r="O114" i="87"/>
  <c r="M114" i="87"/>
  <c r="K114" i="87"/>
  <c r="I114" i="87"/>
  <c r="G114" i="87"/>
  <c r="C114" i="87"/>
  <c r="R113" i="87"/>
  <c r="S113" i="87" s="1"/>
  <c r="O113" i="87"/>
  <c r="M113" i="87"/>
  <c r="K113" i="87"/>
  <c r="I113" i="87"/>
  <c r="G113" i="87"/>
  <c r="C113" i="87"/>
  <c r="R112" i="87"/>
  <c r="S112" i="87" s="1"/>
  <c r="O112" i="87"/>
  <c r="M112" i="87"/>
  <c r="K112" i="87"/>
  <c r="I112" i="87"/>
  <c r="G112" i="87"/>
  <c r="C112" i="87"/>
  <c r="R111" i="87"/>
  <c r="S111" i="87" s="1"/>
  <c r="O111" i="87"/>
  <c r="M111" i="87"/>
  <c r="K111" i="87"/>
  <c r="I111" i="87"/>
  <c r="G111" i="87"/>
  <c r="C111" i="87"/>
  <c r="R110" i="87"/>
  <c r="S110" i="87" s="1"/>
  <c r="O110" i="87"/>
  <c r="M110" i="87"/>
  <c r="K110" i="87"/>
  <c r="I110" i="87"/>
  <c r="G110" i="87"/>
  <c r="C110" i="87"/>
  <c r="R109" i="87"/>
  <c r="S109" i="87" s="1"/>
  <c r="O109" i="87"/>
  <c r="M109" i="87"/>
  <c r="K109" i="87"/>
  <c r="I109" i="87"/>
  <c r="G109" i="87"/>
  <c r="C109" i="87"/>
  <c r="R108" i="87"/>
  <c r="S108" i="87" s="1"/>
  <c r="O108" i="87"/>
  <c r="M108" i="87"/>
  <c r="K108" i="87"/>
  <c r="I108" i="87"/>
  <c r="G108" i="87"/>
  <c r="C108" i="87"/>
  <c r="R107" i="87"/>
  <c r="S107" i="87" s="1"/>
  <c r="O107" i="87"/>
  <c r="M107" i="87"/>
  <c r="K107" i="87"/>
  <c r="I107" i="87"/>
  <c r="G107" i="87"/>
  <c r="C107" i="87"/>
  <c r="R106" i="87"/>
  <c r="S106" i="87" s="1"/>
  <c r="O106" i="87"/>
  <c r="M106" i="87"/>
  <c r="K106" i="87"/>
  <c r="I106" i="87"/>
  <c r="G106" i="87"/>
  <c r="C106" i="87"/>
  <c r="R105" i="87"/>
  <c r="S105" i="87" s="1"/>
  <c r="O105" i="87"/>
  <c r="M105" i="87"/>
  <c r="K105" i="87"/>
  <c r="I105" i="87"/>
  <c r="G105" i="87"/>
  <c r="C105" i="87"/>
  <c r="R104" i="87"/>
  <c r="S104" i="87" s="1"/>
  <c r="O104" i="87"/>
  <c r="M104" i="87"/>
  <c r="K104" i="87"/>
  <c r="I104" i="87"/>
  <c r="G104" i="87"/>
  <c r="C104" i="87"/>
  <c r="R103" i="87"/>
  <c r="S103" i="87" s="1"/>
  <c r="O103" i="87"/>
  <c r="M103" i="87"/>
  <c r="K103" i="87"/>
  <c r="I103" i="87"/>
  <c r="G103" i="87"/>
  <c r="C103" i="87"/>
  <c r="R102" i="87"/>
  <c r="S102" i="87" s="1"/>
  <c r="O102" i="87"/>
  <c r="M102" i="87"/>
  <c r="K102" i="87"/>
  <c r="I102" i="87"/>
  <c r="G102" i="87"/>
  <c r="C102" i="87"/>
  <c r="R101" i="87"/>
  <c r="S101" i="87" s="1"/>
  <c r="O101" i="87"/>
  <c r="M101" i="87"/>
  <c r="K101" i="87"/>
  <c r="I101" i="87"/>
  <c r="G101" i="87"/>
  <c r="C101" i="87"/>
  <c r="R100" i="87"/>
  <c r="S100" i="87" s="1"/>
  <c r="O100" i="87"/>
  <c r="M100" i="87"/>
  <c r="K100" i="87"/>
  <c r="I100" i="87"/>
  <c r="G100" i="87"/>
  <c r="C100" i="87"/>
  <c r="R99" i="87"/>
  <c r="S99" i="87" s="1"/>
  <c r="O99" i="87"/>
  <c r="M99" i="87"/>
  <c r="K99" i="87"/>
  <c r="I99" i="87"/>
  <c r="G99" i="87"/>
  <c r="C99" i="87"/>
  <c r="R98" i="87"/>
  <c r="S98" i="87" s="1"/>
  <c r="O98" i="87"/>
  <c r="M98" i="87"/>
  <c r="K98" i="87"/>
  <c r="I98" i="87"/>
  <c r="G98" i="87"/>
  <c r="C98" i="87"/>
  <c r="R97" i="87"/>
  <c r="S97" i="87" s="1"/>
  <c r="O97" i="87"/>
  <c r="M97" i="87"/>
  <c r="K97" i="87"/>
  <c r="I97" i="87"/>
  <c r="G97" i="87"/>
  <c r="C97" i="87"/>
  <c r="R96" i="87"/>
  <c r="S96" i="87" s="1"/>
  <c r="O96" i="87"/>
  <c r="M96" i="87"/>
  <c r="K96" i="87"/>
  <c r="I96" i="87"/>
  <c r="G96" i="87"/>
  <c r="C96" i="87"/>
  <c r="R95" i="87"/>
  <c r="S95" i="87" s="1"/>
  <c r="O95" i="87"/>
  <c r="M95" i="87"/>
  <c r="K95" i="87"/>
  <c r="I95" i="87"/>
  <c r="G95" i="87"/>
  <c r="C95" i="87"/>
  <c r="R94" i="87"/>
  <c r="S94" i="87" s="1"/>
  <c r="O94" i="87"/>
  <c r="M94" i="87"/>
  <c r="K94" i="87"/>
  <c r="I94" i="87"/>
  <c r="G94" i="87"/>
  <c r="C94" i="87"/>
  <c r="R93" i="87"/>
  <c r="S93" i="87" s="1"/>
  <c r="O93" i="87"/>
  <c r="M93" i="87"/>
  <c r="K93" i="87"/>
  <c r="I93" i="87"/>
  <c r="G93" i="87"/>
  <c r="C93" i="87"/>
  <c r="R92" i="87"/>
  <c r="S92" i="87" s="1"/>
  <c r="O92" i="87"/>
  <c r="M92" i="87"/>
  <c r="K92" i="87"/>
  <c r="I92" i="87"/>
  <c r="G92" i="87"/>
  <c r="C92" i="87"/>
  <c r="R91" i="87"/>
  <c r="S91" i="87" s="1"/>
  <c r="O91" i="87"/>
  <c r="M91" i="87"/>
  <c r="K91" i="87"/>
  <c r="I91" i="87"/>
  <c r="G91" i="87"/>
  <c r="C91" i="87"/>
  <c r="R90" i="87"/>
  <c r="S90" i="87" s="1"/>
  <c r="O90" i="87"/>
  <c r="M90" i="87"/>
  <c r="K90" i="87"/>
  <c r="I90" i="87"/>
  <c r="G90" i="87"/>
  <c r="C90" i="87"/>
  <c r="R89" i="87"/>
  <c r="S89" i="87" s="1"/>
  <c r="O89" i="87"/>
  <c r="M89" i="87"/>
  <c r="K89" i="87"/>
  <c r="I89" i="87"/>
  <c r="G89" i="87"/>
  <c r="C89" i="87"/>
  <c r="R88" i="87"/>
  <c r="S88" i="87" s="1"/>
  <c r="O88" i="87"/>
  <c r="M88" i="87"/>
  <c r="K88" i="87"/>
  <c r="I88" i="87"/>
  <c r="G88" i="87"/>
  <c r="C88" i="87"/>
  <c r="R87" i="87"/>
  <c r="S87" i="87" s="1"/>
  <c r="O87" i="87"/>
  <c r="M87" i="87"/>
  <c r="K87" i="87"/>
  <c r="I87" i="87"/>
  <c r="G87" i="87"/>
  <c r="C87" i="87"/>
  <c r="R86" i="87"/>
  <c r="S86" i="87" s="1"/>
  <c r="O86" i="87"/>
  <c r="M86" i="87"/>
  <c r="K86" i="87"/>
  <c r="I86" i="87"/>
  <c r="G86" i="87"/>
  <c r="C86" i="87"/>
  <c r="R85" i="87"/>
  <c r="S85" i="87" s="1"/>
  <c r="O85" i="87"/>
  <c r="M85" i="87"/>
  <c r="K85" i="87"/>
  <c r="I85" i="87"/>
  <c r="G85" i="87"/>
  <c r="C85" i="87"/>
  <c r="R84" i="87"/>
  <c r="S84" i="87" s="1"/>
  <c r="O84" i="87"/>
  <c r="M84" i="87"/>
  <c r="K84" i="87"/>
  <c r="I84" i="87"/>
  <c r="G84" i="87"/>
  <c r="C84" i="87"/>
  <c r="R83" i="87"/>
  <c r="S83" i="87" s="1"/>
  <c r="O83" i="87"/>
  <c r="M83" i="87"/>
  <c r="K83" i="87"/>
  <c r="I83" i="87"/>
  <c r="G83" i="87"/>
  <c r="C83" i="87"/>
  <c r="R82" i="87"/>
  <c r="S82" i="87" s="1"/>
  <c r="O82" i="87"/>
  <c r="M82" i="87"/>
  <c r="K82" i="87"/>
  <c r="I82" i="87"/>
  <c r="G82" i="87"/>
  <c r="C82" i="87"/>
  <c r="R81" i="87"/>
  <c r="S81" i="87" s="1"/>
  <c r="O81" i="87"/>
  <c r="M81" i="87"/>
  <c r="K81" i="87"/>
  <c r="I81" i="87"/>
  <c r="G81" i="87"/>
  <c r="C81" i="87"/>
  <c r="R80" i="87"/>
  <c r="S80" i="87" s="1"/>
  <c r="O80" i="87"/>
  <c r="M80" i="87"/>
  <c r="K80" i="87"/>
  <c r="I80" i="87"/>
  <c r="G80" i="87"/>
  <c r="C80" i="87"/>
  <c r="R79" i="87"/>
  <c r="S79" i="87" s="1"/>
  <c r="O79" i="87"/>
  <c r="M79" i="87"/>
  <c r="K79" i="87"/>
  <c r="I79" i="87"/>
  <c r="G79" i="87"/>
  <c r="C79" i="87"/>
  <c r="R78" i="87"/>
  <c r="S78" i="87" s="1"/>
  <c r="O78" i="87"/>
  <c r="M78" i="87"/>
  <c r="K78" i="87"/>
  <c r="I78" i="87"/>
  <c r="G78" i="87"/>
  <c r="C78" i="87"/>
  <c r="R77" i="87"/>
  <c r="S77" i="87" s="1"/>
  <c r="O77" i="87"/>
  <c r="M77" i="87"/>
  <c r="K77" i="87"/>
  <c r="I77" i="87"/>
  <c r="G77" i="87"/>
  <c r="C77" i="87"/>
  <c r="R76" i="87"/>
  <c r="S76" i="87" s="1"/>
  <c r="O76" i="87"/>
  <c r="M76" i="87"/>
  <c r="K76" i="87"/>
  <c r="I76" i="87"/>
  <c r="G76" i="87"/>
  <c r="C76" i="87"/>
  <c r="R75" i="87"/>
  <c r="S75" i="87" s="1"/>
  <c r="O75" i="87"/>
  <c r="M75" i="87"/>
  <c r="K75" i="87"/>
  <c r="I75" i="87"/>
  <c r="G75" i="87"/>
  <c r="C75" i="87"/>
  <c r="R74" i="87"/>
  <c r="S74" i="87" s="1"/>
  <c r="O74" i="87"/>
  <c r="M74" i="87"/>
  <c r="K74" i="87"/>
  <c r="I74" i="87"/>
  <c r="G74" i="87"/>
  <c r="C74" i="87"/>
  <c r="R73" i="87"/>
  <c r="S73" i="87" s="1"/>
  <c r="O73" i="87"/>
  <c r="M73" i="87"/>
  <c r="K73" i="87"/>
  <c r="I73" i="87"/>
  <c r="G73" i="87"/>
  <c r="C73" i="87"/>
  <c r="R72" i="87"/>
  <c r="S72" i="87" s="1"/>
  <c r="O72" i="87"/>
  <c r="M72" i="87"/>
  <c r="K72" i="87"/>
  <c r="I72" i="87"/>
  <c r="G72" i="87"/>
  <c r="C72" i="87"/>
  <c r="R71" i="87"/>
  <c r="S71" i="87" s="1"/>
  <c r="O71" i="87"/>
  <c r="M71" i="87"/>
  <c r="K71" i="87"/>
  <c r="I71" i="87"/>
  <c r="G71" i="87"/>
  <c r="C71" i="87"/>
  <c r="R70" i="87"/>
  <c r="S70" i="87" s="1"/>
  <c r="O70" i="87"/>
  <c r="M70" i="87"/>
  <c r="K70" i="87"/>
  <c r="I70" i="87"/>
  <c r="G70" i="87"/>
  <c r="C70" i="87"/>
  <c r="R69" i="87"/>
  <c r="S69" i="87" s="1"/>
  <c r="O69" i="87"/>
  <c r="M69" i="87"/>
  <c r="K69" i="87"/>
  <c r="I69" i="87"/>
  <c r="G69" i="87"/>
  <c r="C69" i="87"/>
  <c r="R68" i="87"/>
  <c r="S68" i="87" s="1"/>
  <c r="O68" i="87"/>
  <c r="M68" i="87"/>
  <c r="K68" i="87"/>
  <c r="I68" i="87"/>
  <c r="G68" i="87"/>
  <c r="C68" i="87"/>
  <c r="R67" i="87"/>
  <c r="S67" i="87" s="1"/>
  <c r="O67" i="87"/>
  <c r="M67" i="87"/>
  <c r="K67" i="87"/>
  <c r="I67" i="87"/>
  <c r="G67" i="87"/>
  <c r="C67" i="87"/>
  <c r="R66" i="87"/>
  <c r="S66" i="87" s="1"/>
  <c r="O66" i="87"/>
  <c r="M66" i="87"/>
  <c r="K66" i="87"/>
  <c r="I66" i="87"/>
  <c r="G66" i="87"/>
  <c r="C66" i="87"/>
  <c r="R65" i="87"/>
  <c r="S65" i="87" s="1"/>
  <c r="O65" i="87"/>
  <c r="M65" i="87"/>
  <c r="K65" i="87"/>
  <c r="I65" i="87"/>
  <c r="G65" i="87"/>
  <c r="C65" i="87"/>
  <c r="R64" i="87"/>
  <c r="S64" i="87" s="1"/>
  <c r="O64" i="87"/>
  <c r="M64" i="87"/>
  <c r="K64" i="87"/>
  <c r="I64" i="87"/>
  <c r="G64" i="87"/>
  <c r="C64" i="87"/>
  <c r="R63" i="87"/>
  <c r="S63" i="87" s="1"/>
  <c r="O63" i="87"/>
  <c r="M63" i="87"/>
  <c r="K63" i="87"/>
  <c r="I63" i="87"/>
  <c r="G63" i="87"/>
  <c r="C63" i="87"/>
  <c r="R62" i="87"/>
  <c r="S62" i="87" s="1"/>
  <c r="O62" i="87"/>
  <c r="M62" i="87"/>
  <c r="K62" i="87"/>
  <c r="I62" i="87"/>
  <c r="G62" i="87"/>
  <c r="C62" i="87"/>
  <c r="O61" i="87"/>
  <c r="M61" i="87"/>
  <c r="K61" i="87"/>
  <c r="I61" i="87"/>
  <c r="G61" i="87"/>
  <c r="C61" i="87"/>
  <c r="O60" i="87"/>
  <c r="M60" i="87"/>
  <c r="K60" i="87"/>
  <c r="I60" i="87"/>
  <c r="G60" i="87"/>
  <c r="O59" i="87"/>
  <c r="M59" i="87"/>
  <c r="K59" i="87"/>
  <c r="I59" i="87"/>
  <c r="G59" i="87"/>
  <c r="C59" i="87"/>
  <c r="O58" i="87"/>
  <c r="M58" i="87"/>
  <c r="K58" i="87"/>
  <c r="I58" i="87"/>
  <c r="G58" i="87"/>
  <c r="O57" i="87"/>
  <c r="M57" i="87"/>
  <c r="K57" i="87"/>
  <c r="I57" i="87"/>
  <c r="G57" i="87"/>
  <c r="C57" i="87"/>
  <c r="O56" i="87"/>
  <c r="M56" i="87"/>
  <c r="K56" i="87"/>
  <c r="I56" i="87"/>
  <c r="G56" i="87"/>
  <c r="O55" i="87"/>
  <c r="M55" i="87"/>
  <c r="K55" i="87"/>
  <c r="I55" i="87"/>
  <c r="G55" i="87"/>
  <c r="C55" i="87"/>
  <c r="O54" i="87"/>
  <c r="M54" i="87"/>
  <c r="K54" i="87"/>
  <c r="I54" i="87"/>
  <c r="G54" i="87"/>
  <c r="O53" i="87"/>
  <c r="M53" i="87"/>
  <c r="K53" i="87"/>
  <c r="I53" i="87"/>
  <c r="G53" i="87"/>
  <c r="C53" i="87"/>
  <c r="O52" i="87"/>
  <c r="M52" i="87"/>
  <c r="K52" i="87"/>
  <c r="I52" i="87"/>
  <c r="G52" i="87"/>
  <c r="O51" i="87"/>
  <c r="M51" i="87"/>
  <c r="K51" i="87"/>
  <c r="I51" i="87"/>
  <c r="G51" i="87"/>
  <c r="C51" i="87"/>
  <c r="O50" i="87"/>
  <c r="M50" i="87"/>
  <c r="K50" i="87"/>
  <c r="I50" i="87"/>
  <c r="G50" i="87"/>
  <c r="O49" i="87"/>
  <c r="M49" i="87"/>
  <c r="K49" i="87"/>
  <c r="I49" i="87"/>
  <c r="G49" i="87"/>
  <c r="C49" i="87"/>
  <c r="O48" i="87"/>
  <c r="M48" i="87"/>
  <c r="K48" i="87"/>
  <c r="I48" i="87"/>
  <c r="G48" i="87"/>
  <c r="O47" i="87"/>
  <c r="M47" i="87"/>
  <c r="K47" i="87"/>
  <c r="I47" i="87"/>
  <c r="G47" i="87"/>
  <c r="C47" i="87"/>
  <c r="O46" i="87"/>
  <c r="M46" i="87"/>
  <c r="K46" i="87"/>
  <c r="I46" i="87"/>
  <c r="G46" i="87"/>
  <c r="O45" i="87"/>
  <c r="M45" i="87"/>
  <c r="K45" i="87"/>
  <c r="I45" i="87"/>
  <c r="G45" i="87"/>
  <c r="C45" i="87"/>
  <c r="O44" i="87"/>
  <c r="M44" i="87"/>
  <c r="K44" i="87"/>
  <c r="I44" i="87"/>
  <c r="G44" i="87"/>
  <c r="O43" i="87"/>
  <c r="M43" i="87"/>
  <c r="K43" i="87"/>
  <c r="I43" i="87"/>
  <c r="G43" i="87"/>
  <c r="C43" i="87"/>
  <c r="O42" i="87"/>
  <c r="M42" i="87"/>
  <c r="K42" i="87"/>
  <c r="I42" i="87"/>
  <c r="G42" i="87"/>
  <c r="O41" i="87"/>
  <c r="M41" i="87"/>
  <c r="K41" i="87"/>
  <c r="I41" i="87"/>
  <c r="G41" i="87"/>
  <c r="C41" i="87"/>
  <c r="O40" i="87"/>
  <c r="M40" i="87"/>
  <c r="K40" i="87"/>
  <c r="I40" i="87"/>
  <c r="G40" i="87"/>
  <c r="O39" i="87"/>
  <c r="M39" i="87"/>
  <c r="K39" i="87"/>
  <c r="I39" i="87"/>
  <c r="G39" i="87"/>
  <c r="C39" i="87"/>
  <c r="O38" i="87"/>
  <c r="M38" i="87"/>
  <c r="K38" i="87"/>
  <c r="I38" i="87"/>
  <c r="G38" i="87"/>
  <c r="O37" i="87"/>
  <c r="M37" i="87"/>
  <c r="K37" i="87"/>
  <c r="I37" i="87"/>
  <c r="G37" i="87"/>
  <c r="C37" i="87"/>
  <c r="O36" i="87"/>
  <c r="M36" i="87"/>
  <c r="K36" i="87"/>
  <c r="I36" i="87"/>
  <c r="G36" i="87"/>
  <c r="C36" i="87"/>
  <c r="O35" i="87"/>
  <c r="M35" i="87"/>
  <c r="K35" i="87"/>
  <c r="I35" i="87"/>
  <c r="G35" i="87"/>
  <c r="C35" i="87"/>
  <c r="O34" i="87"/>
  <c r="M34" i="87"/>
  <c r="K34" i="87"/>
  <c r="I34" i="87"/>
  <c r="G34" i="87"/>
  <c r="C34" i="87"/>
  <c r="O33" i="87"/>
  <c r="M33" i="87"/>
  <c r="K33" i="87"/>
  <c r="I33" i="87"/>
  <c r="G33" i="87"/>
  <c r="C33" i="87"/>
  <c r="O32" i="87"/>
  <c r="M32" i="87"/>
  <c r="K32" i="87"/>
  <c r="I32" i="87"/>
  <c r="G32" i="87"/>
  <c r="C32" i="87"/>
  <c r="O31" i="87"/>
  <c r="M31" i="87"/>
  <c r="K31" i="87"/>
  <c r="I31" i="87"/>
  <c r="G31" i="87"/>
  <c r="C31" i="87"/>
  <c r="O30" i="87"/>
  <c r="M30" i="87"/>
  <c r="K30" i="87"/>
  <c r="I30" i="87"/>
  <c r="G30" i="87"/>
  <c r="C30" i="87"/>
  <c r="O29" i="87"/>
  <c r="M29" i="87"/>
  <c r="K29" i="87"/>
  <c r="I29" i="87"/>
  <c r="G29" i="87"/>
  <c r="C29" i="87"/>
  <c r="O28" i="87"/>
  <c r="M28" i="87"/>
  <c r="K28" i="87"/>
  <c r="I28" i="87"/>
  <c r="G28" i="87"/>
  <c r="C28" i="87"/>
  <c r="O27" i="87"/>
  <c r="M27" i="87"/>
  <c r="K27" i="87"/>
  <c r="I27" i="87"/>
  <c r="G27" i="87"/>
  <c r="C27" i="87"/>
  <c r="O26" i="87"/>
  <c r="M26" i="87"/>
  <c r="K26" i="87"/>
  <c r="I26" i="87"/>
  <c r="G26" i="87"/>
  <c r="C26" i="87"/>
  <c r="O25" i="87"/>
  <c r="M25" i="87"/>
  <c r="K25" i="87"/>
  <c r="I25" i="87"/>
  <c r="G25" i="87"/>
  <c r="C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S2" i="87"/>
  <c r="R2" i="87"/>
  <c r="Q2" i="87"/>
  <c r="P2" i="87"/>
  <c r="O2" i="87"/>
  <c r="N2" i="87"/>
  <c r="M2" i="87"/>
  <c r="L2" i="87"/>
  <c r="K2" i="87"/>
  <c r="J2" i="87"/>
  <c r="I2" i="87"/>
  <c r="H2" i="87"/>
  <c r="F2" i="87"/>
  <c r="D2" i="87"/>
  <c r="C2" i="87"/>
  <c r="K14" i="3"/>
  <c r="F20" i="87"/>
  <c r="G6" i="87" l="1"/>
  <c r="H6" i="87" s="1"/>
  <c r="I6" i="87" s="1"/>
  <c r="J6" i="87" s="1"/>
  <c r="K6" i="87" s="1"/>
  <c r="L6" i="87" s="1"/>
  <c r="M6" i="87" s="1"/>
  <c r="N6" i="87" s="1"/>
  <c r="O6" i="87" s="1"/>
  <c r="P6" i="87" s="1"/>
  <c r="Q6" i="87" s="1"/>
  <c r="R6" i="87" s="1"/>
  <c r="S6" i="87" s="1"/>
  <c r="E521" i="87"/>
  <c r="E517" i="87"/>
  <c r="E513" i="87"/>
  <c r="E509" i="87"/>
  <c r="E505" i="87"/>
  <c r="E501" i="87"/>
  <c r="E497" i="87"/>
  <c r="E493" i="87"/>
  <c r="E492" i="87"/>
  <c r="E491" i="87"/>
  <c r="E490" i="87"/>
  <c r="E489" i="87"/>
  <c r="E488" i="87"/>
  <c r="E487" i="87"/>
  <c r="E486" i="87"/>
  <c r="E485" i="87"/>
  <c r="E484" i="87"/>
  <c r="E483" i="87"/>
  <c r="E482" i="87"/>
  <c r="E481" i="87"/>
  <c r="E480" i="87"/>
  <c r="E479" i="87"/>
  <c r="E478" i="87"/>
  <c r="E477" i="87"/>
  <c r="E476" i="87"/>
  <c r="E475" i="87"/>
  <c r="E474" i="87"/>
  <c r="E473" i="87"/>
  <c r="E472" i="87"/>
  <c r="E471" i="87"/>
  <c r="E470" i="87"/>
  <c r="E469" i="87"/>
  <c r="E468" i="87"/>
  <c r="E467" i="87"/>
  <c r="E466" i="87"/>
  <c r="E465" i="87"/>
  <c r="E464" i="87"/>
  <c r="E463" i="87"/>
  <c r="E462" i="87"/>
  <c r="E461" i="87"/>
  <c r="E460" i="87"/>
  <c r="E459" i="87"/>
  <c r="E458" i="87"/>
  <c r="E457" i="87"/>
  <c r="E456" i="87"/>
  <c r="E455" i="87"/>
  <c r="E454" i="87"/>
  <c r="E453" i="87"/>
  <c r="E452" i="87"/>
  <c r="E451" i="87"/>
  <c r="E450" i="87"/>
  <c r="E449" i="87"/>
  <c r="E448" i="87"/>
  <c r="E447" i="87"/>
  <c r="E446" i="87"/>
  <c r="E445" i="87"/>
  <c r="E444" i="87"/>
  <c r="E443" i="87"/>
  <c r="E442" i="87"/>
  <c r="E441" i="87"/>
  <c r="E440" i="87"/>
  <c r="E439" i="87"/>
  <c r="E438" i="87"/>
  <c r="E437" i="87"/>
  <c r="E436" i="87"/>
  <c r="E435" i="87"/>
  <c r="E434" i="87"/>
  <c r="E433" i="87"/>
  <c r="E432" i="87"/>
  <c r="E431" i="87"/>
  <c r="E430" i="87"/>
  <c r="E429" i="87"/>
  <c r="E428" i="87"/>
  <c r="E427" i="87"/>
  <c r="E426" i="87"/>
  <c r="E425" i="87"/>
  <c r="E424" i="87"/>
  <c r="E423" i="87"/>
  <c r="E422" i="87"/>
  <c r="E421" i="87"/>
  <c r="E420" i="87"/>
  <c r="E419" i="87"/>
  <c r="E418" i="87"/>
  <c r="E417" i="87"/>
  <c r="E416" i="87"/>
  <c r="E415" i="87"/>
  <c r="E414" i="87"/>
  <c r="E413" i="87"/>
  <c r="E412" i="87"/>
  <c r="E411" i="87"/>
  <c r="E410" i="87"/>
  <c r="E409" i="87"/>
  <c r="E408" i="87"/>
  <c r="E407" i="87"/>
  <c r="E406" i="87"/>
  <c r="E405" i="87"/>
  <c r="E404" i="87"/>
  <c r="E403" i="87"/>
  <c r="E402" i="87"/>
  <c r="E401" i="87"/>
  <c r="E400" i="87"/>
  <c r="E399" i="87"/>
  <c r="E398" i="87"/>
  <c r="E397" i="87"/>
  <c r="E396" i="87"/>
  <c r="E395" i="87"/>
  <c r="E394" i="87"/>
  <c r="E393" i="87"/>
  <c r="E392" i="87"/>
  <c r="E391" i="87"/>
  <c r="E390" i="87"/>
  <c r="E389" i="87"/>
  <c r="E388" i="87"/>
  <c r="E387" i="87"/>
  <c r="E386" i="87"/>
  <c r="E385" i="87"/>
  <c r="E384" i="87"/>
  <c r="E383" i="87"/>
  <c r="E382" i="87"/>
  <c r="E381" i="87"/>
  <c r="E380" i="87"/>
  <c r="E379" i="87"/>
  <c r="E378" i="87"/>
  <c r="E377" i="87"/>
  <c r="E376" i="87"/>
  <c r="E375" i="87"/>
  <c r="E374" i="87"/>
  <c r="E373" i="87"/>
  <c r="E372" i="87"/>
  <c r="E371" i="87"/>
  <c r="E370" i="87"/>
  <c r="E369" i="87"/>
  <c r="E368" i="87"/>
  <c r="E367" i="87"/>
  <c r="E366" i="87"/>
  <c r="E365" i="87"/>
  <c r="E364" i="87"/>
  <c r="E363" i="87"/>
  <c r="E362" i="87"/>
  <c r="E361" i="87"/>
  <c r="E360" i="87"/>
  <c r="E359" i="87"/>
  <c r="E358" i="87"/>
  <c r="E357" i="87"/>
  <c r="E356" i="87"/>
  <c r="E355" i="87"/>
  <c r="E354" i="87"/>
  <c r="E353" i="87"/>
  <c r="E352" i="87"/>
  <c r="E351" i="87"/>
  <c r="E350" i="87"/>
  <c r="E349" i="87"/>
  <c r="E348" i="87"/>
  <c r="E347" i="87"/>
  <c r="E346" i="87"/>
  <c r="E345" i="87"/>
  <c r="E344" i="87"/>
  <c r="E343" i="87"/>
  <c r="E342" i="87"/>
  <c r="E341" i="87"/>
  <c r="E340" i="87"/>
  <c r="E339" i="87"/>
  <c r="E338" i="87"/>
  <c r="E337" i="87"/>
  <c r="E336" i="87"/>
  <c r="E335" i="87"/>
  <c r="E334" i="87"/>
  <c r="E333" i="87"/>
  <c r="E332" i="87"/>
  <c r="E331" i="87"/>
  <c r="E330" i="87"/>
  <c r="E329" i="87"/>
  <c r="E328" i="87"/>
  <c r="E327" i="87"/>
  <c r="E326" i="87"/>
  <c r="E325" i="87"/>
  <c r="E324" i="87"/>
  <c r="E323" i="87"/>
  <c r="E322" i="87"/>
  <c r="E321" i="87"/>
  <c r="E320" i="87"/>
  <c r="E319" i="87"/>
  <c r="E318" i="87"/>
  <c r="E317" i="87"/>
  <c r="E316" i="87"/>
  <c r="E315" i="87"/>
  <c r="E314" i="87"/>
  <c r="E313" i="87"/>
  <c r="E312" i="87"/>
  <c r="E311" i="87"/>
  <c r="E310" i="87"/>
  <c r="E309" i="87"/>
  <c r="E308" i="87"/>
  <c r="E307" i="87"/>
  <c r="E306" i="87"/>
  <c r="E305" i="87"/>
  <c r="E304" i="87"/>
  <c r="E303" i="87"/>
  <c r="E302" i="87"/>
  <c r="E301" i="87"/>
  <c r="E300" i="87"/>
  <c r="E299" i="87"/>
  <c r="E298" i="87"/>
  <c r="E297" i="87"/>
  <c r="E296" i="87"/>
  <c r="E295" i="87"/>
  <c r="E294" i="87"/>
  <c r="E293" i="87"/>
  <c r="E292" i="87"/>
  <c r="E291" i="87"/>
  <c r="E290" i="87"/>
  <c r="E289" i="87"/>
  <c r="E288" i="87"/>
  <c r="E287" i="87"/>
  <c r="E286" i="87"/>
  <c r="E285" i="87"/>
  <c r="E284" i="87"/>
  <c r="E283" i="87"/>
  <c r="E282" i="87"/>
  <c r="E281" i="87"/>
  <c r="E280" i="87"/>
  <c r="E279" i="87"/>
  <c r="E278" i="87"/>
  <c r="E277" i="87"/>
  <c r="E276" i="87"/>
  <c r="E275" i="87"/>
  <c r="E274" i="87"/>
  <c r="E273" i="87"/>
  <c r="E272" i="87"/>
  <c r="E271" i="87"/>
  <c r="E270" i="87"/>
  <c r="E269" i="87"/>
  <c r="E268" i="87"/>
  <c r="E267" i="87"/>
  <c r="E266" i="87"/>
  <c r="E265" i="87"/>
  <c r="E264" i="87"/>
  <c r="E263" i="87"/>
  <c r="E262" i="87"/>
  <c r="E261" i="87"/>
  <c r="E260" i="87"/>
  <c r="E259" i="87"/>
  <c r="E258" i="87"/>
  <c r="E257" i="87"/>
  <c r="E256" i="87"/>
  <c r="E255" i="87"/>
  <c r="E254" i="87"/>
  <c r="E253" i="87"/>
  <c r="E252" i="87"/>
  <c r="E251" i="87"/>
  <c r="E250" i="87"/>
  <c r="E249" i="87"/>
  <c r="E248" i="87"/>
  <c r="E247" i="87"/>
  <c r="E246" i="87"/>
  <c r="E245" i="87"/>
  <c r="E244" i="87"/>
  <c r="E243" i="87"/>
  <c r="E242" i="87"/>
  <c r="E241" i="87"/>
  <c r="E240" i="87"/>
  <c r="E239" i="87"/>
  <c r="E238" i="87"/>
  <c r="E237" i="87"/>
  <c r="E236" i="87"/>
  <c r="E235" i="87"/>
  <c r="E234" i="87"/>
  <c r="E233" i="87"/>
  <c r="E232" i="87"/>
  <c r="E231" i="87"/>
  <c r="E230" i="87"/>
  <c r="E229" i="87"/>
  <c r="E228" i="87"/>
  <c r="E227" i="87"/>
  <c r="E226" i="87"/>
  <c r="E225" i="87"/>
  <c r="E224" i="87"/>
  <c r="E223" i="87"/>
  <c r="E222" i="87"/>
  <c r="E221" i="87"/>
  <c r="E220" i="87"/>
  <c r="E219" i="87"/>
  <c r="E218" i="87"/>
  <c r="E217" i="87"/>
  <c r="E216" i="87"/>
  <c r="E215" i="87"/>
  <c r="E214" i="87"/>
  <c r="E213" i="87"/>
  <c r="E212" i="87"/>
  <c r="E211" i="87"/>
  <c r="E210" i="87"/>
  <c r="E209" i="87"/>
  <c r="E208" i="87"/>
  <c r="E207" i="87"/>
  <c r="E206" i="87"/>
  <c r="E205" i="87"/>
  <c r="E204" i="87"/>
  <c r="E203" i="87"/>
  <c r="E202" i="87"/>
  <c r="E201" i="87"/>
  <c r="E200" i="87"/>
  <c r="E199" i="87"/>
  <c r="E198" i="87"/>
  <c r="E197" i="87"/>
  <c r="E196" i="87"/>
  <c r="E195" i="87"/>
  <c r="E194" i="87"/>
  <c r="E193" i="87"/>
  <c r="E192" i="87"/>
  <c r="E191" i="87"/>
  <c r="E190" i="87"/>
  <c r="E189" i="87"/>
  <c r="E188" i="87"/>
  <c r="E187" i="87"/>
  <c r="E186" i="87"/>
  <c r="E185" i="87"/>
  <c r="E184" i="87"/>
  <c r="E183" i="87"/>
  <c r="E182" i="87"/>
  <c r="E181" i="87"/>
  <c r="E180" i="87"/>
  <c r="E179" i="87"/>
  <c r="E178" i="87"/>
  <c r="E177" i="87"/>
  <c r="E176" i="87"/>
  <c r="E175" i="87"/>
  <c r="E174" i="87"/>
  <c r="E173" i="87"/>
  <c r="E172" i="87"/>
  <c r="E171" i="87"/>
  <c r="E170" i="87"/>
  <c r="E169" i="87"/>
  <c r="E168" i="87"/>
  <c r="E167" i="87"/>
  <c r="E29" i="87"/>
  <c r="E33" i="87"/>
  <c r="E38" i="87"/>
  <c r="E41" i="87"/>
  <c r="E46" i="87"/>
  <c r="E50" i="87"/>
  <c r="E54" i="87"/>
  <c r="E57" i="87"/>
  <c r="E58" i="87"/>
  <c r="E26" i="87"/>
  <c r="E28" i="87"/>
  <c r="E30" i="87"/>
  <c r="E32" i="87"/>
  <c r="E34" i="87"/>
  <c r="E36" i="87"/>
  <c r="E39" i="87"/>
  <c r="E40" i="87"/>
  <c r="E43" i="87"/>
  <c r="E44" i="87"/>
  <c r="E47" i="87"/>
  <c r="E48" i="87"/>
  <c r="E51" i="87"/>
  <c r="E52" i="87"/>
  <c r="E55" i="87"/>
  <c r="E56" i="87"/>
  <c r="E59" i="87"/>
  <c r="E60" i="87"/>
  <c r="E62" i="87"/>
  <c r="E63" i="87"/>
  <c r="E64" i="87"/>
  <c r="E65" i="87"/>
  <c r="E66" i="87"/>
  <c r="E67" i="87"/>
  <c r="E68" i="87"/>
  <c r="E69" i="87"/>
  <c r="E70" i="87"/>
  <c r="E71" i="87"/>
  <c r="E72" i="87"/>
  <c r="E73" i="87"/>
  <c r="E74" i="87"/>
  <c r="E75" i="87"/>
  <c r="E76" i="87"/>
  <c r="E77" i="87"/>
  <c r="E78" i="87"/>
  <c r="E79" i="87"/>
  <c r="E80" i="87"/>
  <c r="E81" i="87"/>
  <c r="E82" i="87"/>
  <c r="E83" i="87"/>
  <c r="E84" i="87"/>
  <c r="E85" i="87"/>
  <c r="E86" i="87"/>
  <c r="E87" i="87"/>
  <c r="E88" i="87"/>
  <c r="E89" i="87"/>
  <c r="E90" i="87"/>
  <c r="E91" i="87"/>
  <c r="E92" i="87"/>
  <c r="E93" i="87"/>
  <c r="E94" i="87"/>
  <c r="E95" i="87"/>
  <c r="E96" i="87"/>
  <c r="E97" i="87"/>
  <c r="E98" i="87"/>
  <c r="E99" i="87"/>
  <c r="E100" i="87"/>
  <c r="E101" i="87"/>
  <c r="E102" i="87"/>
  <c r="E103" i="87"/>
  <c r="E104" i="87"/>
  <c r="E105" i="87"/>
  <c r="E106" i="87"/>
  <c r="E107" i="87"/>
  <c r="E108" i="87"/>
  <c r="E109" i="87"/>
  <c r="E110" i="87"/>
  <c r="E111" i="87"/>
  <c r="E112" i="87"/>
  <c r="E113" i="87"/>
  <c r="E114" i="87"/>
  <c r="E115" i="87"/>
  <c r="E116" i="87"/>
  <c r="E117" i="87"/>
  <c r="E118" i="87"/>
  <c r="E119" i="87"/>
  <c r="E120" i="87"/>
  <c r="E121" i="87"/>
  <c r="E122" i="87"/>
  <c r="E123" i="87"/>
  <c r="E124" i="87"/>
  <c r="E125" i="87"/>
  <c r="E126" i="87"/>
  <c r="E127" i="87"/>
  <c r="E128" i="87"/>
  <c r="E129" i="87"/>
  <c r="E130" i="87"/>
  <c r="E131" i="87"/>
  <c r="E132" i="87"/>
  <c r="E133" i="87"/>
  <c r="E134" i="87"/>
  <c r="E135" i="87"/>
  <c r="E136" i="87"/>
  <c r="E137" i="87"/>
  <c r="E138" i="87"/>
  <c r="E139" i="87"/>
  <c r="E140" i="87"/>
  <c r="E141" i="87"/>
  <c r="E142" i="87"/>
  <c r="E143" i="87"/>
  <c r="E144" i="87"/>
  <c r="E145" i="87"/>
  <c r="E146" i="87"/>
  <c r="E147" i="87"/>
  <c r="E148" i="87"/>
  <c r="E149" i="87"/>
  <c r="E150" i="87"/>
  <c r="E151" i="87"/>
  <c r="E152" i="87"/>
  <c r="E153" i="87"/>
  <c r="E154" i="87"/>
  <c r="E155" i="87"/>
  <c r="E156" i="87"/>
  <c r="E157" i="87"/>
  <c r="E158" i="87"/>
  <c r="E159" i="87"/>
  <c r="E160" i="87"/>
  <c r="E161" i="87"/>
  <c r="E162" i="87"/>
  <c r="E163" i="87"/>
  <c r="E164" i="87"/>
  <c r="E165" i="87"/>
  <c r="E166" i="87"/>
  <c r="E25" i="87"/>
  <c r="E27" i="87"/>
  <c r="E31" i="87"/>
  <c r="E35" i="87"/>
  <c r="E37" i="87"/>
  <c r="E42" i="87"/>
  <c r="E45" i="87"/>
  <c r="E49" i="87"/>
  <c r="E53" i="87"/>
  <c r="E61" i="87"/>
  <c r="E523" i="87"/>
  <c r="E524" i="87"/>
  <c r="B22" i="87"/>
  <c r="E495" i="87"/>
  <c r="E499" i="87"/>
  <c r="E503" i="87"/>
  <c r="E507" i="87"/>
  <c r="E511" i="87"/>
  <c r="E515" i="87"/>
  <c r="E519" i="87"/>
  <c r="E2" i="87"/>
  <c r="C38" i="87"/>
  <c r="C40" i="87"/>
  <c r="C42" i="87"/>
  <c r="C44" i="87"/>
  <c r="C46" i="87"/>
  <c r="C48" i="87"/>
  <c r="C50" i="87"/>
  <c r="C52" i="87"/>
  <c r="C54" i="87"/>
  <c r="C56" i="87"/>
  <c r="C58" i="87"/>
  <c r="C60" i="87"/>
  <c r="E494" i="87"/>
  <c r="E496" i="87"/>
  <c r="E498" i="87"/>
  <c r="E500" i="87"/>
  <c r="E502" i="87"/>
  <c r="E504" i="87"/>
  <c r="E506" i="87"/>
  <c r="E508" i="87"/>
  <c r="E510" i="87"/>
  <c r="E512" i="87"/>
  <c r="E514" i="87"/>
  <c r="E516" i="87"/>
  <c r="E518" i="87"/>
  <c r="E520" i="87"/>
  <c r="E522" i="87"/>
  <c r="D27" i="86" l="1"/>
  <c r="A120" i="86"/>
  <c r="E111" i="86"/>
  <c r="A126" i="86" s="1"/>
  <c r="E109" i="86"/>
  <c r="H109" i="86" s="1"/>
  <c r="D124" i="86" s="1"/>
  <c r="D125" i="86" s="1"/>
  <c r="E107" i="86"/>
  <c r="A122" i="86" s="1"/>
  <c r="H106" i="86"/>
  <c r="H105" i="86"/>
  <c r="H104" i="86"/>
  <c r="H103" i="86"/>
  <c r="D120" i="86" s="1"/>
  <c r="D101" i="86"/>
  <c r="C101" i="86"/>
  <c r="E90" i="86"/>
  <c r="D89" i="86"/>
  <c r="H77" i="86"/>
  <c r="D77" i="86"/>
  <c r="C76" i="86"/>
  <c r="F59" i="86"/>
  <c r="E59" i="86"/>
  <c r="D59" i="86"/>
  <c r="F56" i="86"/>
  <c r="O55" i="86"/>
  <c r="N55" i="86"/>
  <c r="M55" i="86"/>
  <c r="K55" i="86"/>
  <c r="J55" i="86"/>
  <c r="I55" i="86"/>
  <c r="F55" i="86"/>
  <c r="O53" i="86" s="1"/>
  <c r="O54" i="86"/>
  <c r="N54" i="86"/>
  <c r="N53" i="86"/>
  <c r="K49" i="86"/>
  <c r="E48" i="86"/>
  <c r="N52" i="86" s="1"/>
  <c r="F33" i="86"/>
  <c r="C25" i="86"/>
  <c r="C24" i="86"/>
  <c r="C17" i="86"/>
  <c r="D17" i="86"/>
  <c r="L4" i="86"/>
  <c r="K4" i="86"/>
  <c r="H1" i="86"/>
  <c r="U18" i="1"/>
  <c r="AH8" i="1"/>
  <c r="O25" i="78"/>
  <c r="L14" i="1"/>
  <c r="L8" i="1"/>
  <c r="A120" i="85"/>
  <c r="E111" i="85"/>
  <c r="A126" i="85" s="1"/>
  <c r="E109" i="85"/>
  <c r="H109" i="85" s="1"/>
  <c r="D124" i="85" s="1"/>
  <c r="D125" i="85" s="1"/>
  <c r="E107" i="85"/>
  <c r="A122" i="85" s="1"/>
  <c r="H106" i="85"/>
  <c r="H103" i="85" s="1"/>
  <c r="D120" i="85" s="1"/>
  <c r="H105" i="85"/>
  <c r="H104" i="85"/>
  <c r="D101" i="85"/>
  <c r="C101" i="85"/>
  <c r="C91" i="85"/>
  <c r="E90" i="85"/>
  <c r="D89" i="85"/>
  <c r="H77" i="85"/>
  <c r="D77" i="85"/>
  <c r="C76" i="85"/>
  <c r="F59" i="85"/>
  <c r="E59" i="85"/>
  <c r="D59" i="85"/>
  <c r="F56" i="85"/>
  <c r="O55" i="85"/>
  <c r="N55" i="85"/>
  <c r="M55" i="85"/>
  <c r="K55" i="85"/>
  <c r="J55" i="85"/>
  <c r="I55" i="85"/>
  <c r="F55" i="85"/>
  <c r="O53" i="85" s="1"/>
  <c r="O54" i="85"/>
  <c r="N54" i="85"/>
  <c r="N53" i="85"/>
  <c r="K49" i="85"/>
  <c r="E48" i="85"/>
  <c r="N52" i="85" s="1"/>
  <c r="F33" i="85"/>
  <c r="D27" i="85"/>
  <c r="C25" i="85"/>
  <c r="C24" i="85"/>
  <c r="C17" i="85"/>
  <c r="D17" i="85"/>
  <c r="L4" i="85"/>
  <c r="K4" i="85"/>
  <c r="H1" i="85"/>
  <c r="F38" i="84"/>
  <c r="E37" i="84"/>
  <c r="F36" i="84"/>
  <c r="F35" i="84"/>
  <c r="F21" i="84"/>
  <c r="F40" i="84" s="1"/>
  <c r="C21" i="84"/>
  <c r="F20" i="84"/>
  <c r="F39" i="84" s="1"/>
  <c r="C19" i="84"/>
  <c r="E10" i="84"/>
  <c r="E9" i="84"/>
  <c r="F7" i="84"/>
  <c r="C7" i="84" s="1"/>
  <c r="E2" i="84"/>
  <c r="A124" i="85" l="1"/>
  <c r="A124" i="86"/>
  <c r="C40" i="84"/>
  <c r="C18" i="86"/>
  <c r="D18" i="86" s="1"/>
  <c r="K120" i="86"/>
  <c r="D121" i="86"/>
  <c r="H110" i="86"/>
  <c r="C18" i="85"/>
  <c r="D18" i="85" s="1"/>
  <c r="K120" i="85"/>
  <c r="D121" i="85"/>
  <c r="H110" i="85"/>
  <c r="A120" i="83" l="1"/>
  <c r="E111" i="83"/>
  <c r="A126" i="83" s="1"/>
  <c r="E109" i="83"/>
  <c r="A124" i="83" s="1"/>
  <c r="E107" i="83"/>
  <c r="A122" i="83" s="1"/>
  <c r="H106" i="83"/>
  <c r="H103" i="83" s="1"/>
  <c r="D120" i="83" s="1"/>
  <c r="H105" i="83"/>
  <c r="H104" i="83"/>
  <c r="D101" i="83"/>
  <c r="C101" i="83"/>
  <c r="C91" i="83"/>
  <c r="E90" i="83"/>
  <c r="D89" i="83"/>
  <c r="H77" i="83"/>
  <c r="D77" i="83"/>
  <c r="C76" i="83"/>
  <c r="F59" i="83"/>
  <c r="E59" i="83"/>
  <c r="D59" i="83"/>
  <c r="F56" i="83"/>
  <c r="O55" i="83"/>
  <c r="N55" i="83"/>
  <c r="M55" i="83"/>
  <c r="K55" i="83"/>
  <c r="J55" i="83"/>
  <c r="I55" i="83"/>
  <c r="F55" i="83"/>
  <c r="O53" i="83" s="1"/>
  <c r="O54" i="83"/>
  <c r="N54" i="83"/>
  <c r="N53" i="83"/>
  <c r="K49" i="83"/>
  <c r="E48" i="83"/>
  <c r="N52" i="83" s="1"/>
  <c r="F33" i="83"/>
  <c r="D27" i="83"/>
  <c r="C25" i="83"/>
  <c r="C24" i="83"/>
  <c r="C17" i="83"/>
  <c r="D14" i="83"/>
  <c r="D17" i="83" s="1"/>
  <c r="L4" i="83"/>
  <c r="K4" i="83"/>
  <c r="H1" i="83"/>
  <c r="H109" i="83" l="1"/>
  <c r="D124" i="83" s="1"/>
  <c r="D125" i="83" s="1"/>
  <c r="C18" i="83"/>
  <c r="D18" i="83" s="1"/>
  <c r="K120" i="83"/>
  <c r="D121" i="83"/>
  <c r="H110" i="83"/>
  <c r="V4" i="80" l="1"/>
  <c r="W4" i="80" s="1"/>
  <c r="I46" i="39" s="1"/>
  <c r="G46" i="39"/>
  <c r="E46" i="39"/>
  <c r="I38" i="39"/>
  <c r="G38" i="39"/>
  <c r="E38" i="39"/>
  <c r="C11" i="39"/>
  <c r="I5" i="39"/>
  <c r="G5" i="39"/>
  <c r="E5" i="39"/>
  <c r="I7" i="39"/>
  <c r="G7" i="39"/>
  <c r="E7" i="39"/>
  <c r="D71" i="39"/>
  <c r="E71" i="39" s="1"/>
  <c r="F71" i="39" s="1"/>
  <c r="G71" i="39" s="1"/>
  <c r="H71" i="39" s="1"/>
  <c r="I71" i="39" s="1"/>
  <c r="J71" i="39" s="1"/>
  <c r="K71" i="39" s="1"/>
  <c r="L71" i="39" s="1"/>
  <c r="M71" i="39" s="1"/>
  <c r="G3" i="80"/>
  <c r="G11" i="39" s="1"/>
  <c r="G4" i="80"/>
  <c r="I11" i="39" s="1"/>
  <c r="G5" i="80"/>
  <c r="G6" i="80"/>
  <c r="G7" i="80"/>
  <c r="G8" i="80"/>
  <c r="G9" i="80"/>
  <c r="G10" i="80"/>
  <c r="G2" i="80"/>
  <c r="E11" i="39" s="1"/>
  <c r="Q72" i="82" l="1"/>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Y6" i="1"/>
  <c r="Y7" i="1" s="1"/>
  <c r="B21" i="1"/>
  <c r="N14" i="1"/>
  <c r="N8" i="1"/>
  <c r="N7" i="1"/>
  <c r="Q13" i="3"/>
  <c r="G21" i="6" s="1"/>
  <c r="B16" i="74" s="1"/>
  <c r="L33" i="78"/>
  <c r="K37" i="78"/>
  <c r="A3" i="3"/>
  <c r="C38" i="39" s="1"/>
  <c r="F56" i="78"/>
  <c r="M13" i="3" s="1"/>
  <c r="E22" i="78"/>
  <c r="B22" i="78"/>
  <c r="D50" i="78"/>
  <c r="D49" i="78"/>
  <c r="D51" i="78" s="1"/>
  <c r="B51" i="78"/>
  <c r="C51" i="78"/>
  <c r="A50" i="78"/>
  <c r="A51" i="78" s="1"/>
  <c r="F13" i="4"/>
  <c r="G13" i="4" s="1"/>
  <c r="D3" i="4"/>
  <c r="J28" i="78"/>
  <c r="K28" i="78"/>
  <c r="D36" i="78"/>
  <c r="L25" i="78"/>
  <c r="O33" i="78" l="1"/>
  <c r="L37" i="78"/>
  <c r="O37" i="78" s="1"/>
  <c r="C88" i="9"/>
  <c r="C88" i="86"/>
  <c r="C88" i="85"/>
  <c r="C88" i="83"/>
  <c r="Y8" i="1"/>
  <c r="D23" i="82"/>
  <c r="D22" i="82"/>
  <c r="D24" i="82"/>
  <c r="P61" i="82"/>
  <c r="D24" i="81"/>
  <c r="P61" i="81"/>
  <c r="D22" i="81"/>
  <c r="I13" i="3"/>
  <c r="F19" i="6" s="1"/>
  <c r="C27" i="78"/>
  <c r="B27" i="78"/>
  <c r="G27" i="78"/>
  <c r="F27" i="78"/>
  <c r="C89" i="83" l="1"/>
  <c r="C87" i="83" s="1"/>
  <c r="C89" i="86"/>
  <c r="C87" i="86" s="1"/>
  <c r="O13" i="3"/>
  <c r="G20" i="6" s="1"/>
  <c r="B15" i="74" s="1"/>
  <c r="P37" i="78"/>
  <c r="U7" i="1" s="1"/>
  <c r="C89" i="85"/>
  <c r="C87" i="85" s="1"/>
  <c r="C9" i="78"/>
  <c r="G14" i="73"/>
  <c r="F14" i="73"/>
  <c r="E14" i="73"/>
  <c r="C92" i="85" l="1"/>
  <c r="C94" i="85"/>
  <c r="C92" i="83"/>
  <c r="C94" i="83"/>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N65" i="71" s="1"/>
  <c r="F64" i="71"/>
  <c r="F63" i="71" s="1"/>
  <c r="Q63" i="71" s="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D56" i="71" s="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N35" i="71"/>
  <c r="X35" i="71" s="1"/>
  <c r="Q34" i="71"/>
  <c r="F35" i="71" s="1"/>
  <c r="P34" i="71"/>
  <c r="AA34" i="71" s="1"/>
  <c r="O34" i="71"/>
  <c r="N34" i="71"/>
  <c r="D34" i="71"/>
  <c r="Q33" i="71"/>
  <c r="P33" i="71"/>
  <c r="O33" i="71"/>
  <c r="N33" i="71"/>
  <c r="Q32" i="71"/>
  <c r="AB32" i="71" s="1"/>
  <c r="P32" i="71"/>
  <c r="O32" i="71"/>
  <c r="N32" i="71"/>
  <c r="Q31" i="71"/>
  <c r="P31" i="71"/>
  <c r="AA31" i="71" s="1"/>
  <c r="O31" i="71"/>
  <c r="N31" i="71"/>
  <c r="Q30" i="71"/>
  <c r="F31" i="71" s="1"/>
  <c r="F32" i="71" s="1"/>
  <c r="P30" i="71"/>
  <c r="E31" i="71" s="1"/>
  <c r="O30" i="71"/>
  <c r="N30" i="71"/>
  <c r="X30" i="71" s="1"/>
  <c r="D30" i="71"/>
  <c r="Q29" i="71"/>
  <c r="P29" i="71"/>
  <c r="O29" i="71"/>
  <c r="N29" i="71"/>
  <c r="Q28" i="71"/>
  <c r="P28" i="71"/>
  <c r="O28" i="71"/>
  <c r="N28" i="71"/>
  <c r="Q27" i="71"/>
  <c r="AB25" i="71" s="1"/>
  <c r="P27" i="71"/>
  <c r="O27" i="71"/>
  <c r="Y27" i="71" s="1"/>
  <c r="Z27" i="71" s="1"/>
  <c r="N27" i="71"/>
  <c r="Q26" i="71"/>
  <c r="P26" i="71"/>
  <c r="O26" i="71"/>
  <c r="C27" i="71" s="1"/>
  <c r="D27" i="71" s="1"/>
  <c r="N26" i="71"/>
  <c r="D26" i="71"/>
  <c r="O25" i="71"/>
  <c r="Y23" i="71" s="1"/>
  <c r="Z23" i="71" s="1"/>
  <c r="N25" i="71"/>
  <c r="B27" i="71"/>
  <c r="B28" i="71" s="1"/>
  <c r="B29" i="71" s="1"/>
  <c r="S29" i="71" s="1"/>
  <c r="B31" i="71"/>
  <c r="B32" i="71" s="1"/>
  <c r="E35" i="71"/>
  <c r="E36" i="71" s="1"/>
  <c r="E37" i="71" s="1"/>
  <c r="U37" i="71" s="1"/>
  <c r="AA30" i="71"/>
  <c r="X28" i="71"/>
  <c r="C31" i="71"/>
  <c r="C32" i="71" s="1"/>
  <c r="D32" i="71" s="1"/>
  <c r="AB30" i="71"/>
  <c r="AA32" i="71"/>
  <c r="C35" i="71"/>
  <c r="D35" i="71" s="1"/>
  <c r="AB34" i="71"/>
  <c r="AA35" i="71"/>
  <c r="C25" i="71"/>
  <c r="C24" i="71" s="1"/>
  <c r="C23" i="71" s="1"/>
  <c r="D23" i="71" s="1"/>
  <c r="X22" i="71"/>
  <c r="P25" i="71"/>
  <c r="E56" i="71"/>
  <c r="E57" i="71" s="1"/>
  <c r="U57" i="71" s="1"/>
  <c r="Q62" i="71"/>
  <c r="U65" i="71"/>
  <c r="E64" i="71"/>
  <c r="P64" i="71" s="1"/>
  <c r="Q25" i="71"/>
  <c r="C52" i="71"/>
  <c r="C53" i="71" s="1"/>
  <c r="D51" i="71"/>
  <c r="D55" i="71"/>
  <c r="Q64" i="71"/>
  <c r="T65" i="71"/>
  <c r="O65" i="71"/>
  <c r="D65" i="71"/>
  <c r="C64" i="71"/>
  <c r="Q65" i="71"/>
  <c r="E68" i="71"/>
  <c r="E67" i="71" s="1"/>
  <c r="C72" i="71"/>
  <c r="C71" i="71" s="1"/>
  <c r="D71" i="71" s="1"/>
  <c r="E72" i="71"/>
  <c r="E71" i="71" s="1"/>
  <c r="D73" i="71"/>
  <c r="E76" i="71"/>
  <c r="E75" i="71" s="1"/>
  <c r="C80" i="71"/>
  <c r="D80" i="71" s="1"/>
  <c r="F25" i="71"/>
  <c r="F24" i="71" s="1"/>
  <c r="F23" i="71" s="1"/>
  <c r="AA22" i="71"/>
  <c r="C63" i="71"/>
  <c r="D63" i="71" s="1"/>
  <c r="O64" i="71"/>
  <c r="D64" i="71"/>
  <c r="C79" i="71"/>
  <c r="D79" i="71" s="1"/>
  <c r="C57" i="71"/>
  <c r="T57" i="71" s="1"/>
  <c r="D52" i="71"/>
  <c r="E63" i="71"/>
  <c r="P62" i="71" s="1"/>
  <c r="O6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F94" i="40"/>
  <c r="H25" i="40"/>
  <c r="G94" i="40"/>
  <c r="J25" i="40"/>
  <c r="H29" i="39"/>
  <c r="U29" i="39" s="1"/>
  <c r="J29" i="39"/>
  <c r="AC29" i="39" s="1"/>
  <c r="J18" i="36"/>
  <c r="AC18" i="36" s="1"/>
  <c r="F68" i="35"/>
  <c r="G68" i="35" s="1"/>
  <c r="H18" i="35"/>
  <c r="AB18" i="35" s="1"/>
  <c r="S18" i="35"/>
  <c r="J18" i="35"/>
  <c r="AC18" i="35" s="1"/>
  <c r="H21" i="37"/>
  <c r="U21" i="37" s="1"/>
  <c r="F21" i="37"/>
  <c r="AA21" i="37" s="1"/>
  <c r="H21" i="34"/>
  <c r="AB21" i="34" s="1"/>
  <c r="F83" i="33"/>
  <c r="G83" i="33" s="1"/>
  <c r="H21" i="33"/>
  <c r="U21" i="33" s="1"/>
  <c r="F21" i="33"/>
  <c r="S21" i="33" s="1"/>
  <c r="E83" i="21"/>
  <c r="F83" i="21" s="1"/>
  <c r="G83" i="21" s="1"/>
  <c r="S21" i="21"/>
  <c r="H1" i="69"/>
  <c r="AC25" i="40"/>
  <c r="W25" i="40"/>
  <c r="AB25" i="40"/>
  <c r="U25" i="40"/>
  <c r="AB29" i="39"/>
  <c r="W29" i="39"/>
  <c r="W18" i="36"/>
  <c r="AB21" i="37"/>
  <c r="S21" i="37"/>
  <c r="AB21" i="33"/>
  <c r="AA21" i="33"/>
  <c r="U18" i="35"/>
  <c r="W18" i="35"/>
  <c r="J21" i="37"/>
  <c r="AC21" i="37" s="1"/>
  <c r="J21" i="34"/>
  <c r="AC21" i="34" s="1"/>
  <c r="J21" i="33"/>
  <c r="AC21" i="33" s="1"/>
  <c r="H21" i="21"/>
  <c r="AB21" i="21" s="1"/>
  <c r="F38" i="69"/>
  <c r="E37" i="69"/>
  <c r="F36" i="69"/>
  <c r="F35" i="69"/>
  <c r="F21" i="69"/>
  <c r="F40" i="69" s="1"/>
  <c r="F20" i="69"/>
  <c r="F39" i="69" s="1"/>
  <c r="E10" i="69"/>
  <c r="E9" i="69"/>
  <c r="C7" i="69"/>
  <c r="W21" i="33"/>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F10" i="1"/>
  <c r="F11" i="1"/>
  <c r="F12" i="1"/>
  <c r="F13" i="1"/>
  <c r="D6" i="1"/>
  <c r="D9" i="1"/>
  <c r="D10" i="1"/>
  <c r="D11" i="1"/>
  <c r="D12" i="1"/>
  <c r="D13" i="1"/>
  <c r="D7" i="1"/>
  <c r="D8" i="1"/>
  <c r="A7" i="1"/>
  <c r="B7" i="1" s="1"/>
  <c r="E7" i="1" s="1"/>
  <c r="A8" i="1"/>
  <c r="B8" i="1" s="1"/>
  <c r="E8" i="1" s="1"/>
  <c r="A9" i="1"/>
  <c r="K9" i="1" s="1"/>
  <c r="M9" i="1" s="1"/>
  <c r="O9" i="1" s="1"/>
  <c r="P9" i="1" s="1"/>
  <c r="A10" i="1"/>
  <c r="A11" i="1"/>
  <c r="B11" i="1" s="1"/>
  <c r="A12" i="1"/>
  <c r="A13" i="1"/>
  <c r="K13" i="1" s="1"/>
  <c r="M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R519" i="31"/>
  <c r="S519" i="31" s="1"/>
  <c r="R520" i="31"/>
  <c r="R521" i="31"/>
  <c r="S521" i="31" s="1"/>
  <c r="R522" i="31"/>
  <c r="R523" i="31"/>
  <c r="S523" i="31" s="1"/>
  <c r="R524" i="31"/>
  <c r="R25" i="31"/>
  <c r="S25"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F34" i="84"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M18" i="83" s="1"/>
  <c r="B118" i="83" s="1"/>
  <c r="B5" i="88" s="1"/>
  <c r="E21" i="6"/>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E19" i="84"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2" i="31"/>
  <c r="S398" i="31"/>
  <c r="S394" i="31"/>
  <c r="S382" i="31"/>
  <c r="S370" i="31"/>
  <c r="S366" i="31"/>
  <c r="S352" i="31"/>
  <c r="S346" i="31"/>
  <c r="S336" i="31"/>
  <c r="S332" i="31"/>
  <c r="S322" i="31"/>
  <c r="S312" i="31"/>
  <c r="S306" i="31"/>
  <c r="S302" i="31"/>
  <c r="S296" i="31"/>
  <c r="S290" i="31"/>
  <c r="S286" i="31"/>
  <c r="S280" i="31"/>
  <c r="S276" i="31"/>
  <c r="S274" i="31"/>
  <c r="S272" i="31"/>
  <c r="S270" i="31"/>
  <c r="S268" i="31"/>
  <c r="S264" i="31"/>
  <c r="S258" i="31"/>
  <c r="S254" i="31"/>
  <c r="S252" i="31"/>
  <c r="S250" i="31"/>
  <c r="S248" i="31"/>
  <c r="S246" i="31"/>
  <c r="S244" i="31"/>
  <c r="S242" i="31"/>
  <c r="S240" i="31"/>
  <c r="S238" i="31"/>
  <c r="S236" i="31"/>
  <c r="S234" i="31"/>
  <c r="S232" i="31"/>
  <c r="S230" i="31"/>
  <c r="S228" i="31"/>
  <c r="S226" i="31"/>
  <c r="S224" i="31"/>
  <c r="S427" i="31"/>
  <c r="S220" i="31"/>
  <c r="S216" i="31"/>
  <c r="S212" i="31"/>
  <c r="S208" i="31"/>
  <c r="S204" i="31"/>
  <c r="S200" i="31"/>
  <c r="S196" i="31"/>
  <c r="S192" i="31"/>
  <c r="S188" i="31"/>
  <c r="S184" i="31"/>
  <c r="S180"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2" i="31"/>
  <c r="S490" i="31"/>
  <c r="S488" i="31"/>
  <c r="S486" i="31"/>
  <c r="S484" i="31"/>
  <c r="S482" i="31"/>
  <c r="S480" i="31"/>
  <c r="S478" i="31"/>
  <c r="S476" i="31"/>
  <c r="S474" i="31"/>
  <c r="S472" i="31"/>
  <c r="S470" i="31"/>
  <c r="S468" i="31"/>
  <c r="S435" i="31"/>
  <c r="S122" i="31"/>
  <c r="S120" i="31"/>
  <c r="S118" i="31"/>
  <c r="S116" i="31"/>
  <c r="S114" i="31"/>
  <c r="S112" i="31"/>
  <c r="S504" i="31"/>
  <c r="S467"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8" i="31"/>
  <c r="S110" i="31"/>
  <c r="S446" i="31"/>
  <c r="S448"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W28" i="35"/>
  <c r="U31" i="35"/>
  <c r="W22" i="35"/>
  <c r="S31" i="35"/>
  <c r="F36" i="34"/>
  <c r="S36" i="34" s="1"/>
  <c r="J35" i="34"/>
  <c r="W35" i="34" s="1"/>
  <c r="H39" i="33"/>
  <c r="AB39" i="33" s="1"/>
  <c r="U33" i="33"/>
  <c r="U35" i="33"/>
  <c r="S40" i="33"/>
  <c r="W33" i="33"/>
  <c r="W39" i="33"/>
  <c r="H39" i="37"/>
  <c r="AB39" i="37"/>
  <c r="F11" i="40"/>
  <c r="AA11" i="40" s="1"/>
  <c r="H11" i="40"/>
  <c r="AB11" i="40" s="1"/>
  <c r="W8" i="40"/>
  <c r="AB39" i="40"/>
  <c r="AC40" i="40"/>
  <c r="AA9" i="40"/>
  <c r="AC9" i="40"/>
  <c r="U9" i="40"/>
  <c r="S34" i="40"/>
  <c r="S40" i="40"/>
  <c r="W31" i="40"/>
  <c r="U34" i="40"/>
  <c r="F42" i="39"/>
  <c r="AA42" i="39" s="1"/>
  <c r="F41" i="39"/>
  <c r="S41" i="39" s="1"/>
  <c r="H40" i="39"/>
  <c r="AB40" i="39" s="1"/>
  <c r="H39" i="39"/>
  <c r="U39" i="39" s="1"/>
  <c r="E109" i="39"/>
  <c r="F109" i="39" s="1"/>
  <c r="G109" i="39" s="1"/>
  <c r="H31" i="39"/>
  <c r="AB31" i="39" s="1"/>
  <c r="F31" i="39"/>
  <c r="AA31" i="39" s="1"/>
  <c r="E101" i="39"/>
  <c r="F101" i="39" s="1"/>
  <c r="H19" i="39"/>
  <c r="AB19" i="39" s="1"/>
  <c r="F19" i="39"/>
  <c r="AA19" i="39" s="1"/>
  <c r="H17" i="39"/>
  <c r="AB17" i="39" s="1"/>
  <c r="F17" i="39"/>
  <c r="AA17" i="39" s="1"/>
  <c r="J23" i="40"/>
  <c r="AC23" i="40"/>
  <c r="F21" i="40"/>
  <c r="AA21" i="40"/>
  <c r="J21" i="40"/>
  <c r="W21" i="40"/>
  <c r="H42" i="39"/>
  <c r="AB42" i="39" s="1"/>
  <c r="J31" i="39"/>
  <c r="J19" i="39"/>
  <c r="AC19" i="39" s="1"/>
  <c r="J17" i="39"/>
  <c r="J27" i="39"/>
  <c r="AC27" i="39" s="1"/>
  <c r="F11" i="21"/>
  <c r="S11" i="21" s="1"/>
  <c r="S40" i="21"/>
  <c r="U34" i="21"/>
  <c r="C25"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W32" i="40"/>
  <c r="S44" i="39"/>
  <c r="F37" i="39"/>
  <c r="AA37" i="39" s="1"/>
  <c r="J34" i="36"/>
  <c r="W34" i="36" s="1"/>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c r="F25" i="34"/>
  <c r="S25" i="34"/>
  <c r="H23" i="34"/>
  <c r="U23" i="34" s="1"/>
  <c r="J23" i="34"/>
  <c r="H17" i="34"/>
  <c r="U17" i="34" s="1"/>
  <c r="F15" i="34"/>
  <c r="S15" i="34" s="1"/>
  <c r="J15" i="34"/>
  <c r="AC15" i="34" s="1"/>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AB14" i="40" s="1"/>
  <c r="J14" i="40"/>
  <c r="W14" i="40" s="1"/>
  <c r="F14" i="40"/>
  <c r="AA14" i="40" s="1"/>
  <c r="J14" i="37"/>
  <c r="AC14" i="37" s="1"/>
  <c r="J27" i="37"/>
  <c r="AC27" i="37" s="1"/>
  <c r="AA44" i="33"/>
  <c r="U31" i="34"/>
  <c r="U46" i="33"/>
  <c r="J36" i="37"/>
  <c r="AC36" i="37" s="1"/>
  <c r="G105" i="37"/>
  <c r="AB11" i="35"/>
  <c r="J10" i="36"/>
  <c r="AC10" i="36" s="1"/>
  <c r="AB26" i="33"/>
  <c r="AB30" i="21"/>
  <c r="AA14" i="37"/>
  <c r="W13"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s="1"/>
  <c r="I107" i="37" s="1"/>
  <c r="J107" i="37" s="1"/>
  <c r="K107" i="37" s="1"/>
  <c r="L107" i="37" s="1"/>
  <c r="M107" i="37" s="1"/>
  <c r="H37" i="21"/>
  <c r="U37" i="21" s="1"/>
  <c r="S42" i="2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41" i="39" s="1"/>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G117" i="3"/>
  <c r="BA119" i="3"/>
  <c r="BL120" i="3"/>
  <c r="G121" i="3"/>
  <c r="BA123" i="3"/>
  <c r="BL124" i="3"/>
  <c r="G125" i="3"/>
  <c r="BA127" i="3"/>
  <c r="AZ127" i="3"/>
  <c r="BL128" i="3"/>
  <c r="G129" i="3"/>
  <c r="BA131" i="3"/>
  <c r="AZ131" i="3"/>
  <c r="BL132" i="3"/>
  <c r="G133" i="3"/>
  <c r="BA135" i="3"/>
  <c r="AZ135" i="3" s="1"/>
  <c r="BL136" i="3"/>
  <c r="G137" i="3"/>
  <c r="BA139" i="3"/>
  <c r="AZ139" i="3" s="1"/>
  <c r="BL140" i="3"/>
  <c r="G141" i="3"/>
  <c r="BA143" i="3"/>
  <c r="AZ143" i="3" s="1"/>
  <c r="BL144" i="3"/>
  <c r="G145" i="3"/>
  <c r="BA147" i="3"/>
  <c r="BL148" i="3"/>
  <c r="G149" i="3"/>
  <c r="BA151" i="3"/>
  <c r="AZ151" i="3" s="1"/>
  <c r="BL152" i="3"/>
  <c r="G153" i="3"/>
  <c r="BA155" i="3"/>
  <c r="AZ155" i="3" s="1"/>
  <c r="BL156" i="3"/>
  <c r="G157" i="3"/>
  <c r="BA159" i="3"/>
  <c r="AZ159" i="3"/>
  <c r="BL160" i="3"/>
  <c r="G161" i="3"/>
  <c r="BA163" i="3"/>
  <c r="AZ163" i="3"/>
  <c r="BL164" i="3"/>
  <c r="G165" i="3"/>
  <c r="BA167" i="3"/>
  <c r="AZ167" i="3" s="1"/>
  <c r="BL168" i="3"/>
  <c r="G169" i="3"/>
  <c r="BA171" i="3"/>
  <c r="AZ171" i="3" s="1"/>
  <c r="BL172" i="3"/>
  <c r="AZ172" i="3" s="1"/>
  <c r="G173" i="3"/>
  <c r="BA175" i="3"/>
  <c r="BL176" i="3"/>
  <c r="G177" i="3"/>
  <c r="BA179" i="3"/>
  <c r="BL180" i="3"/>
  <c r="AZ180" i="3" s="1"/>
  <c r="G181" i="3"/>
  <c r="BA183" i="3"/>
  <c r="BL184" i="3"/>
  <c r="G185" i="3"/>
  <c r="BA187" i="3"/>
  <c r="AZ187" i="3" s="1"/>
  <c r="BL188" i="3"/>
  <c r="G189" i="3"/>
  <c r="BA191" i="3"/>
  <c r="BL192" i="3"/>
  <c r="G193" i="3"/>
  <c r="BA195" i="3"/>
  <c r="AZ195" i="3" s="1"/>
  <c r="BL196" i="3"/>
  <c r="AZ196" i="3" s="1"/>
  <c r="G197" i="3"/>
  <c r="BA199" i="3"/>
  <c r="AZ199" i="3" s="1"/>
  <c r="BL200" i="3"/>
  <c r="G201" i="3"/>
  <c r="BA203" i="3"/>
  <c r="BL204" i="3"/>
  <c r="AZ51" i="3"/>
  <c r="AZ55" i="3"/>
  <c r="AZ144" i="3"/>
  <c r="AZ176" i="3"/>
  <c r="AZ200" i="3"/>
  <c r="AZ97"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42" i="3"/>
  <c r="AZ170" i="3"/>
  <c r="AZ194" i="3"/>
  <c r="AZ198" i="3"/>
  <c r="AZ500" i="3"/>
  <c r="BA16" i="3"/>
  <c r="BL303" i="3"/>
  <c r="AZ303" i="3" s="1"/>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BL327" i="3"/>
  <c r="G328" i="3"/>
  <c r="BA330" i="3"/>
  <c r="AZ330" i="3" s="1"/>
  <c r="BL331" i="3"/>
  <c r="G332" i="3"/>
  <c r="BA334" i="3"/>
  <c r="BL335" i="3"/>
  <c r="G336" i="3"/>
  <c r="BA338" i="3"/>
  <c r="AZ338" i="3" s="1"/>
  <c r="BL339" i="3"/>
  <c r="AZ339" i="3" s="1"/>
  <c r="G340" i="3"/>
  <c r="BL343" i="3"/>
  <c r="G344" i="3"/>
  <c r="G348" i="3"/>
  <c r="G355" i="3"/>
  <c r="AZ209" i="3"/>
  <c r="AZ335" i="3"/>
  <c r="G342" i="3"/>
  <c r="BL345" i="3"/>
  <c r="AZ345" i="3" s="1"/>
  <c r="G346" i="3"/>
  <c r="BL349" i="3"/>
  <c r="BL352" i="3"/>
  <c r="G353" i="3"/>
  <c r="BA357" i="3"/>
  <c r="BL358" i="3"/>
  <c r="AZ358" i="3" s="1"/>
  <c r="G359" i="3"/>
  <c r="BA361" i="3"/>
  <c r="AZ361" i="3" s="1"/>
  <c r="BL362" i="3"/>
  <c r="G363" i="3"/>
  <c r="BA365" i="3"/>
  <c r="AZ365" i="3" s="1"/>
  <c r="BL366" i="3"/>
  <c r="AZ366" i="3" s="1"/>
  <c r="G367" i="3"/>
  <c r="BA369" i="3"/>
  <c r="AZ369" i="3" s="1"/>
  <c r="BL370" i="3"/>
  <c r="G371" i="3"/>
  <c r="BA373" i="3"/>
  <c r="BL374" i="3"/>
  <c r="AZ374" i="3" s="1"/>
  <c r="G375" i="3"/>
  <c r="BA377" i="3"/>
  <c r="AZ377" i="3" s="1"/>
  <c r="AZ237" i="3"/>
  <c r="AZ249" i="3"/>
  <c r="AZ253" i="3"/>
  <c r="AZ269" i="3"/>
  <c r="AZ273" i="3"/>
  <c r="BA379" i="3"/>
  <c r="AZ379" i="3" s="1"/>
  <c r="BL380" i="3"/>
  <c r="G381" i="3"/>
  <c r="BA383" i="3"/>
  <c r="BL384" i="3"/>
  <c r="G385" i="3"/>
  <c r="BA387" i="3"/>
  <c r="AZ387" i="3" s="1"/>
  <c r="BL388" i="3"/>
  <c r="G389" i="3"/>
  <c r="BA391" i="3"/>
  <c r="AZ391" i="3" s="1"/>
  <c r="BL392" i="3"/>
  <c r="G393" i="3"/>
  <c r="AZ275" i="3"/>
  <c r="BO5" i="3"/>
  <c r="BM5" i="3"/>
  <c r="BJ5" i="3"/>
  <c r="BH5" i="3"/>
  <c r="BF5" i="3"/>
  <c r="BD5" i="3"/>
  <c r="AZ549" i="3"/>
  <c r="AZ506" i="3"/>
  <c r="AZ496" i="3"/>
  <c r="G548" i="3"/>
  <c r="G538" i="3"/>
  <c r="G520" i="3"/>
  <c r="G502" i="3"/>
  <c r="BS5" i="3"/>
  <c r="BP5" i="3"/>
  <c r="BN5" i="3"/>
  <c r="AZ343" i="3"/>
  <c r="BK5" i="3"/>
  <c r="BI5" i="3"/>
  <c r="BG5" i="3"/>
  <c r="BC5" i="3"/>
  <c r="G17" i="3"/>
  <c r="BA17" i="3"/>
  <c r="BT5" i="3"/>
  <c r="AZ352" i="3"/>
  <c r="AZ360" i="3"/>
  <c r="AZ368" i="3"/>
  <c r="BA15" i="3"/>
  <c r="BR5" i="3"/>
  <c r="AZ380" i="3"/>
  <c r="AZ396" i="3"/>
  <c r="AZ509" i="3"/>
  <c r="G509" i="3"/>
  <c r="BL493" i="3"/>
  <c r="AZ493" i="3" s="1"/>
  <c r="AZ390" i="3"/>
  <c r="U36" i="40"/>
  <c r="F36" i="43"/>
  <c r="F81" i="43"/>
  <c r="H83" i="43"/>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23" i="3"/>
  <c r="AZ227" i="3"/>
  <c r="AZ248" i="3"/>
  <c r="AZ271" i="3"/>
  <c r="AZ133" i="3"/>
  <c r="AZ21" i="3"/>
  <c r="AZ53" i="3"/>
  <c r="AZ58" i="3"/>
  <c r="AZ94"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AE9" i="1"/>
  <c r="D93" i="9"/>
  <c r="AC26" i="33"/>
  <c r="W26" i="33"/>
  <c r="AB34" i="36"/>
  <c r="U34" i="36"/>
  <c r="AB33" i="36"/>
  <c r="U33" i="36"/>
  <c r="AC39" i="40"/>
  <c r="W39" i="40"/>
  <c r="W12" i="33"/>
  <c r="AC12" i="33"/>
  <c r="AA32" i="36"/>
  <c r="S32" i="36"/>
  <c r="AZ437" i="3"/>
  <c r="AZ441" i="3"/>
  <c r="AA39" i="34"/>
  <c r="BL14" i="3"/>
  <c r="U30" i="33"/>
  <c r="AC13" i="34"/>
  <c r="AA47" i="34"/>
  <c r="W28" i="37"/>
  <c r="F12" i="33"/>
  <c r="H12" i="39"/>
  <c r="AB12" i="39" s="1"/>
  <c r="F39" i="40"/>
  <c r="AZ165" i="3"/>
  <c r="S12" i="1"/>
  <c r="AQ12" i="1" s="1"/>
  <c r="R12" i="1"/>
  <c r="B12" i="1"/>
  <c r="E12" i="1" s="1"/>
  <c r="S10" i="1"/>
  <c r="R10" i="1"/>
  <c r="B10" i="1"/>
  <c r="E10" i="1"/>
  <c r="K12" i="1"/>
  <c r="M12" i="1" s="1"/>
  <c r="S13" i="1"/>
  <c r="R13" i="1"/>
  <c r="S11" i="1"/>
  <c r="R11" i="1"/>
  <c r="J51" i="67"/>
  <c r="C42" i="1"/>
  <c r="H100" i="43"/>
  <c r="AC34" i="33"/>
  <c r="B41" i="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U25" i="39"/>
  <c r="U31" i="39"/>
  <c r="S25" i="39"/>
  <c r="J21" i="39"/>
  <c r="F21" i="39"/>
  <c r="AA21" i="39" s="1"/>
  <c r="H21" i="39"/>
  <c r="U21" i="39" s="1"/>
  <c r="U19" i="39"/>
  <c r="S17" i="39"/>
  <c r="AC15" i="39"/>
  <c r="S15" i="39"/>
  <c r="AB15" i="39"/>
  <c r="AA12" i="39"/>
  <c r="S9" i="39"/>
  <c r="U14" i="39"/>
  <c r="AC13" i="39"/>
  <c r="U13" i="36"/>
  <c r="AC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W41" i="34"/>
  <c r="AC42" i="34"/>
  <c r="AB35" i="34"/>
  <c r="U39" i="34"/>
  <c r="S43" i="34"/>
  <c r="AB41" i="34"/>
  <c r="AA45" i="34"/>
  <c r="W34" i="34"/>
  <c r="AA25" i="34"/>
  <c r="U28" i="34"/>
  <c r="AA29" i="34"/>
  <c r="S23" i="34"/>
  <c r="U15" i="34"/>
  <c r="S13" i="34"/>
  <c r="H10" i="34"/>
  <c r="AB10"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c r="G13" i="3"/>
  <c r="BL17" i="3"/>
  <c r="AZ17" i="3" s="1"/>
  <c r="BL13" i="3"/>
  <c r="J56" i="9"/>
  <c r="J57" i="9" s="1"/>
  <c r="J59" i="9" s="1"/>
  <c r="J61" i="9" s="1"/>
  <c r="U29" i="34"/>
  <c r="E5" i="6"/>
  <c r="D9" i="69" s="1"/>
  <c r="C9" i="69" s="1"/>
  <c r="E32" i="6"/>
  <c r="L19" i="6"/>
  <c r="G1" i="68"/>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s="1"/>
  <c r="K11" i="1"/>
  <c r="M11" i="1" s="1"/>
  <c r="AP6" i="1"/>
  <c r="G1" i="15"/>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W25" i="39"/>
  <c r="AC25" i="39"/>
  <c r="AB13" i="39"/>
  <c r="AA13" i="39"/>
  <c r="S13" i="39"/>
  <c r="S14" i="39"/>
  <c r="AA14" i="39"/>
  <c r="U43" i="39"/>
  <c r="AB43" i="39"/>
  <c r="AB11" i="39"/>
  <c r="W17" i="39"/>
  <c r="AC17" i="39"/>
  <c r="W31" i="39"/>
  <c r="AC31" i="39"/>
  <c r="S23" i="39"/>
  <c r="AA45" i="39"/>
  <c r="AB39"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33" i="34"/>
  <c r="AC45" i="34"/>
  <c r="AA31" i="34"/>
  <c r="AA30" i="34"/>
  <c r="AB45" i="34"/>
  <c r="AB47" i="34"/>
  <c r="U25" i="34"/>
  <c r="W33" i="34"/>
  <c r="AC14" i="34"/>
  <c r="AC32" i="34"/>
  <c r="AC29" i="34"/>
  <c r="W29" i="34"/>
  <c r="W46" i="34"/>
  <c r="AC46" i="34"/>
  <c r="S32" i="34"/>
  <c r="AA32" i="34"/>
  <c r="U30" i="34"/>
  <c r="AB30" i="34"/>
  <c r="W40" i="34"/>
  <c r="AA8" i="34"/>
  <c r="S8"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D23" i="15"/>
  <c r="D22" i="15"/>
  <c r="E4" i="4"/>
  <c r="B5" i="62" s="1"/>
  <c r="B73" i="72" s="1"/>
  <c r="C4" i="4"/>
  <c r="F30" i="68"/>
  <c r="F48" i="68" s="1"/>
  <c r="F30" i="11"/>
  <c r="C48" i="11" s="1"/>
  <c r="F28" i="67"/>
  <c r="F31" i="12"/>
  <c r="F52" i="9"/>
  <c r="M18" i="67"/>
  <c r="F32" i="67"/>
  <c r="F60" i="67" s="1"/>
  <c r="F30" i="69"/>
  <c r="F48" i="69" s="1"/>
  <c r="F32" i="15"/>
  <c r="F60" i="15" s="1"/>
  <c r="M18" i="15"/>
  <c r="F28" i="15"/>
  <c r="C28" i="15" s="1"/>
  <c r="AA39" i="40"/>
  <c r="S39" i="40"/>
  <c r="S12" i="33"/>
  <c r="AA12" i="33"/>
  <c r="D68" i="9"/>
  <c r="F54" i="9"/>
  <c r="J32" i="39"/>
  <c r="W32" i="39" s="1"/>
  <c r="H32" i="39"/>
  <c r="AA32"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F11" i="34" s="1"/>
  <c r="S11" i="34" s="1"/>
  <c r="H11" i="34"/>
  <c r="AB11" i="34" s="1"/>
  <c r="J10" i="34"/>
  <c r="AC10" i="34" s="1"/>
  <c r="AB41" i="33"/>
  <c r="U41" i="33"/>
  <c r="W35" i="33"/>
  <c r="AC35" i="33"/>
  <c r="H111" i="33"/>
  <c r="I111" i="33" s="1"/>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U19" i="33" s="1"/>
  <c r="G81" i="33"/>
  <c r="G79" i="33"/>
  <c r="H17" i="33"/>
  <c r="F17" i="33"/>
  <c r="S17" i="33" s="1"/>
  <c r="W17" i="33"/>
  <c r="AC17" i="33"/>
  <c r="U10" i="33"/>
  <c r="AB10" i="33"/>
  <c r="AC10" i="33"/>
  <c r="W10" i="33"/>
  <c r="U33" i="21"/>
  <c r="S37" i="21"/>
  <c r="AA23" i="21"/>
  <c r="AB15" i="21"/>
  <c r="J23" i="21"/>
  <c r="W23" i="21" s="1"/>
  <c r="F85" i="21"/>
  <c r="G85" i="21" s="1"/>
  <c r="H23" i="21"/>
  <c r="AB23" i="21" s="1"/>
  <c r="AP7" i="1"/>
  <c r="AC33" i="21"/>
  <c r="W33" i="21"/>
  <c r="S33" i="21"/>
  <c r="W32" i="21"/>
  <c r="AB9" i="21"/>
  <c r="AA32" i="21"/>
  <c r="S32" i="21"/>
  <c r="W9" i="21"/>
  <c r="AC9" i="21"/>
  <c r="AB32" i="21"/>
  <c r="U32" i="21"/>
  <c r="AA10" i="21"/>
  <c r="C30" i="11"/>
  <c r="U32" i="39"/>
  <c r="AB32" i="39"/>
  <c r="AC19" i="37"/>
  <c r="W23" i="37"/>
  <c r="AC23" i="37"/>
  <c r="U11" i="37"/>
  <c r="H63" i="37"/>
  <c r="I63" i="37"/>
  <c r="J63" i="37" s="1"/>
  <c r="K63" i="37" s="1"/>
  <c r="L63" i="37" s="1"/>
  <c r="M63" i="37" s="1"/>
  <c r="J11" i="37"/>
  <c r="W10" i="37"/>
  <c r="AC10" i="37"/>
  <c r="W10" i="34"/>
  <c r="H70" i="34"/>
  <c r="I70" i="34" s="1"/>
  <c r="J70" i="34" s="1"/>
  <c r="K70" i="34" s="1"/>
  <c r="L70" i="34" s="1"/>
  <c r="M70" i="34" s="1"/>
  <c r="J11" i="34"/>
  <c r="W11" i="34" s="1"/>
  <c r="AC36" i="33"/>
  <c r="W36" i="33"/>
  <c r="AB36" i="33"/>
  <c r="AC27" i="33"/>
  <c r="AC25" i="33"/>
  <c r="AA23" i="33"/>
  <c r="S23" i="33"/>
  <c r="AA17" i="33"/>
  <c r="U17" i="33"/>
  <c r="AB17" i="33"/>
  <c r="AC23" i="21"/>
  <c r="AC11" i="37"/>
  <c r="W11" i="37"/>
  <c r="F34" i="11"/>
  <c r="F11" i="12"/>
  <c r="C23" i="12" s="1"/>
  <c r="F34" i="68"/>
  <c r="AG6" i="1"/>
  <c r="H109" i="9"/>
  <c r="H110" i="9" s="1"/>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C20" i="43" s="1"/>
  <c r="I59" i="34"/>
  <c r="J59" i="34" s="1"/>
  <c r="F43" i="15"/>
  <c r="E9" i="76"/>
  <c r="D2" i="35"/>
  <c r="M8" i="67"/>
  <c r="M26" i="15"/>
  <c r="M22" i="15"/>
  <c r="AO9" i="1"/>
  <c r="F3" i="73"/>
  <c r="F4" i="73"/>
  <c r="AO13" i="1"/>
  <c r="F26" i="15"/>
  <c r="M22" i="67"/>
  <c r="AO10" i="1"/>
  <c r="F9" i="15"/>
  <c r="F37" i="67"/>
  <c r="F36" i="67"/>
  <c r="M24" i="15"/>
  <c r="F26" i="67"/>
  <c r="F7" i="15"/>
  <c r="F38" i="15"/>
  <c r="C76" i="67"/>
  <c r="F37" i="15"/>
  <c r="B9" i="76"/>
  <c r="M29" i="15"/>
  <c r="F6" i="15"/>
  <c r="F8" i="67"/>
  <c r="F36" i="15"/>
  <c r="F6" i="73"/>
  <c r="F13" i="67"/>
  <c r="E2" i="69"/>
  <c r="M8" i="15"/>
  <c r="B8" i="76"/>
  <c r="B7" i="76"/>
  <c r="D2" i="36"/>
  <c r="F5" i="73"/>
  <c r="E12" i="76"/>
  <c r="F9" i="67"/>
  <c r="M6" i="15"/>
  <c r="L47" i="15"/>
  <c r="F38" i="67"/>
  <c r="L48" i="67"/>
  <c r="F43" i="67"/>
  <c r="F41" i="67"/>
  <c r="B13" i="76"/>
  <c r="E10" i="76"/>
  <c r="F6" i="67"/>
  <c r="F16" i="15"/>
  <c r="F42" i="15"/>
  <c r="F40" i="15"/>
  <c r="L48" i="15"/>
  <c r="D3" i="73"/>
  <c r="M27" i="67"/>
  <c r="J15" i="67"/>
  <c r="E7" i="76"/>
  <c r="F20" i="31"/>
  <c r="AO11" i="1"/>
  <c r="F40" i="67"/>
  <c r="F42" i="67"/>
  <c r="E8" i="76"/>
  <c r="M29" i="67"/>
  <c r="B12" i="76"/>
  <c r="F7" i="67"/>
  <c r="M28" i="67"/>
  <c r="B11" i="76"/>
  <c r="M26" i="67"/>
  <c r="E13" i="76"/>
  <c r="M28" i="15"/>
  <c r="M9" i="15"/>
  <c r="D2" i="37"/>
  <c r="E11" i="76"/>
  <c r="B10" i="76"/>
  <c r="F8" i="15"/>
  <c r="M23" i="67"/>
  <c r="C76" i="15"/>
  <c r="F13" i="15"/>
  <c r="E2" i="68"/>
  <c r="D2" i="33"/>
  <c r="M6" i="67"/>
  <c r="M23" i="15"/>
  <c r="F7" i="73"/>
  <c r="D2" i="34"/>
  <c r="F16" i="67"/>
  <c r="AO12" i="1"/>
  <c r="J15" i="15"/>
  <c r="M27" i="15"/>
  <c r="M24" i="67"/>
  <c r="M9" i="67"/>
  <c r="L47" i="67"/>
  <c r="D2" i="21"/>
  <c r="D7" i="73"/>
  <c r="W45" i="21" l="1"/>
  <c r="AC45" i="21"/>
  <c r="F52" i="86"/>
  <c r="F48" i="86"/>
  <c r="O52" i="86" s="1"/>
  <c r="D68" i="85"/>
  <c r="F54" i="85"/>
  <c r="F53" i="85"/>
  <c r="F30" i="84"/>
  <c r="F48" i="84" s="1"/>
  <c r="D68" i="86"/>
  <c r="F54" i="86"/>
  <c r="F53" i="86"/>
  <c r="F52" i="85"/>
  <c r="F48" i="85"/>
  <c r="O52" i="85" s="1"/>
  <c r="F52" i="83"/>
  <c r="F48" i="83"/>
  <c r="O52" i="83" s="1"/>
  <c r="D68" i="83"/>
  <c r="F54" i="83"/>
  <c r="F53" i="83"/>
  <c r="AZ370" i="3"/>
  <c r="AZ152" i="3"/>
  <c r="AZ115" i="3"/>
  <c r="AZ362" i="3"/>
  <c r="AZ327" i="3"/>
  <c r="AZ499" i="3"/>
  <c r="AZ527" i="3"/>
  <c r="AZ543" i="3"/>
  <c r="AZ559" i="3"/>
  <c r="AZ563" i="3"/>
  <c r="AZ512" i="3"/>
  <c r="AZ568" i="3"/>
  <c r="AZ576" i="3"/>
  <c r="S11" i="36"/>
  <c r="AB11" i="36"/>
  <c r="AA14" i="33"/>
  <c r="H12" i="35"/>
  <c r="U12" i="35" s="1"/>
  <c r="F12" i="35"/>
  <c r="J23" i="36"/>
  <c r="H23" i="36"/>
  <c r="E41" i="43"/>
  <c r="C41" i="43" s="1"/>
  <c r="U23" i="21"/>
  <c r="AB19" i="33"/>
  <c r="AB45" i="21"/>
  <c r="S13" i="21"/>
  <c r="AC37" i="21"/>
  <c r="C48" i="69"/>
  <c r="AA29" i="21"/>
  <c r="F53" i="9"/>
  <c r="AZ357" i="3"/>
  <c r="AZ334" i="3"/>
  <c r="AZ326" i="3"/>
  <c r="AZ318" i="3"/>
  <c r="AZ372" i="3"/>
  <c r="AZ329" i="3"/>
  <c r="AZ305" i="3"/>
  <c r="AZ183" i="3"/>
  <c r="F12" i="34"/>
  <c r="G582" i="3"/>
  <c r="G556" i="3"/>
  <c r="G552" i="3"/>
  <c r="G551" i="3"/>
  <c r="G14" i="3"/>
  <c r="K8" i="1"/>
  <c r="M18" i="85"/>
  <c r="B118" i="85" s="1"/>
  <c r="B6" i="88" s="1"/>
  <c r="BL15" i="3"/>
  <c r="AZ15" i="3" s="1"/>
  <c r="BL16" i="3"/>
  <c r="AZ16" i="3" s="1"/>
  <c r="G41" i="69"/>
  <c r="G41" i="84"/>
  <c r="G22" i="84"/>
  <c r="G398" i="3"/>
  <c r="BA400" i="3"/>
  <c r="BL400" i="3"/>
  <c r="BA402" i="3"/>
  <c r="BA403" i="3"/>
  <c r="AZ403" i="3" s="1"/>
  <c r="BL403" i="3"/>
  <c r="BA404" i="3"/>
  <c r="AZ404" i="3" s="1"/>
  <c r="BA406" i="3"/>
  <c r="BA408" i="3"/>
  <c r="AZ408" i="3" s="1"/>
  <c r="BL408" i="3"/>
  <c r="BL409" i="3"/>
  <c r="G410" i="3"/>
  <c r="BL412" i="3"/>
  <c r="G413" i="3"/>
  <c r="BA415" i="3"/>
  <c r="AZ415" i="3" s="1"/>
  <c r="BL415" i="3"/>
  <c r="BL416" i="3"/>
  <c r="G417" i="3"/>
  <c r="G419" i="3"/>
  <c r="G421" i="3"/>
  <c r="BA424" i="3"/>
  <c r="AZ424" i="3" s="1"/>
  <c r="BL424" i="3"/>
  <c r="BL425" i="3"/>
  <c r="G426" i="3"/>
  <c r="BL428" i="3"/>
  <c r="G429" i="3"/>
  <c r="BA431" i="3"/>
  <c r="BL431" i="3"/>
  <c r="BL432" i="3"/>
  <c r="G433" i="3"/>
  <c r="G435" i="3"/>
  <c r="G437" i="3"/>
  <c r="BL438" i="3"/>
  <c r="G439" i="3"/>
  <c r="BL443" i="3"/>
  <c r="AZ443" i="3" s="1"/>
  <c r="G444" i="3"/>
  <c r="G449" i="3"/>
  <c r="G451"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G474" i="3"/>
  <c r="BA475" i="3"/>
  <c r="BL475" i="3"/>
  <c r="BA476" i="3"/>
  <c r="AZ476" i="3" s="1"/>
  <c r="BA477" i="3"/>
  <c r="BL477" i="3"/>
  <c r="BA478" i="3"/>
  <c r="AZ478" i="3" s="1"/>
  <c r="BL480" i="3"/>
  <c r="G481" i="3"/>
  <c r="BL482" i="3"/>
  <c r="G483" i="3"/>
  <c r="G486" i="3"/>
  <c r="G488" i="3"/>
  <c r="BA489" i="3"/>
  <c r="BL489" i="3"/>
  <c r="BA491" i="3"/>
  <c r="AZ491" i="3" s="1"/>
  <c r="BL491" i="3"/>
  <c r="BA492" i="3"/>
  <c r="AZ492" i="3" s="1"/>
  <c r="BA316" i="3"/>
  <c r="BL316" i="3"/>
  <c r="AZ316" i="3" s="1"/>
  <c r="BL328" i="3"/>
  <c r="AZ328" i="3" s="1"/>
  <c r="G329" i="3"/>
  <c r="BA331" i="3"/>
  <c r="AZ331" i="3" s="1"/>
  <c r="BL333" i="3"/>
  <c r="G334" i="3"/>
  <c r="BL348" i="3"/>
  <c r="G349" i="3"/>
  <c r="BA350" i="3"/>
  <c r="AZ350" i="3" s="1"/>
  <c r="BA353" i="3"/>
  <c r="BL353" i="3"/>
  <c r="G358" i="3"/>
  <c r="BL359" i="3"/>
  <c r="AZ359" i="3" s="1"/>
  <c r="BA370" i="3"/>
  <c r="G378" i="3"/>
  <c r="G380" i="3"/>
  <c r="BL381" i="3"/>
  <c r="AZ381" i="3" s="1"/>
  <c r="G382" i="3"/>
  <c r="BL383" i="3"/>
  <c r="AZ383" i="3" s="1"/>
  <c r="BA384" i="3"/>
  <c r="AZ384" i="3" s="1"/>
  <c r="BA386" i="3"/>
  <c r="AZ386" i="3" s="1"/>
  <c r="BL386" i="3"/>
  <c r="G387" i="3"/>
  <c r="BA388" i="3"/>
  <c r="AZ388" i="3" s="1"/>
  <c r="G396" i="3"/>
  <c r="G209" i="3"/>
  <c r="G212" i="3"/>
  <c r="BL213" i="3"/>
  <c r="G214" i="3"/>
  <c r="BL215" i="3"/>
  <c r="G216" i="3"/>
  <c r="BL217" i="3"/>
  <c r="G218" i="3"/>
  <c r="BA219" i="3"/>
  <c r="BL219" i="3"/>
  <c r="AZ219" i="3" s="1"/>
  <c r="BA220" i="3"/>
  <c r="BL220" i="3"/>
  <c r="G221" i="3"/>
  <c r="G222" i="3"/>
  <c r="BL222" i="3"/>
  <c r="AZ222" i="3" s="1"/>
  <c r="G223" i="3"/>
  <c r="BL225" i="3"/>
  <c r="G226" i="3"/>
  <c r="BL228" i="3"/>
  <c r="G229" i="3"/>
  <c r="BA230" i="3"/>
  <c r="BL230" i="3"/>
  <c r="BA231" i="3"/>
  <c r="AZ231" i="3" s="1"/>
  <c r="BA232" i="3"/>
  <c r="AZ232" i="3" s="1"/>
  <c r="BA233" i="3"/>
  <c r="AZ233" i="3" s="1"/>
  <c r="BA234" i="3"/>
  <c r="AZ234" i="3" s="1"/>
  <c r="BA235" i="3"/>
  <c r="AZ235" i="3" s="1"/>
  <c r="BA236" i="3"/>
  <c r="BL236" i="3"/>
  <c r="BA238" i="3"/>
  <c r="AZ238" i="3" s="1"/>
  <c r="BL238" i="3"/>
  <c r="BA239" i="3"/>
  <c r="AZ239" i="3" s="1"/>
  <c r="BL240" i="3"/>
  <c r="G241" i="3"/>
  <c r="BA242" i="3"/>
  <c r="BL242" i="3"/>
  <c r="G243" i="3"/>
  <c r="G244" i="3"/>
  <c r="BL245" i="3"/>
  <c r="G246" i="3"/>
  <c r="BA250" i="3"/>
  <c r="AZ250" i="3" s="1"/>
  <c r="BA251" i="3"/>
  <c r="AZ251" i="3" s="1"/>
  <c r="BL251" i="3"/>
  <c r="G252"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G116" i="3"/>
  <c r="BA117" i="3"/>
  <c r="AZ117" i="3" s="1"/>
  <c r="BL119" i="3"/>
  <c r="AZ119" i="3" s="1"/>
  <c r="G120" i="3"/>
  <c r="BL122" i="3"/>
  <c r="G123" i="3"/>
  <c r="BA124" i="3"/>
  <c r="AZ124" i="3" s="1"/>
  <c r="BA126" i="3"/>
  <c r="BL126" i="3"/>
  <c r="BA128" i="3"/>
  <c r="AZ128" i="3" s="1"/>
  <c r="G131" i="3"/>
  <c r="BL134" i="3"/>
  <c r="BA136" i="3"/>
  <c r="AZ136" i="3" s="1"/>
  <c r="G139" i="3"/>
  <c r="G142" i="3"/>
  <c r="BA145" i="3"/>
  <c r="BL145" i="3"/>
  <c r="BL147" i="3"/>
  <c r="AZ147" i="3" s="1"/>
  <c r="G148" i="3"/>
  <c r="BA149" i="3"/>
  <c r="AZ149" i="3" s="1"/>
  <c r="BA150" i="3"/>
  <c r="AZ150" i="3" s="1"/>
  <c r="BA152" i="3"/>
  <c r="G155" i="3"/>
  <c r="D53" i="71"/>
  <c r="T53" i="71"/>
  <c r="D78" i="9"/>
  <c r="D78" i="85"/>
  <c r="D93" i="86"/>
  <c r="D78" i="86"/>
  <c r="D93" i="85"/>
  <c r="D93" i="83"/>
  <c r="D78" i="83"/>
  <c r="D39" i="71"/>
  <c r="C40" i="71"/>
  <c r="D47" i="71"/>
  <c r="C48" i="71"/>
  <c r="D48" i="71" s="1"/>
  <c r="C40" i="69"/>
  <c r="C21" i="69"/>
  <c r="B55" i="43"/>
  <c r="D57" i="71"/>
  <c r="O62" i="71"/>
  <c r="P63" i="71"/>
  <c r="D72" i="71"/>
  <c r="D25" i="71"/>
  <c r="U25" i="71" s="1"/>
  <c r="T25" i="71"/>
  <c r="C28" i="71"/>
  <c r="AA33" i="71"/>
  <c r="Y26" i="71"/>
  <c r="Z26" i="71" s="1"/>
  <c r="AA27" i="71"/>
  <c r="X27" i="71"/>
  <c r="AA28" i="71"/>
  <c r="AA29" i="71"/>
  <c r="F33" i="71"/>
  <c r="V33" i="71" s="1"/>
  <c r="Y32" i="71"/>
  <c r="Z32" i="71" s="1"/>
  <c r="X33" i="71"/>
  <c r="C60" i="71"/>
  <c r="E60" i="71"/>
  <c r="E61" i="71" s="1"/>
  <c r="U61" i="71" s="1"/>
  <c r="AE10" i="43"/>
  <c r="M56" i="9"/>
  <c r="M56" i="86"/>
  <c r="J56" i="86"/>
  <c r="J57" i="86" s="1"/>
  <c r="J59" i="86" s="1"/>
  <c r="J61" i="86" s="1"/>
  <c r="N56" i="85"/>
  <c r="K56" i="85"/>
  <c r="N56" i="86"/>
  <c r="K56" i="86"/>
  <c r="M56" i="85"/>
  <c r="J56" i="85"/>
  <c r="J57" i="85" s="1"/>
  <c r="J59" i="85" s="1"/>
  <c r="J61" i="85" s="1"/>
  <c r="M56" i="83"/>
  <c r="J56" i="83"/>
  <c r="J57" i="83" s="1"/>
  <c r="J59" i="83" s="1"/>
  <c r="J61" i="83" s="1"/>
  <c r="N56" i="83"/>
  <c r="K56" i="83"/>
  <c r="BA158" i="3"/>
  <c r="BL158" i="3"/>
  <c r="BA160" i="3"/>
  <c r="AZ160" i="3" s="1"/>
  <c r="G163" i="3"/>
  <c r="G167" i="3"/>
  <c r="G170" i="3"/>
  <c r="BL173" i="3"/>
  <c r="G174" i="3"/>
  <c r="G176" i="3"/>
  <c r="BL177" i="3"/>
  <c r="G178" i="3"/>
  <c r="G180" i="3"/>
  <c r="BA181" i="3"/>
  <c r="BL181" i="3"/>
  <c r="BL183" i="3"/>
  <c r="G184" i="3"/>
  <c r="BA186" i="3"/>
  <c r="BL186" i="3"/>
  <c r="BA188" i="3"/>
  <c r="AZ188" i="3" s="1"/>
  <c r="BL190" i="3"/>
  <c r="G191" i="3"/>
  <c r="BA192" i="3"/>
  <c r="AZ192" i="3" s="1"/>
  <c r="G198" i="3"/>
  <c r="BA201" i="3"/>
  <c r="AZ201" i="3" s="1"/>
  <c r="BL201" i="3"/>
  <c r="BL203" i="3"/>
  <c r="AZ203" i="3" s="1"/>
  <c r="G204" i="3"/>
  <c r="BL205" i="3"/>
  <c r="G206" i="3"/>
  <c r="BA207" i="3"/>
  <c r="AZ207" i="3" s="1"/>
  <c r="BL207" i="3"/>
  <c r="BA18" i="3"/>
  <c r="AZ18" i="3" s="1"/>
  <c r="BA19" i="3"/>
  <c r="AZ19" i="3" s="1"/>
  <c r="BA20" i="3"/>
  <c r="BL20" i="3"/>
  <c r="G23" i="3"/>
  <c r="BL24" i="3"/>
  <c r="G25" i="3"/>
  <c r="G27" i="3"/>
  <c r="BL28" i="3"/>
  <c r="G29" i="3"/>
  <c r="BA30" i="3"/>
  <c r="AZ30" i="3" s="1"/>
  <c r="BL30" i="3"/>
  <c r="BA32" i="3"/>
  <c r="AZ32" i="3" s="1"/>
  <c r="BL32" i="3"/>
  <c r="BL34" i="3"/>
  <c r="G35" i="3"/>
  <c r="BA36" i="3"/>
  <c r="AZ36" i="3" s="1"/>
  <c r="BL36" i="3"/>
  <c r="BL38" i="3"/>
  <c r="G39" i="3"/>
  <c r="BA40" i="3"/>
  <c r="AZ40" i="3" s="1"/>
  <c r="BL40" i="3"/>
  <c r="BA42" i="3"/>
  <c r="AZ42" i="3" s="1"/>
  <c r="BL42" i="3"/>
  <c r="BL44" i="3"/>
  <c r="G45" i="3"/>
  <c r="BA46" i="3"/>
  <c r="AZ46" i="3" s="1"/>
  <c r="BL46" i="3"/>
  <c r="BL48" i="3"/>
  <c r="G49" i="3"/>
  <c r="G51" i="3"/>
  <c r="G55" i="3"/>
  <c r="G58" i="3"/>
  <c r="G60" i="3"/>
  <c r="BL61" i="3"/>
  <c r="G62" i="3"/>
  <c r="G64" i="3"/>
  <c r="BA65" i="3"/>
  <c r="BL65" i="3"/>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6" i="3"/>
  <c r="AZ86" i="3" s="1"/>
  <c r="BL86" i="3"/>
  <c r="BA87" i="3"/>
  <c r="AZ87" i="3" s="1"/>
  <c r="BA88" i="3"/>
  <c r="AZ88" i="3" s="1"/>
  <c r="BA89" i="3"/>
  <c r="AZ89" i="3" s="1"/>
  <c r="BL91" i="3"/>
  <c r="G92" i="3"/>
  <c r="G94" i="3"/>
  <c r="G97" i="3"/>
  <c r="G100" i="3"/>
  <c r="BL101" i="3"/>
  <c r="G102" i="3"/>
  <c r="BA103" i="3"/>
  <c r="AZ103" i="3" s="1"/>
  <c r="BL103" i="3"/>
  <c r="BA104" i="3"/>
  <c r="AZ104" i="3" s="1"/>
  <c r="BA105" i="3"/>
  <c r="AZ105" i="3" s="1"/>
  <c r="BA107" i="3"/>
  <c r="AZ107" i="3" s="1"/>
  <c r="BL107" i="3"/>
  <c r="BL108" i="3"/>
  <c r="G109" i="3"/>
  <c r="BL110" i="3"/>
  <c r="G111" i="3"/>
  <c r="BA112" i="3"/>
  <c r="AZ112" i="3" s="1"/>
  <c r="BL112" i="3"/>
  <c r="G1" i="84"/>
  <c r="G10" i="1"/>
  <c r="D6" i="52"/>
  <c r="S37" i="34"/>
  <c r="J37" i="34"/>
  <c r="E90" i="34"/>
  <c r="J27" i="34" s="1"/>
  <c r="D18" i="87"/>
  <c r="G1" i="69"/>
  <c r="B9" i="1"/>
  <c r="E9" i="1" s="1"/>
  <c r="K1" i="12"/>
  <c r="T12" i="1"/>
  <c r="C51" i="10"/>
  <c r="A13" i="51" s="1"/>
  <c r="B11" i="72" s="1"/>
  <c r="A2" i="86"/>
  <c r="A118" i="86"/>
  <c r="A118" i="85"/>
  <c r="A2" i="85"/>
  <c r="A118" i="83"/>
  <c r="A2" i="83"/>
  <c r="AA15" i="34"/>
  <c r="AC5" i="3"/>
  <c r="BE5" i="3"/>
  <c r="E13" i="6" s="1"/>
  <c r="BQ5" i="3"/>
  <c r="F28" i="6" s="1"/>
  <c r="K7" i="1"/>
  <c r="M7" i="1" s="1"/>
  <c r="BA14" i="3"/>
  <c r="AZ14" i="3" s="1"/>
  <c r="M8" i="1"/>
  <c r="M47" i="86"/>
  <c r="M47" i="85"/>
  <c r="M47" i="83"/>
  <c r="C77" i="9"/>
  <c r="C74" i="9" s="1"/>
  <c r="C77" i="86"/>
  <c r="C74" i="86" s="1"/>
  <c r="C48" i="84"/>
  <c r="C77" i="85"/>
  <c r="C74" i="85" s="1"/>
  <c r="C30" i="84"/>
  <c r="C77" i="83"/>
  <c r="C74" i="83" s="1"/>
  <c r="G7" i="34"/>
  <c r="H7" i="34" s="1"/>
  <c r="I7" i="34"/>
  <c r="E7" i="34"/>
  <c r="AB40" i="34"/>
  <c r="U38" i="34"/>
  <c r="AB36" i="34"/>
  <c r="AA36" i="34"/>
  <c r="AC36" i="34"/>
  <c r="AB23" i="34"/>
  <c r="W21" i="34"/>
  <c r="AB17" i="34"/>
  <c r="F17" i="34"/>
  <c r="AC17" i="34"/>
  <c r="W19" i="34"/>
  <c r="H19" i="34"/>
  <c r="F19" i="34"/>
  <c r="S10" i="34"/>
  <c r="J43" i="34"/>
  <c r="W43" i="34" s="1"/>
  <c r="H43" i="34"/>
  <c r="AB43" i="34" s="1"/>
  <c r="U11" i="34"/>
  <c r="AC43" i="34"/>
  <c r="U34" i="34"/>
  <c r="AA11" i="34"/>
  <c r="AC11" i="34"/>
  <c r="AB37" i="34"/>
  <c r="U10" i="34"/>
  <c r="K5" i="4"/>
  <c r="B47" i="48" s="1"/>
  <c r="F29" i="6"/>
  <c r="F30" i="6" s="1"/>
  <c r="AZ373" i="3"/>
  <c r="AZ382" i="3"/>
  <c r="AZ371" i="3"/>
  <c r="AZ364" i="3"/>
  <c r="AZ356" i="3"/>
  <c r="AZ342" i="3"/>
  <c r="AZ336" i="3"/>
  <c r="AZ321" i="3"/>
  <c r="AZ304" i="3"/>
  <c r="AZ394" i="3"/>
  <c r="AZ325" i="3"/>
  <c r="AZ503" i="3"/>
  <c r="AZ523" i="3"/>
  <c r="AZ531" i="3"/>
  <c r="AZ539" i="3"/>
  <c r="AZ547" i="3"/>
  <c r="AZ553" i="3"/>
  <c r="AZ583" i="3"/>
  <c r="AZ581" i="3"/>
  <c r="AZ526" i="3"/>
  <c r="AZ566" i="3"/>
  <c r="AZ574" i="3"/>
  <c r="AZ582" i="3"/>
  <c r="AZ584" i="3"/>
  <c r="F27" i="39"/>
  <c r="H27" i="39"/>
  <c r="AB12" i="35"/>
  <c r="F48" i="9"/>
  <c r="O52" i="9" s="1"/>
  <c r="F32" i="82"/>
  <c r="F60" i="82" s="1"/>
  <c r="F28" i="82"/>
  <c r="M18" i="82"/>
  <c r="F32" i="81"/>
  <c r="F60" i="81" s="1"/>
  <c r="F28" i="81"/>
  <c r="C28" i="81" s="1"/>
  <c r="M18" i="81"/>
  <c r="AC12" i="37"/>
  <c r="AZ495" i="3"/>
  <c r="AZ513" i="3"/>
  <c r="AZ517" i="3"/>
  <c r="AZ567" i="3"/>
  <c r="AZ571" i="3"/>
  <c r="AZ575" i="3"/>
  <c r="AZ579" i="3"/>
  <c r="AB30" i="35"/>
  <c r="U30" i="35"/>
  <c r="AB9" i="36"/>
  <c r="U9" i="36"/>
  <c r="AA38" i="40"/>
  <c r="S38" i="40"/>
  <c r="F25" i="37"/>
  <c r="H38" i="40"/>
  <c r="G574" i="3"/>
  <c r="G558" i="3"/>
  <c r="G542" i="3"/>
  <c r="M20" i="15"/>
  <c r="M20" i="82"/>
  <c r="F34" i="82"/>
  <c r="F62" i="82" s="1"/>
  <c r="M20" i="81"/>
  <c r="F34" i="81"/>
  <c r="F62" i="81" s="1"/>
  <c r="C5" i="11"/>
  <c r="A15" i="62"/>
  <c r="B61" i="72" s="1"/>
  <c r="AZ438" i="3"/>
  <c r="BA385" i="3"/>
  <c r="AZ385" i="3" s="1"/>
  <c r="BA392" i="3"/>
  <c r="AZ392" i="3" s="1"/>
  <c r="G395" i="3"/>
  <c r="BL395" i="3"/>
  <c r="G208" i="3"/>
  <c r="BL208" i="3"/>
  <c r="G211" i="3"/>
  <c r="BL211" i="3"/>
  <c r="BA212" i="3"/>
  <c r="AZ212" i="3" s="1"/>
  <c r="BA213" i="3"/>
  <c r="AZ213" i="3" s="1"/>
  <c r="BA214" i="3"/>
  <c r="AZ214" i="3" s="1"/>
  <c r="BA215" i="3"/>
  <c r="AZ215" i="3" s="1"/>
  <c r="S34" i="21"/>
  <c r="S27" i="35"/>
  <c r="S9" i="33"/>
  <c r="F26" i="33"/>
  <c r="S34" i="34"/>
  <c r="U31" i="36"/>
  <c r="I4" i="6"/>
  <c r="G3" i="43" s="1"/>
  <c r="AD11" i="43" s="1"/>
  <c r="BL586" i="3"/>
  <c r="AZ586" i="3" s="1"/>
  <c r="J23" i="35"/>
  <c r="H12" i="36"/>
  <c r="F23" i="36"/>
  <c r="H24" i="36"/>
  <c r="BA551" i="3"/>
  <c r="AZ551" i="3" s="1"/>
  <c r="BL550" i="3"/>
  <c r="BA550" i="3"/>
  <c r="BL548" i="3"/>
  <c r="AZ548" i="3" s="1"/>
  <c r="BA399" i="3"/>
  <c r="AZ399" i="3" s="1"/>
  <c r="BL401" i="3"/>
  <c r="AZ401" i="3" s="1"/>
  <c r="G403" i="3"/>
  <c r="G405" i="3"/>
  <c r="BL405" i="3"/>
  <c r="AZ405" i="3" s="1"/>
  <c r="G407" i="3"/>
  <c r="BL407" i="3"/>
  <c r="AZ407" i="3" s="1"/>
  <c r="BA409" i="3"/>
  <c r="BA411" i="3"/>
  <c r="AZ411" i="3" s="1"/>
  <c r="BA412" i="3"/>
  <c r="BA414" i="3"/>
  <c r="AZ414" i="3" s="1"/>
  <c r="BA416" i="3"/>
  <c r="BA417" i="3"/>
  <c r="AZ417" i="3" s="1"/>
  <c r="BA418" i="3"/>
  <c r="BL418" i="3"/>
  <c r="G420" i="3"/>
  <c r="BL420" i="3"/>
  <c r="G422" i="3"/>
  <c r="BA423" i="3"/>
  <c r="AZ423" i="3" s="1"/>
  <c r="BA425" i="3"/>
  <c r="BA427" i="3"/>
  <c r="AZ427" i="3" s="1"/>
  <c r="BA428" i="3"/>
  <c r="BA430" i="3"/>
  <c r="AZ430" i="3" s="1"/>
  <c r="BA432" i="3"/>
  <c r="BA433" i="3"/>
  <c r="AZ433" i="3" s="1"/>
  <c r="BA434" i="3"/>
  <c r="BL434" i="3"/>
  <c r="G436" i="3"/>
  <c r="BL436" i="3"/>
  <c r="AZ436" i="3" s="1"/>
  <c r="G441" i="3"/>
  <c r="G442" i="3"/>
  <c r="G446" i="3"/>
  <c r="G448" i="3"/>
  <c r="BL448" i="3"/>
  <c r="BA449" i="3"/>
  <c r="AZ449" i="3" s="1"/>
  <c r="BA450" i="3"/>
  <c r="BL450" i="3"/>
  <c r="G452" i="3"/>
  <c r="BL452" i="3"/>
  <c r="AZ452" i="3" s="1"/>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AZ479" i="3" s="1"/>
  <c r="BA480" i="3"/>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BA349" i="3"/>
  <c r="AZ349" i="3" s="1"/>
  <c r="G351" i="3"/>
  <c r="BA354" i="3"/>
  <c r="AZ354" i="3" s="1"/>
  <c r="BL363" i="3"/>
  <c r="AZ363" i="3" s="1"/>
  <c r="BL367" i="3"/>
  <c r="AZ367" i="3" s="1"/>
  <c r="G369" i="3"/>
  <c r="AZ220" i="3"/>
  <c r="BL224" i="3"/>
  <c r="AZ224" i="3" s="1"/>
  <c r="BA225" i="3"/>
  <c r="AZ225" i="3" s="1"/>
  <c r="BA228" i="3"/>
  <c r="AZ228" i="3" s="1"/>
  <c r="BA229" i="3"/>
  <c r="AZ229" i="3" s="1"/>
  <c r="G232" i="3"/>
  <c r="G235" i="3"/>
  <c r="BA240" i="3"/>
  <c r="AZ240" i="3" s="1"/>
  <c r="BA241" i="3"/>
  <c r="AZ241" i="3" s="1"/>
  <c r="BL243" i="3"/>
  <c r="AZ243" i="3" s="1"/>
  <c r="BA244" i="3"/>
  <c r="AZ244" i="3" s="1"/>
  <c r="BA245" i="3"/>
  <c r="AZ245" i="3" s="1"/>
  <c r="G248" i="3"/>
  <c r="G249"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G136" i="3"/>
  <c r="BL138" i="3"/>
  <c r="AZ138" i="3" s="1"/>
  <c r="BA140" i="3"/>
  <c r="AZ140" i="3" s="1"/>
  <c r="BL141" i="3"/>
  <c r="AZ141" i="3" s="1"/>
  <c r="G144" i="3"/>
  <c r="BL146" i="3"/>
  <c r="AZ146" i="3" s="1"/>
  <c r="BA148" i="3"/>
  <c r="AZ148" i="3" s="1"/>
  <c r="G150" i="3"/>
  <c r="G151" i="3"/>
  <c r="G152" i="3"/>
  <c r="BA153" i="3"/>
  <c r="AZ153" i="3" s="1"/>
  <c r="BA154" i="3"/>
  <c r="AZ154" i="3" s="1"/>
  <c r="BL154" i="3"/>
  <c r="BA156" i="3"/>
  <c r="AZ156" i="3" s="1"/>
  <c r="BL157" i="3"/>
  <c r="AZ157" i="3" s="1"/>
  <c r="G160" i="3"/>
  <c r="BL162" i="3"/>
  <c r="AZ162" i="3" s="1"/>
  <c r="BA217" i="3"/>
  <c r="AZ217" i="3" s="1"/>
  <c r="BA218" i="3"/>
  <c r="AZ218" i="3" s="1"/>
  <c r="BL221" i="3"/>
  <c r="AZ221" i="3" s="1"/>
  <c r="AZ134" i="3"/>
  <c r="BA164" i="3"/>
  <c r="AZ164" i="3" s="1"/>
  <c r="G166" i="3"/>
  <c r="BL166" i="3"/>
  <c r="AZ166" i="3" s="1"/>
  <c r="BA168" i="3"/>
  <c r="AZ168" i="3" s="1"/>
  <c r="BL169" i="3"/>
  <c r="AZ169" i="3" s="1"/>
  <c r="G172" i="3"/>
  <c r="BA173" i="3"/>
  <c r="AZ173" i="3" s="1"/>
  <c r="BA174" i="3"/>
  <c r="AZ174" i="3" s="1"/>
  <c r="BL175" i="3"/>
  <c r="AZ175" i="3" s="1"/>
  <c r="BA177" i="3"/>
  <c r="BA178" i="3"/>
  <c r="AZ178" i="3" s="1"/>
  <c r="BL179" i="3"/>
  <c r="AZ179" i="3" s="1"/>
  <c r="BL182" i="3"/>
  <c r="AZ182" i="3" s="1"/>
  <c r="BA184" i="3"/>
  <c r="AZ184" i="3" s="1"/>
  <c r="BL185" i="3"/>
  <c r="AZ185" i="3" s="1"/>
  <c r="G188" i="3"/>
  <c r="BA189" i="3"/>
  <c r="AZ189" i="3" s="1"/>
  <c r="BA190" i="3"/>
  <c r="BL191" i="3"/>
  <c r="AZ191" i="3" s="1"/>
  <c r="G194" i="3"/>
  <c r="G195" i="3"/>
  <c r="BL197" i="3"/>
  <c r="AZ197" i="3" s="1"/>
  <c r="G200" i="3"/>
  <c r="BL202" i="3"/>
  <c r="AZ202" i="3" s="1"/>
  <c r="BA204" i="3"/>
  <c r="AZ204" i="3" s="1"/>
  <c r="BA205" i="3"/>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BA39" i="3"/>
  <c r="AZ39" i="3" s="1"/>
  <c r="BL41" i="3"/>
  <c r="AZ41" i="3" s="1"/>
  <c r="BL43" i="3"/>
  <c r="AZ43" i="3" s="1"/>
  <c r="BA44" i="3"/>
  <c r="BA45" i="3"/>
  <c r="AZ45" i="3" s="1"/>
  <c r="BL47" i="3"/>
  <c r="AZ47" i="3" s="1"/>
  <c r="BA48" i="3"/>
  <c r="AZ48" i="3" s="1"/>
  <c r="BL50" i="3"/>
  <c r="AZ50" i="3" s="1"/>
  <c r="G53" i="3"/>
  <c r="G54" i="3"/>
  <c r="BL54" i="3"/>
  <c r="AZ54" i="3" s="1"/>
  <c r="G57" i="3"/>
  <c r="BL57" i="3"/>
  <c r="BL59" i="3"/>
  <c r="AZ59" i="3" s="1"/>
  <c r="BA60" i="3"/>
  <c r="AZ60" i="3" s="1"/>
  <c r="BA61" i="3"/>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G1" i="82"/>
  <c r="G1" i="81"/>
  <c r="B25" i="71"/>
  <c r="B24" i="71" s="1"/>
  <c r="B23" i="71" s="1"/>
  <c r="X25" i="71"/>
  <c r="F27" i="71"/>
  <c r="F28" i="71" s="1"/>
  <c r="F29" i="71" s="1"/>
  <c r="V29" i="71" s="1"/>
  <c r="AB26" i="71"/>
  <c r="Y35" i="71"/>
  <c r="Z35" i="71" s="1"/>
  <c r="C36" i="71"/>
  <c r="T69" i="71"/>
  <c r="C68" i="71"/>
  <c r="D69" i="71"/>
  <c r="T77" i="71"/>
  <c r="C76" i="71"/>
  <c r="D77" i="71"/>
  <c r="D85" i="71"/>
  <c r="C84" i="71"/>
  <c r="AJ12" i="43"/>
  <c r="AJ10" i="43"/>
  <c r="X23" i="71"/>
  <c r="AA23" i="71"/>
  <c r="P61" i="67"/>
  <c r="P74" i="67"/>
  <c r="Y22" i="71"/>
  <c r="Z22" i="71"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BA108" i="3"/>
  <c r="BA109" i="3"/>
  <c r="AZ109" i="3" s="1"/>
  <c r="BA110" i="3"/>
  <c r="BA111" i="3"/>
  <c r="AZ111" i="3" s="1"/>
  <c r="K100" i="43"/>
  <c r="W21" i="37"/>
  <c r="U21" i="34"/>
  <c r="C33" i="71"/>
  <c r="C49" i="71"/>
  <c r="AA24" i="71"/>
  <c r="D59" i="71"/>
  <c r="AB22" i="71"/>
  <c r="E25" i="71"/>
  <c r="AA25" i="71"/>
  <c r="C44" i="71"/>
  <c r="D44" i="71" s="1"/>
  <c r="D31" i="71"/>
  <c r="X24" i="71"/>
  <c r="Y25" i="71"/>
  <c r="Z25" i="71" s="1"/>
  <c r="Y34" i="71"/>
  <c r="Z34" i="71" s="1"/>
  <c r="Y30" i="71"/>
  <c r="Z30" i="71" s="1"/>
  <c r="X29" i="71"/>
  <c r="AB28" i="71"/>
  <c r="Y29" i="71"/>
  <c r="Z29" i="71" s="1"/>
  <c r="Y31" i="71"/>
  <c r="Z31" i="71" s="1"/>
  <c r="X31" i="71"/>
  <c r="X32" i="71"/>
  <c r="Y33" i="71"/>
  <c r="Z33" i="71" s="1"/>
  <c r="AB33" i="71"/>
  <c r="B35" i="71"/>
  <c r="B36" i="71" s="1"/>
  <c r="B37" i="71" s="1"/>
  <c r="S37" i="71" s="1"/>
  <c r="X34" i="71"/>
  <c r="AB23" i="71"/>
  <c r="Y24" i="71"/>
  <c r="Z24" i="71" s="1"/>
  <c r="K56" i="9"/>
  <c r="E21" i="71"/>
  <c r="AA3" i="71"/>
  <c r="E32" i="71"/>
  <c r="E33" i="71" s="1"/>
  <c r="U33" i="71" s="1"/>
  <c r="B33" i="71"/>
  <c r="S33" i="71" s="1"/>
  <c r="Y28" i="71"/>
  <c r="Z28" i="71" s="1"/>
  <c r="X26" i="71"/>
  <c r="AB29" i="71"/>
  <c r="AB31" i="71"/>
  <c r="F36" i="71"/>
  <c r="F37" i="71" s="1"/>
  <c r="V37" i="71" s="1"/>
  <c r="B60" i="71"/>
  <c r="B61" i="71" s="1"/>
  <c r="S61" i="71" s="1"/>
  <c r="H109" i="39"/>
  <c r="I109" i="39" s="1"/>
  <c r="J109" i="39" s="1"/>
  <c r="K109" i="39" s="1"/>
  <c r="L109" i="39" s="1"/>
  <c r="M109" i="39" s="1"/>
  <c r="F34" i="39"/>
  <c r="AA34" i="39" s="1"/>
  <c r="G17" i="43"/>
  <c r="C16" i="43" s="1"/>
  <c r="C5" i="43" s="1"/>
  <c r="H53" i="43"/>
  <c r="J34" i="39"/>
  <c r="AC34" i="39" s="1"/>
  <c r="H34" i="39"/>
  <c r="U34" i="39" s="1"/>
  <c r="W34" i="39"/>
  <c r="W23" i="39"/>
  <c r="H124" i="39"/>
  <c r="I124" i="39" s="1"/>
  <c r="J124" i="39" s="1"/>
  <c r="K124" i="39" s="1"/>
  <c r="L124" i="39" s="1"/>
  <c r="M124" i="39" s="1"/>
  <c r="J41" i="39"/>
  <c r="S21" i="39"/>
  <c r="AC12" i="39"/>
  <c r="W9" i="39"/>
  <c r="U9" i="39"/>
  <c r="U41" i="39"/>
  <c r="AA39" i="39"/>
  <c r="AC38" i="39"/>
  <c r="S38" i="39"/>
  <c r="U38" i="39"/>
  <c r="J51" i="15"/>
  <c r="J53" i="15" s="1"/>
  <c r="L56" i="15" s="1"/>
  <c r="C30" i="69"/>
  <c r="C28" i="82"/>
  <c r="C13" i="12"/>
  <c r="C36" i="11"/>
  <c r="G7" i="1"/>
  <c r="G16" i="1" s="1"/>
  <c r="F10" i="39" s="1"/>
  <c r="J51" i="82"/>
  <c r="J51" i="81"/>
  <c r="G8" i="1"/>
  <c r="AC32" i="39"/>
  <c r="W27" i="39"/>
  <c r="AB21" i="39"/>
  <c r="W19" i="39"/>
  <c r="S19" i="39"/>
  <c r="U17" i="39"/>
  <c r="B67" i="43"/>
  <c r="B65" i="43"/>
  <c r="C27" i="39"/>
  <c r="C29" i="39"/>
  <c r="B66" i="43"/>
  <c r="O7" i="1"/>
  <c r="A24" i="51"/>
  <c r="B18" i="72" s="1"/>
  <c r="P61" i="15"/>
  <c r="C48" i="68"/>
  <c r="C30" i="68"/>
  <c r="C24" i="12"/>
  <c r="C28" i="67"/>
  <c r="D22" i="67"/>
  <c r="AR12" i="1"/>
  <c r="L27" i="6"/>
  <c r="C36" i="69"/>
  <c r="H5" i="3"/>
  <c r="G28" i="6"/>
  <c r="AQ11" i="1"/>
  <c r="T11" i="1"/>
  <c r="AR11" i="1"/>
  <c r="AR13" i="1"/>
  <c r="AQ13" i="1"/>
  <c r="T13" i="1"/>
  <c r="AQ10" i="1"/>
  <c r="T10" i="1"/>
  <c r="BB5" i="3"/>
  <c r="BA13" i="3"/>
  <c r="O10" i="1"/>
  <c r="P10" i="1" s="1"/>
  <c r="D9" i="11"/>
  <c r="C9" i="11" s="1"/>
  <c r="D19" i="12"/>
  <c r="C19" i="12" s="1"/>
  <c r="G5" i="3"/>
  <c r="B3" i="3" s="1"/>
  <c r="O8" i="1"/>
  <c r="P8" i="1" s="1"/>
  <c r="G29" i="6"/>
  <c r="E29" i="6" s="1"/>
  <c r="K15" i="1" s="1"/>
  <c r="D68" i="39"/>
  <c r="C70" i="39"/>
  <c r="D17" i="53"/>
  <c r="B36" i="72" s="1"/>
  <c r="D124" i="9"/>
  <c r="P7" i="1"/>
  <c r="W17" i="21"/>
  <c r="O11" i="1"/>
  <c r="AZ557" i="3"/>
  <c r="S12" i="21"/>
  <c r="AA12" i="21"/>
  <c r="AB40" i="40"/>
  <c r="U40" i="40"/>
  <c r="O12" i="1"/>
  <c r="P12" i="1" s="1"/>
  <c r="W9" i="34"/>
  <c r="AC9" i="34"/>
  <c r="AR10" i="1"/>
  <c r="AA35" i="33"/>
  <c r="AC39" i="34"/>
  <c r="U44" i="34"/>
  <c r="AB27" i="36"/>
  <c r="U12" i="39"/>
  <c r="AA27" i="40"/>
  <c r="AB27" i="40"/>
  <c r="AA34" i="33"/>
  <c r="H75" i="43"/>
  <c r="AC11" i="39"/>
  <c r="W31" i="34"/>
  <c r="AA13" i="35"/>
  <c r="H36" i="35"/>
  <c r="J36" i="35"/>
  <c r="W31" i="35"/>
  <c r="AC31" i="35"/>
  <c r="C31" i="12"/>
  <c r="H9" i="34"/>
  <c r="J34" i="35"/>
  <c r="H34" i="35"/>
  <c r="F34" i="35"/>
  <c r="AZ398" i="3"/>
  <c r="AZ400" i="3"/>
  <c r="AZ402" i="3"/>
  <c r="AZ406" i="3"/>
  <c r="AZ410" i="3"/>
  <c r="AZ413" i="3"/>
  <c r="AZ420" i="3"/>
  <c r="AZ426" i="3"/>
  <c r="AZ429" i="3"/>
  <c r="AZ431" i="3"/>
  <c r="AZ472" i="3"/>
  <c r="AZ475" i="3"/>
  <c r="AZ483" i="3"/>
  <c r="AZ489" i="3"/>
  <c r="AZ395" i="3"/>
  <c r="AZ208" i="3"/>
  <c r="AZ211" i="3"/>
  <c r="AZ236" i="3"/>
  <c r="AZ272" i="3"/>
  <c r="AZ289" i="3"/>
  <c r="AZ300" i="3"/>
  <c r="AZ118" i="3"/>
  <c r="AZ121" i="3"/>
  <c r="AZ435" i="3"/>
  <c r="AZ439" i="3"/>
  <c r="AZ448" i="3"/>
  <c r="AZ461" i="3"/>
  <c r="AZ468" i="3"/>
  <c r="AZ485" i="3"/>
  <c r="AZ22" i="3"/>
  <c r="AZ57" i="3"/>
  <c r="AZ70" i="3"/>
  <c r="AZ92" i="3"/>
  <c r="F3" i="35"/>
  <c r="AA5" i="71"/>
  <c r="AB5" i="71"/>
  <c r="X5" i="71"/>
  <c r="Y5" i="71"/>
  <c r="Z5" i="71" s="1"/>
  <c r="D24" i="71"/>
  <c r="AB24" i="71"/>
  <c r="E27" i="71"/>
  <c r="E28" i="71" s="1"/>
  <c r="E29" i="71" s="1"/>
  <c r="U29" i="71" s="1"/>
  <c r="AA26" i="71"/>
  <c r="AB27" i="71"/>
  <c r="AB6" i="71"/>
  <c r="AB7" i="71"/>
  <c r="AB36" i="71"/>
  <c r="S65" i="71"/>
  <c r="B64" i="71"/>
  <c r="Z12" i="43"/>
  <c r="Z10" i="43"/>
  <c r="AD12" i="43"/>
  <c r="AD10" i="43"/>
  <c r="AF12" i="43"/>
  <c r="AF10" i="43"/>
  <c r="AH12" i="43"/>
  <c r="AH10" i="43"/>
  <c r="M100" i="43"/>
  <c r="I100" i="43"/>
  <c r="E100" i="43"/>
  <c r="D100" i="43"/>
  <c r="C40" i="68"/>
  <c r="C21" i="68"/>
  <c r="X6" i="71"/>
  <c r="X7" i="71"/>
  <c r="X36" i="71"/>
  <c r="Y18" i="71"/>
  <c r="Z18" i="71" s="1"/>
  <c r="AB18" i="71"/>
  <c r="AA18" i="71"/>
  <c r="X15" i="71"/>
  <c r="AA15" i="71"/>
  <c r="Y11" i="71"/>
  <c r="Z11" i="71" s="1"/>
  <c r="AA14" i="71"/>
  <c r="Y6" i="71"/>
  <c r="Z6" i="71" s="1"/>
  <c r="Y7" i="71"/>
  <c r="Z7" i="71" s="1"/>
  <c r="AA6" i="71"/>
  <c r="AA7" i="71"/>
  <c r="AC12" i="43"/>
  <c r="AC10" i="43"/>
  <c r="AG12" i="43"/>
  <c r="AG10" i="43"/>
  <c r="X21" i="71"/>
  <c r="Y21" i="71"/>
  <c r="Z21" i="71" s="1"/>
  <c r="AA19" i="71"/>
  <c r="X18" i="71"/>
  <c r="Y15" i="71"/>
  <c r="Z15" i="71" s="1"/>
  <c r="X14" i="71"/>
  <c r="AB15" i="71"/>
  <c r="X9" i="71"/>
  <c r="AA11" i="71"/>
  <c r="Y14" i="71"/>
  <c r="Z14" i="71" s="1"/>
  <c r="AB14" i="71"/>
  <c r="AA21" i="71"/>
  <c r="AB21" i="71"/>
  <c r="B21" i="71"/>
  <c r="C21" i="71"/>
  <c r="Y20" i="71"/>
  <c r="Z20" i="71" s="1"/>
  <c r="Y19" i="71"/>
  <c r="Z19" i="71" s="1"/>
  <c r="AA20" i="71"/>
  <c r="AB20" i="71"/>
  <c r="X19" i="71"/>
  <c r="AB12" i="71"/>
  <c r="Y10" i="71"/>
  <c r="Z10" i="71" s="1"/>
  <c r="Y9" i="71"/>
  <c r="Z9" i="71" s="1"/>
  <c r="AA9" i="71"/>
  <c r="X10" i="71"/>
  <c r="AB9" i="71"/>
  <c r="AB10" i="71"/>
  <c r="X12" i="71"/>
  <c r="AA12" i="71"/>
  <c r="Y8" i="71"/>
  <c r="Z8" i="71" s="1"/>
  <c r="AA8" i="71"/>
  <c r="AA10" i="71"/>
  <c r="X8" i="71"/>
  <c r="X11" i="71"/>
  <c r="AB8" i="71"/>
  <c r="AB11" i="71"/>
  <c r="D5" i="43"/>
  <c r="C35" i="43" s="1"/>
  <c r="E35"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7" i="43"/>
  <c r="E37" i="43" s="1"/>
  <c r="X13" i="71"/>
  <c r="AB13" i="71"/>
  <c r="Y3" i="71"/>
  <c r="Z3" i="71" s="1"/>
  <c r="F13" i="71"/>
  <c r="F12" i="71" s="1"/>
  <c r="F11" i="71" s="1"/>
  <c r="F10" i="71" s="1"/>
  <c r="F9" i="71" s="1"/>
  <c r="F8" i="71" s="1"/>
  <c r="F7" i="71" s="1"/>
  <c r="F6" i="71" s="1"/>
  <c r="F5" i="71" s="1"/>
  <c r="AF3" i="71"/>
  <c r="P22" i="43" s="1"/>
  <c r="C34" i="43"/>
  <c r="C6" i="67"/>
  <c r="B10" i="70"/>
  <c r="Q71" i="15"/>
  <c r="J57" i="15"/>
  <c r="J55" i="15" s="1"/>
  <c r="J58" i="15" s="1"/>
  <c r="Q50" i="15" s="1"/>
  <c r="I1" i="73"/>
  <c r="B39" i="1" s="1"/>
  <c r="F51" i="67"/>
  <c r="F65" i="67"/>
  <c r="B12" i="70"/>
  <c r="J53" i="67"/>
  <c r="J57" i="67"/>
  <c r="J55" i="67" s="1"/>
  <c r="J58" i="67" s="1"/>
  <c r="Q50" i="67" s="1"/>
  <c r="L56" i="67"/>
  <c r="I54" i="67"/>
  <c r="M7" i="15"/>
  <c r="J6" i="15" s="1"/>
  <c r="F50" i="15"/>
  <c r="F51" i="15"/>
  <c r="F71" i="15"/>
  <c r="C6" i="15"/>
  <c r="F69" i="67"/>
  <c r="F66" i="67"/>
  <c r="B11" i="70"/>
  <c r="N59" i="15"/>
  <c r="L58" i="15"/>
  <c r="M59" i="15"/>
  <c r="F66" i="15"/>
  <c r="Q71" i="67"/>
  <c r="F64" i="15"/>
  <c r="F70" i="67"/>
  <c r="C27" i="67"/>
  <c r="F71" i="67"/>
  <c r="C27" i="15"/>
  <c r="F65" i="15"/>
  <c r="B9" i="70"/>
  <c r="N59" i="67"/>
  <c r="L59" i="67"/>
  <c r="L58" i="67"/>
  <c r="M59" i="67"/>
  <c r="B13" i="70"/>
  <c r="M7" i="67"/>
  <c r="J6" i="67" s="1"/>
  <c r="F50" i="67"/>
  <c r="F68" i="67"/>
  <c r="F64" i="67"/>
  <c r="F68" i="15"/>
  <c r="D5" i="73"/>
  <c r="C16" i="67"/>
  <c r="C16" i="15"/>
  <c r="D9" i="68"/>
  <c r="D6" i="73"/>
  <c r="D4" i="73"/>
  <c r="C36" i="68"/>
  <c r="K1" i="73" l="1"/>
  <c r="AC23" i="36"/>
  <c r="W23" i="36"/>
  <c r="G30" i="6"/>
  <c r="G31" i="6" s="1"/>
  <c r="AB34" i="39"/>
  <c r="L59" i="15"/>
  <c r="Q61" i="15" s="1"/>
  <c r="I54" i="15"/>
  <c r="C38" i="43"/>
  <c r="F7" i="36"/>
  <c r="S25" i="71"/>
  <c r="E28" i="6"/>
  <c r="D101" i="43"/>
  <c r="E12" i="6"/>
  <c r="E57" i="40" s="1"/>
  <c r="H16" i="1"/>
  <c r="Q16" i="1"/>
  <c r="F27" i="69" s="1"/>
  <c r="C47" i="69" s="1"/>
  <c r="D45" i="69" s="1"/>
  <c r="S34" i="39"/>
  <c r="AZ110" i="3"/>
  <c r="AZ108" i="3"/>
  <c r="AZ61" i="3"/>
  <c r="AZ44" i="3"/>
  <c r="AZ38" i="3"/>
  <c r="AZ205" i="3"/>
  <c r="AZ190" i="3"/>
  <c r="AZ177" i="3"/>
  <c r="AZ290" i="3"/>
  <c r="AZ348" i="3"/>
  <c r="AZ333" i="3"/>
  <c r="AZ480" i="3"/>
  <c r="AZ450" i="3"/>
  <c r="AZ434" i="3"/>
  <c r="AZ432" i="3"/>
  <c r="AZ428" i="3"/>
  <c r="AZ425" i="3"/>
  <c r="AZ418" i="3"/>
  <c r="AZ416" i="3"/>
  <c r="AZ412" i="3"/>
  <c r="AZ409" i="3"/>
  <c r="U43" i="34"/>
  <c r="AZ71" i="3"/>
  <c r="AZ67" i="3"/>
  <c r="AZ65" i="3"/>
  <c r="AZ20" i="3"/>
  <c r="AZ186" i="3"/>
  <c r="AZ181" i="3"/>
  <c r="AZ158" i="3"/>
  <c r="C61" i="71"/>
  <c r="D60" i="71"/>
  <c r="D28" i="71"/>
  <c r="C29" i="71"/>
  <c r="C41" i="71"/>
  <c r="D40" i="71"/>
  <c r="AZ145" i="3"/>
  <c r="AZ126" i="3"/>
  <c r="AZ113" i="3"/>
  <c r="AZ297" i="3"/>
  <c r="AZ295" i="3"/>
  <c r="AZ262" i="3"/>
  <c r="AZ258" i="3"/>
  <c r="AZ242" i="3"/>
  <c r="AZ230" i="3"/>
  <c r="AZ353" i="3"/>
  <c r="AZ477" i="3"/>
  <c r="AZ466" i="3"/>
  <c r="AZ459" i="3"/>
  <c r="S12" i="34"/>
  <c r="AA12" i="34"/>
  <c r="AB23" i="36"/>
  <c r="U23" i="36"/>
  <c r="S12" i="35"/>
  <c r="AA12" i="35"/>
  <c r="AC37" i="34"/>
  <c r="W37" i="34"/>
  <c r="F90" i="34"/>
  <c r="G90" i="34" s="1"/>
  <c r="H90" i="34" s="1"/>
  <c r="I90" i="34" s="1"/>
  <c r="J90" i="34" s="1"/>
  <c r="K90" i="34" s="1"/>
  <c r="L90" i="34" s="1"/>
  <c r="M90" i="34" s="1"/>
  <c r="E18" i="87"/>
  <c r="Q51" i="87" s="1"/>
  <c r="H27" i="34"/>
  <c r="F27" i="34"/>
  <c r="Q50" i="87"/>
  <c r="Q46" i="87"/>
  <c r="Q48" i="87"/>
  <c r="Q29" i="87"/>
  <c r="Q49" i="87"/>
  <c r="W27" i="34"/>
  <c r="AC27" i="34"/>
  <c r="AH11" i="43"/>
  <c r="L101" i="43"/>
  <c r="B113" i="43"/>
  <c r="I115" i="43" s="1"/>
  <c r="J115" i="43" s="1"/>
  <c r="K115" i="43" s="1"/>
  <c r="L115" i="43" s="1"/>
  <c r="M115" i="43" s="1"/>
  <c r="T11" i="43"/>
  <c r="V11" i="43" s="1"/>
  <c r="T14" i="43"/>
  <c r="V14" i="43" s="1"/>
  <c r="C33" i="43"/>
  <c r="G33" i="43" s="1"/>
  <c r="I33" i="43" s="1"/>
  <c r="E22" i="43"/>
  <c r="AB11" i="43"/>
  <c r="AB13" i="43" s="1"/>
  <c r="C101" i="43"/>
  <c r="C107" i="43" s="1"/>
  <c r="AJ11" i="43"/>
  <c r="AJ13" i="43" s="1"/>
  <c r="E101" i="43"/>
  <c r="E104" i="43" s="1"/>
  <c r="F22" i="43"/>
  <c r="AE11" i="43"/>
  <c r="AE13" i="43" s="1"/>
  <c r="G22" i="43"/>
  <c r="N104" i="46"/>
  <c r="N101" i="43"/>
  <c r="N105" i="43" s="1"/>
  <c r="J22" i="43"/>
  <c r="AG11" i="43"/>
  <c r="AD13" i="43"/>
  <c r="H101" i="43"/>
  <c r="H107" i="43" s="1"/>
  <c r="F101" i="43"/>
  <c r="F102" i="43" s="1"/>
  <c r="M101" i="43"/>
  <c r="M109" i="43" s="1"/>
  <c r="AC11" i="43"/>
  <c r="Z11" i="43"/>
  <c r="Z13" i="43" s="1"/>
  <c r="AF11" i="43"/>
  <c r="AF13" i="43" s="1"/>
  <c r="I101" i="43"/>
  <c r="I109" i="43" s="1"/>
  <c r="H22" i="43"/>
  <c r="J101" i="43"/>
  <c r="J106" i="43" s="1"/>
  <c r="G101" i="43"/>
  <c r="G103" i="43" s="1"/>
  <c r="K101" i="43"/>
  <c r="K106" i="43" s="1"/>
  <c r="AA11" i="43"/>
  <c r="AA13" i="43" s="1"/>
  <c r="AI11" i="43"/>
  <c r="AI13" i="43" s="1"/>
  <c r="Y11" i="43"/>
  <c r="Y13" i="43" s="1"/>
  <c r="Z7" i="43"/>
  <c r="J7" i="37"/>
  <c r="J7" i="34"/>
  <c r="W7" i="34" s="1"/>
  <c r="AA17" i="34"/>
  <c r="S17" i="34"/>
  <c r="AA19" i="34"/>
  <c r="S19" i="34"/>
  <c r="AB19" i="34"/>
  <c r="U19" i="34"/>
  <c r="T12" i="43"/>
  <c r="V12" i="43" s="1"/>
  <c r="H7" i="36"/>
  <c r="U7" i="36" s="1"/>
  <c r="E24" i="71"/>
  <c r="E23" i="71" s="1"/>
  <c r="V25" i="71"/>
  <c r="T49" i="71"/>
  <c r="D49" i="71"/>
  <c r="D76" i="71"/>
  <c r="C75" i="71"/>
  <c r="D75" i="71" s="1"/>
  <c r="BL5" i="3"/>
  <c r="AB24" i="36"/>
  <c r="U24" i="36"/>
  <c r="U12" i="36"/>
  <c r="AB12" i="36"/>
  <c r="S26" i="33"/>
  <c r="AA26" i="33"/>
  <c r="AB38" i="40"/>
  <c r="U38" i="40"/>
  <c r="S27" i="39"/>
  <c r="AA27" i="39"/>
  <c r="E20" i="71"/>
  <c r="E19" i="71" s="1"/>
  <c r="E18" i="71" s="1"/>
  <c r="E17" i="71" s="1"/>
  <c r="V21" i="71"/>
  <c r="T33" i="71"/>
  <c r="D33" i="71"/>
  <c r="C83" i="71"/>
  <c r="D83" i="71" s="1"/>
  <c r="D84" i="71"/>
  <c r="D68" i="71"/>
  <c r="C67" i="71"/>
  <c r="D67" i="71" s="1"/>
  <c r="C37" i="71"/>
  <c r="D36" i="71"/>
  <c r="AZ487" i="3"/>
  <c r="AZ481" i="3"/>
  <c r="AZ454" i="3"/>
  <c r="AZ550" i="3"/>
  <c r="AA23" i="36"/>
  <c r="S23" i="36"/>
  <c r="AC23" i="35"/>
  <c r="W23" i="35"/>
  <c r="AA25" i="37"/>
  <c r="S25" i="37"/>
  <c r="U27" i="39"/>
  <c r="AB27" i="39"/>
  <c r="T13" i="43"/>
  <c r="V13" i="43" s="1"/>
  <c r="T10" i="43"/>
  <c r="V10" i="43" s="1"/>
  <c r="T9" i="43"/>
  <c r="V9" i="43" s="1"/>
  <c r="W41" i="39"/>
  <c r="AC41" i="39"/>
  <c r="F7" i="34"/>
  <c r="F27" i="11"/>
  <c r="C47" i="11" s="1"/>
  <c r="D45" i="11" s="1"/>
  <c r="F11" i="82"/>
  <c r="M11" i="82"/>
  <c r="C39" i="43"/>
  <c r="E39" i="43" s="1"/>
  <c r="C36" i="43"/>
  <c r="E36" i="43" s="1"/>
  <c r="F11" i="81"/>
  <c r="M11" i="81"/>
  <c r="C9" i="68"/>
  <c r="E13" i="3"/>
  <c r="AT6" i="3"/>
  <c r="AG13" i="43"/>
  <c r="AH13" i="43"/>
  <c r="F45" i="69"/>
  <c r="C29" i="69"/>
  <c r="D27" i="69" s="1"/>
  <c r="F28" i="12"/>
  <c r="C29" i="12" s="1"/>
  <c r="D28" i="12" s="1"/>
  <c r="BA5" i="3"/>
  <c r="AZ13" i="3"/>
  <c r="I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75" i="3"/>
  <c r="E530" i="3"/>
  <c r="E343" i="3"/>
  <c r="E305" i="3"/>
  <c r="E508" i="3"/>
  <c r="E329" i="3"/>
  <c r="E545" i="3"/>
  <c r="E510" i="3"/>
  <c r="E352" i="3"/>
  <c r="E205" i="3"/>
  <c r="E128" i="3"/>
  <c r="E270" i="3"/>
  <c r="E533" i="3"/>
  <c r="AR6" i="3"/>
  <c r="E561" i="3"/>
  <c r="E538" i="3"/>
  <c r="E439"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2" i="3"/>
  <c r="E449" i="3"/>
  <c r="E374" i="3"/>
  <c r="E566" i="3"/>
  <c r="E500" i="3"/>
  <c r="E582" i="3"/>
  <c r="E413" i="3"/>
  <c r="E460" i="3"/>
  <c r="E520" i="3"/>
  <c r="E436" i="3"/>
  <c r="E39" i="3"/>
  <c r="E56" i="3"/>
  <c r="E37" i="3"/>
  <c r="E95" i="3"/>
  <c r="E152" i="3"/>
  <c r="E166" i="3"/>
  <c r="E186" i="3"/>
  <c r="E211" i="3"/>
  <c r="E272" i="3"/>
  <c r="E258" i="3"/>
  <c r="E297" i="3"/>
  <c r="E241" i="3"/>
  <c r="E259" i="3"/>
  <c r="E292" i="3"/>
  <c r="E348" i="3"/>
  <c r="E363" i="3"/>
  <c r="E378" i="3"/>
  <c r="E349" i="3"/>
  <c r="E375" i="3"/>
  <c r="E53" i="3"/>
  <c r="E319" i="3"/>
  <c r="E501" i="3"/>
  <c r="E153" i="3"/>
  <c r="E426" i="3"/>
  <c r="E328" i="3"/>
  <c r="E539" i="3"/>
  <c r="E567" i="3"/>
  <c r="E461" i="3"/>
  <c r="E227" i="3"/>
  <c r="E165" i="3"/>
  <c r="E390" i="3"/>
  <c r="S6" i="3"/>
  <c r="E523" i="3"/>
  <c r="E506" i="3"/>
  <c r="E418"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421" i="3"/>
  <c r="E442" i="3"/>
  <c r="E464" i="3"/>
  <c r="E466" i="3"/>
  <c r="E487" i="3"/>
  <c r="E541" i="3"/>
  <c r="E398" i="3"/>
  <c r="E430" i="3"/>
  <c r="E416" i="3"/>
  <c r="E459" i="3"/>
  <c r="E255" i="3"/>
  <c r="I3" i="6"/>
  <c r="AP6" i="3"/>
  <c r="E554" i="3"/>
  <c r="E517" i="3"/>
  <c r="E435" i="3"/>
  <c r="E491" i="3"/>
  <c r="E417" i="3"/>
  <c r="E479" i="3"/>
  <c r="E90" i="3"/>
  <c r="E57" i="3"/>
  <c r="E131" i="3"/>
  <c r="E187" i="3"/>
  <c r="E132" i="3"/>
  <c r="E155" i="3"/>
  <c r="E192" i="3"/>
  <c r="E240"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4" i="6"/>
  <c r="E10" i="6"/>
  <c r="E11" i="6"/>
  <c r="E8" i="6"/>
  <c r="E15" i="6"/>
  <c r="E62" i="39"/>
  <c r="C29" i="11"/>
  <c r="D27" i="11" s="1"/>
  <c r="AC13" i="43"/>
  <c r="D109" i="43"/>
  <c r="D103" i="43"/>
  <c r="D104" i="43"/>
  <c r="D107" i="43"/>
  <c r="D106" i="43"/>
  <c r="D105" i="43"/>
  <c r="D102" i="43"/>
  <c r="C103" i="43"/>
  <c r="N102" i="43"/>
  <c r="I118" i="43"/>
  <c r="J118" i="43" s="1"/>
  <c r="K118" i="43" s="1"/>
  <c r="L118" i="43" s="1"/>
  <c r="M118" i="43" s="1"/>
  <c r="D116" i="43"/>
  <c r="E116" i="43" s="1"/>
  <c r="F116" i="43" s="1"/>
  <c r="G116" i="43" s="1"/>
  <c r="H116" i="43" s="1"/>
  <c r="L109" i="43"/>
  <c r="L102" i="43"/>
  <c r="L105" i="43"/>
  <c r="L104" i="43"/>
  <c r="L106" i="43"/>
  <c r="L103" i="43"/>
  <c r="L107" i="43"/>
  <c r="J109" i="43"/>
  <c r="K107" i="43"/>
  <c r="J10" i="40"/>
  <c r="AC10" i="40" s="1"/>
  <c r="H10" i="39"/>
  <c r="AB10" i="39" s="1"/>
  <c r="F10" i="40"/>
  <c r="S10" i="40" s="1"/>
  <c r="J10" i="39"/>
  <c r="W10" i="39" s="1"/>
  <c r="H10" i="40"/>
  <c r="U10" i="40" s="1"/>
  <c r="D70" i="39"/>
  <c r="E68" i="39"/>
  <c r="B20" i="71"/>
  <c r="B19" i="71" s="1"/>
  <c r="B18" i="71" s="1"/>
  <c r="B17" i="71" s="1"/>
  <c r="S21" i="71"/>
  <c r="B63" i="71"/>
  <c r="N64" i="71"/>
  <c r="AA34" i="35"/>
  <c r="S34" i="35"/>
  <c r="AC34" i="35"/>
  <c r="W34" i="35"/>
  <c r="AB36" i="35"/>
  <c r="U36" i="35"/>
  <c r="P11" i="1"/>
  <c r="C20" i="71"/>
  <c r="T21" i="71"/>
  <c r="D21" i="71"/>
  <c r="U21" i="71" s="1"/>
  <c r="AB34" i="35"/>
  <c r="U34" i="35"/>
  <c r="U9" i="34"/>
  <c r="AB9" i="34"/>
  <c r="W36" i="35"/>
  <c r="AC36" i="35"/>
  <c r="E58" i="40"/>
  <c r="E63" i="39"/>
  <c r="E30" i="6"/>
  <c r="K14" i="1"/>
  <c r="H14" i="74"/>
  <c r="B7" i="74" s="1"/>
  <c r="D10" i="52"/>
  <c r="D125" i="9"/>
  <c r="D11" i="52" s="1"/>
  <c r="T8" i="43"/>
  <c r="V8" i="43" s="1"/>
  <c r="T16" i="43"/>
  <c r="V16" i="43" s="1"/>
  <c r="T15" i="43"/>
  <c r="V15" i="43" s="1"/>
  <c r="F59" i="67"/>
  <c r="G35" i="43"/>
  <c r="I35" i="43" s="1"/>
  <c r="H7" i="37"/>
  <c r="AB7" i="37" s="1"/>
  <c r="T42" i="37" s="1"/>
  <c r="G42" i="37" s="1"/>
  <c r="S10" i="39"/>
  <c r="AA10" i="39"/>
  <c r="H7" i="33"/>
  <c r="J7" i="33"/>
  <c r="D65" i="40"/>
  <c r="E63" i="40"/>
  <c r="F48" i="35"/>
  <c r="S7" i="36"/>
  <c r="AA7" i="36"/>
  <c r="R36" i="36" s="1"/>
  <c r="AC7" i="37"/>
  <c r="V42" i="37" s="1"/>
  <c r="I42" i="37" s="1"/>
  <c r="W7" i="37"/>
  <c r="AB7" i="36"/>
  <c r="T36" i="36" s="1"/>
  <c r="G36" i="36" s="1"/>
  <c r="AB7" i="34"/>
  <c r="U7" i="34"/>
  <c r="AA7" i="34"/>
  <c r="S7" i="34"/>
  <c r="F7" i="33"/>
  <c r="E58" i="21"/>
  <c r="AC7" i="36"/>
  <c r="V36" i="36" s="1"/>
  <c r="I36" i="36" s="1"/>
  <c r="W7" i="36"/>
  <c r="F7" i="37"/>
  <c r="AC7" i="34"/>
  <c r="V49" i="34" s="1"/>
  <c r="I49" i="34" s="1"/>
  <c r="G37" i="43"/>
  <c r="I37" i="43" s="1"/>
  <c r="M17" i="67"/>
  <c r="M17" i="15"/>
  <c r="F59" i="15"/>
  <c r="P24" i="43"/>
  <c r="B66" i="40" s="1"/>
  <c r="P21" i="43"/>
  <c r="C49" i="67"/>
  <c r="P25" i="43"/>
  <c r="P23" i="43"/>
  <c r="B71" i="39" s="1"/>
  <c r="E38" i="43"/>
  <c r="G38" i="43"/>
  <c r="I38" i="43" s="1"/>
  <c r="G34" i="43"/>
  <c r="I34" i="43" s="1"/>
  <c r="E34" i="43"/>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G1" i="73"/>
  <c r="C36" i="84"/>
  <c r="F37" i="81"/>
  <c r="C76" i="82"/>
  <c r="F36" i="82"/>
  <c r="M28" i="81"/>
  <c r="F8" i="81"/>
  <c r="F37" i="82"/>
  <c r="L47" i="82"/>
  <c r="M6" i="82"/>
  <c r="F6" i="81"/>
  <c r="M29" i="81"/>
  <c r="M6" i="81"/>
  <c r="F7" i="82"/>
  <c r="M29" i="82"/>
  <c r="F8" i="82"/>
  <c r="D9" i="84"/>
  <c r="F27" i="84"/>
  <c r="F42" i="81"/>
  <c r="F43" i="82"/>
  <c r="M23" i="81"/>
  <c r="F38" i="82"/>
  <c r="F13" i="81"/>
  <c r="M26" i="82"/>
  <c r="M22" i="82"/>
  <c r="M27" i="81"/>
  <c r="M23" i="82"/>
  <c r="M8" i="81"/>
  <c r="F40" i="82"/>
  <c r="F36" i="81"/>
  <c r="M22" i="81"/>
  <c r="F16" i="82"/>
  <c r="M9" i="81"/>
  <c r="F9" i="82"/>
  <c r="F40" i="81"/>
  <c r="M27" i="82"/>
  <c r="F42" i="82"/>
  <c r="J15" i="81"/>
  <c r="F13" i="82"/>
  <c r="L47" i="81"/>
  <c r="F26" i="82"/>
  <c r="M26" i="81"/>
  <c r="F27" i="68"/>
  <c r="J15" i="82"/>
  <c r="F38" i="81"/>
  <c r="M28" i="82"/>
  <c r="F6" i="82"/>
  <c r="F7" i="81"/>
  <c r="M9" i="82"/>
  <c r="C76" i="81"/>
  <c r="F43" i="81"/>
  <c r="F26" i="81"/>
  <c r="F16" i="81"/>
  <c r="M24" i="82"/>
  <c r="M8" i="82"/>
  <c r="L48" i="82"/>
  <c r="M24" i="81"/>
  <c r="F9" i="81"/>
  <c r="L48" i="81"/>
  <c r="AE6" i="1"/>
  <c r="F45" i="84" l="1"/>
  <c r="C29" i="84"/>
  <c r="D27" i="84" s="1"/>
  <c r="C47" i="84"/>
  <c r="D45" i="84" s="1"/>
  <c r="C9" i="84"/>
  <c r="B40" i="1"/>
  <c r="F22" i="84" s="1"/>
  <c r="AZ5" i="3"/>
  <c r="T29" i="71"/>
  <c r="D29" i="71"/>
  <c r="T41" i="71"/>
  <c r="D41" i="71"/>
  <c r="D61" i="71"/>
  <c r="T61" i="71"/>
  <c r="Q53" i="87"/>
  <c r="Q30" i="87"/>
  <c r="Q52" i="87"/>
  <c r="Q47" i="87"/>
  <c r="AA27" i="34"/>
  <c r="S27" i="34"/>
  <c r="Q524" i="87"/>
  <c r="Q523" i="87"/>
  <c r="Q520" i="87"/>
  <c r="Q519" i="87"/>
  <c r="Q516" i="87"/>
  <c r="Q515" i="87"/>
  <c r="Q512" i="87"/>
  <c r="Q511" i="87"/>
  <c r="Q508" i="87"/>
  <c r="Q507" i="87"/>
  <c r="Q504" i="87"/>
  <c r="Q503" i="87"/>
  <c r="Q500" i="87"/>
  <c r="Q499" i="87"/>
  <c r="Q496" i="87"/>
  <c r="Q495" i="87"/>
  <c r="Q492" i="87"/>
  <c r="Q490" i="87"/>
  <c r="Q488" i="87"/>
  <c r="Q486" i="87"/>
  <c r="Q484" i="87"/>
  <c r="Q482" i="87"/>
  <c r="Q480" i="87"/>
  <c r="Q478" i="87"/>
  <c r="Q476" i="87"/>
  <c r="Q474" i="87"/>
  <c r="Q472" i="87"/>
  <c r="Q470" i="87"/>
  <c r="Q468" i="87"/>
  <c r="Q466" i="87"/>
  <c r="Q464" i="87"/>
  <c r="Q462" i="87"/>
  <c r="Q460" i="87"/>
  <c r="Q458" i="87"/>
  <c r="Q456" i="87"/>
  <c r="Q454" i="87"/>
  <c r="Q452" i="87"/>
  <c r="Q450" i="87"/>
  <c r="Q448" i="87"/>
  <c r="Q446" i="87"/>
  <c r="Q444" i="87"/>
  <c r="Q442" i="87"/>
  <c r="Q440" i="87"/>
  <c r="Q438" i="87"/>
  <c r="Q436" i="87"/>
  <c r="Q434" i="87"/>
  <c r="Q432" i="87"/>
  <c r="Q430" i="87"/>
  <c r="Q428" i="87"/>
  <c r="Q426" i="87"/>
  <c r="Q424" i="87"/>
  <c r="Q422" i="87"/>
  <c r="Q420" i="87"/>
  <c r="Q418" i="87"/>
  <c r="Q416" i="87"/>
  <c r="Q414" i="87"/>
  <c r="Q412" i="87"/>
  <c r="Q410" i="87"/>
  <c r="Q408" i="87"/>
  <c r="Q406" i="87"/>
  <c r="Q404" i="87"/>
  <c r="Q402" i="87"/>
  <c r="Q400" i="87"/>
  <c r="Q398" i="87"/>
  <c r="Q396" i="87"/>
  <c r="Q394" i="87"/>
  <c r="Q392" i="87"/>
  <c r="Q390" i="87"/>
  <c r="Q388" i="87"/>
  <c r="Q386" i="87"/>
  <c r="Q384" i="87"/>
  <c r="Q382" i="87"/>
  <c r="Q380" i="87"/>
  <c r="Q378" i="87"/>
  <c r="Q376" i="87"/>
  <c r="Q374" i="87"/>
  <c r="Q372" i="87"/>
  <c r="Q370" i="87"/>
  <c r="Q368" i="87"/>
  <c r="Q366" i="87"/>
  <c r="Q364" i="87"/>
  <c r="Q362" i="87"/>
  <c r="Q360" i="87"/>
  <c r="Q522" i="87"/>
  <c r="Q521" i="87"/>
  <c r="Q518" i="87"/>
  <c r="Q517" i="87"/>
  <c r="Q514" i="87"/>
  <c r="Q513" i="87"/>
  <c r="Q510" i="87"/>
  <c r="Q509" i="87"/>
  <c r="Q506" i="87"/>
  <c r="Q505" i="87"/>
  <c r="Q502" i="87"/>
  <c r="Q501" i="87"/>
  <c r="Q498" i="87"/>
  <c r="Q497" i="87"/>
  <c r="Q494" i="87"/>
  <c r="Q493" i="87"/>
  <c r="Q491" i="87"/>
  <c r="Q489" i="87"/>
  <c r="Q487" i="87"/>
  <c r="Q485" i="87"/>
  <c r="Q483" i="87"/>
  <c r="Q481" i="87"/>
  <c r="Q479" i="87"/>
  <c r="Q477" i="87"/>
  <c r="Q475" i="87"/>
  <c r="Q473" i="87"/>
  <c r="Q471" i="87"/>
  <c r="Q469" i="87"/>
  <c r="Q467" i="87"/>
  <c r="Q465" i="87"/>
  <c r="Q463" i="87"/>
  <c r="Q461" i="87"/>
  <c r="Q459" i="87"/>
  <c r="Q457" i="87"/>
  <c r="Q455" i="87"/>
  <c r="Q453" i="87"/>
  <c r="Q451" i="87"/>
  <c r="Q449" i="87"/>
  <c r="Q447" i="87"/>
  <c r="Q445" i="87"/>
  <c r="Q443" i="87"/>
  <c r="Q441" i="87"/>
  <c r="Q439" i="87"/>
  <c r="Q437" i="87"/>
  <c r="Q435" i="87"/>
  <c r="Q433" i="87"/>
  <c r="Q431" i="87"/>
  <c r="Q429" i="87"/>
  <c r="Q427" i="87"/>
  <c r="Q425" i="87"/>
  <c r="Q423" i="87"/>
  <c r="Q421" i="87"/>
  <c r="Q419" i="87"/>
  <c r="Q417" i="87"/>
  <c r="Q415" i="87"/>
  <c r="Q413" i="87"/>
  <c r="Q411" i="87"/>
  <c r="Q409" i="87"/>
  <c r="Q407" i="87"/>
  <c r="Q405" i="87"/>
  <c r="Q403" i="87"/>
  <c r="Q401" i="87"/>
  <c r="Q399" i="87"/>
  <c r="Q397" i="87"/>
  <c r="Q395" i="87"/>
  <c r="Q393" i="87"/>
  <c r="Q391" i="87"/>
  <c r="Q389" i="87"/>
  <c r="Q387" i="87"/>
  <c r="Q385" i="87"/>
  <c r="Q383" i="87"/>
  <c r="Q381" i="87"/>
  <c r="Q379" i="87"/>
  <c r="Q377" i="87"/>
  <c r="Q375" i="87"/>
  <c r="Q373" i="87"/>
  <c r="Q371" i="87"/>
  <c r="Q369" i="87"/>
  <c r="Q367" i="87"/>
  <c r="Q365" i="87"/>
  <c r="Q363" i="87"/>
  <c r="Q361" i="87"/>
  <c r="Q359" i="87"/>
  <c r="Q357" i="87"/>
  <c r="Q355" i="87"/>
  <c r="Q353" i="87"/>
  <c r="Q351" i="87"/>
  <c r="Q349" i="87"/>
  <c r="Q347" i="87"/>
  <c r="Q345" i="87"/>
  <c r="Q343" i="87"/>
  <c r="Q341" i="87"/>
  <c r="Q339" i="87"/>
  <c r="Q337" i="87"/>
  <c r="Q335" i="87"/>
  <c r="Q333" i="87"/>
  <c r="Q331" i="87"/>
  <c r="Q329" i="87"/>
  <c r="Q327" i="87"/>
  <c r="Q325" i="87"/>
  <c r="Q323" i="87"/>
  <c r="Q321" i="87"/>
  <c r="Q319" i="87"/>
  <c r="Q317" i="87"/>
  <c r="Q315" i="87"/>
  <c r="Q313" i="87"/>
  <c r="Q311" i="87"/>
  <c r="Q309" i="87"/>
  <c r="Q307" i="87"/>
  <c r="Q305" i="87"/>
  <c r="Q303" i="87"/>
  <c r="Q301" i="87"/>
  <c r="Q299" i="87"/>
  <c r="Q297" i="87"/>
  <c r="Q295" i="87"/>
  <c r="Q293" i="87"/>
  <c r="Q291" i="87"/>
  <c r="Q289" i="87"/>
  <c r="Q287" i="87"/>
  <c r="Q285" i="87"/>
  <c r="Q283" i="87"/>
  <c r="Q281" i="87"/>
  <c r="Q279" i="87"/>
  <c r="Q277" i="87"/>
  <c r="Q275" i="87"/>
  <c r="Q273" i="87"/>
  <c r="Q271" i="87"/>
  <c r="Q269" i="87"/>
  <c r="Q267" i="87"/>
  <c r="Q265" i="87"/>
  <c r="Q263" i="87"/>
  <c r="Q261" i="87"/>
  <c r="Q259" i="87"/>
  <c r="Q257" i="87"/>
  <c r="Q255" i="87"/>
  <c r="Q253" i="87"/>
  <c r="Q251" i="87"/>
  <c r="Q249" i="87"/>
  <c r="Q247" i="87"/>
  <c r="Q245" i="87"/>
  <c r="Q243" i="87"/>
  <c r="Q241" i="87"/>
  <c r="Q239" i="87"/>
  <c r="Q237" i="87"/>
  <c r="Q235" i="87"/>
  <c r="Q233" i="87"/>
  <c r="Q231" i="87"/>
  <c r="Q229" i="87"/>
  <c r="Q227" i="87"/>
  <c r="Q225" i="87"/>
  <c r="Q223" i="87"/>
  <c r="Q221" i="87"/>
  <c r="Q219" i="87"/>
  <c r="Q217" i="87"/>
  <c r="Q215" i="87"/>
  <c r="Q213" i="87"/>
  <c r="Q211" i="87"/>
  <c r="Q209" i="87"/>
  <c r="Q207" i="87"/>
  <c r="Q205" i="87"/>
  <c r="Q203" i="87"/>
  <c r="Q201" i="87"/>
  <c r="Q199" i="87"/>
  <c r="Q197" i="87"/>
  <c r="Q195" i="87"/>
  <c r="Q193" i="87"/>
  <c r="Q191" i="87"/>
  <c r="Q189" i="87"/>
  <c r="Q288" i="87"/>
  <c r="Q280" i="87"/>
  <c r="Q272" i="87"/>
  <c r="Q264" i="87"/>
  <c r="Q256" i="87"/>
  <c r="Q248" i="87"/>
  <c r="Q240" i="87"/>
  <c r="Q232" i="87"/>
  <c r="Q224" i="87"/>
  <c r="Q216" i="87"/>
  <c r="Q208" i="87"/>
  <c r="Q200" i="87"/>
  <c r="Q192" i="87"/>
  <c r="Q186" i="87"/>
  <c r="Q182" i="87"/>
  <c r="Q178" i="87"/>
  <c r="Q174" i="87"/>
  <c r="Q170" i="87"/>
  <c r="Q166" i="87"/>
  <c r="Q162" i="87"/>
  <c r="Q158" i="87"/>
  <c r="Q154" i="87"/>
  <c r="Q150" i="87"/>
  <c r="Q146" i="87"/>
  <c r="Q142" i="87"/>
  <c r="Q138" i="87"/>
  <c r="Q134" i="87"/>
  <c r="Q130" i="87"/>
  <c r="Q126" i="87"/>
  <c r="Q122" i="87"/>
  <c r="Q118" i="87"/>
  <c r="Q114" i="87"/>
  <c r="Q110" i="87"/>
  <c r="Q106" i="87"/>
  <c r="Q102" i="87"/>
  <c r="Q98" i="87"/>
  <c r="Q358" i="87"/>
  <c r="Q354" i="87"/>
  <c r="Q350" i="87"/>
  <c r="Q346" i="87"/>
  <c r="Q342" i="87"/>
  <c r="Q338" i="87"/>
  <c r="Q334" i="87"/>
  <c r="Q330" i="87"/>
  <c r="Q326" i="87"/>
  <c r="Q322" i="87"/>
  <c r="Q318" i="87"/>
  <c r="Q314" i="87"/>
  <c r="Q310" i="87"/>
  <c r="Q306" i="87"/>
  <c r="Q302" i="87"/>
  <c r="Q298" i="87"/>
  <c r="Q294" i="87"/>
  <c r="Q290" i="87"/>
  <c r="Q286" i="87"/>
  <c r="Q282" i="87"/>
  <c r="Q278" i="87"/>
  <c r="Q274" i="87"/>
  <c r="Q270" i="87"/>
  <c r="Q266" i="87"/>
  <c r="Q262" i="87"/>
  <c r="Q258" i="87"/>
  <c r="Q254" i="87"/>
  <c r="Q250" i="87"/>
  <c r="Q246" i="87"/>
  <c r="Q242" i="87"/>
  <c r="Q238" i="87"/>
  <c r="Q234" i="87"/>
  <c r="Q230" i="87"/>
  <c r="Q226" i="87"/>
  <c r="Q222" i="87"/>
  <c r="Q218" i="87"/>
  <c r="Q214" i="87"/>
  <c r="Q210" i="87"/>
  <c r="Q206" i="87"/>
  <c r="Q202" i="87"/>
  <c r="Q198" i="87"/>
  <c r="Q194" i="87"/>
  <c r="Q190" i="87"/>
  <c r="Q187" i="87"/>
  <c r="Q185" i="87"/>
  <c r="Q183" i="87"/>
  <c r="Q181" i="87"/>
  <c r="Q179" i="87"/>
  <c r="Q177" i="87"/>
  <c r="Q175" i="87"/>
  <c r="Q173" i="87"/>
  <c r="Q171" i="87"/>
  <c r="Q169" i="87"/>
  <c r="Q167" i="87"/>
  <c r="Q165" i="87"/>
  <c r="Q163" i="87"/>
  <c r="Q161" i="87"/>
  <c r="Q159" i="87"/>
  <c r="Q157" i="87"/>
  <c r="Q155" i="87"/>
  <c r="Q153" i="87"/>
  <c r="Q151" i="87"/>
  <c r="Q149" i="87"/>
  <c r="Q147" i="87"/>
  <c r="Q145" i="87"/>
  <c r="Q143" i="87"/>
  <c r="Q141" i="87"/>
  <c r="Q139" i="87"/>
  <c r="Q137" i="87"/>
  <c r="Q135" i="87"/>
  <c r="Q133" i="87"/>
  <c r="Q131" i="87"/>
  <c r="Q129" i="87"/>
  <c r="Q127" i="87"/>
  <c r="Q125" i="87"/>
  <c r="Q123" i="87"/>
  <c r="Q121" i="87"/>
  <c r="Q119" i="87"/>
  <c r="Q117" i="87"/>
  <c r="Q115" i="87"/>
  <c r="Q113" i="87"/>
  <c r="Q111" i="87"/>
  <c r="Q109" i="87"/>
  <c r="Q107" i="87"/>
  <c r="Q105" i="87"/>
  <c r="Q103" i="87"/>
  <c r="Q101" i="87"/>
  <c r="Q99" i="87"/>
  <c r="Q97" i="87"/>
  <c r="Q95" i="87"/>
  <c r="Q93" i="87"/>
  <c r="Q91" i="87"/>
  <c r="Q89" i="87"/>
  <c r="Q87" i="87"/>
  <c r="Q85" i="87"/>
  <c r="Q83" i="87"/>
  <c r="Q81" i="87"/>
  <c r="Q79" i="87"/>
  <c r="Q77" i="87"/>
  <c r="Q75" i="87"/>
  <c r="Q73" i="87"/>
  <c r="Q71" i="87"/>
  <c r="Q69" i="87"/>
  <c r="Q67" i="87"/>
  <c r="Q65" i="87"/>
  <c r="Q63" i="87"/>
  <c r="Q59" i="87"/>
  <c r="Q58" i="87"/>
  <c r="Q55" i="87"/>
  <c r="Q54" i="87"/>
  <c r="Q43" i="87"/>
  <c r="Q42" i="87"/>
  <c r="Q39" i="87"/>
  <c r="Q38" i="87"/>
  <c r="Q356" i="87"/>
  <c r="Q352" i="87"/>
  <c r="Q348" i="87"/>
  <c r="Q344" i="87"/>
  <c r="Q340" i="87"/>
  <c r="Q336" i="87"/>
  <c r="Q332" i="87"/>
  <c r="Q328" i="87"/>
  <c r="Q324" i="87"/>
  <c r="Q320" i="87"/>
  <c r="Q316" i="87"/>
  <c r="Q312" i="87"/>
  <c r="Q308" i="87"/>
  <c r="Q304" i="87"/>
  <c r="Q300" i="87"/>
  <c r="Q296" i="87"/>
  <c r="Q292" i="87"/>
  <c r="Q284" i="87"/>
  <c r="Q276" i="87"/>
  <c r="Q268" i="87"/>
  <c r="Q260" i="87"/>
  <c r="Q252" i="87"/>
  <c r="Q244" i="87"/>
  <c r="Q236" i="87"/>
  <c r="Q228" i="87"/>
  <c r="Q220" i="87"/>
  <c r="Q212" i="87"/>
  <c r="Q204" i="87"/>
  <c r="Q196" i="87"/>
  <c r="Q188" i="87"/>
  <c r="Q184" i="87"/>
  <c r="Q180" i="87"/>
  <c r="Q176" i="87"/>
  <c r="Q172" i="87"/>
  <c r="Q168" i="87"/>
  <c r="Q164" i="87"/>
  <c r="Q160" i="87"/>
  <c r="Q156" i="87"/>
  <c r="Q152" i="87"/>
  <c r="Q148" i="87"/>
  <c r="Q144" i="87"/>
  <c r="Q140" i="87"/>
  <c r="Q136" i="87"/>
  <c r="Q132" i="87"/>
  <c r="Q128" i="87"/>
  <c r="Q124" i="87"/>
  <c r="Q120" i="87"/>
  <c r="Q116" i="87"/>
  <c r="Q112" i="87"/>
  <c r="Q108" i="87"/>
  <c r="Q104" i="87"/>
  <c r="Q100" i="87"/>
  <c r="Q94" i="87"/>
  <c r="Q90" i="87"/>
  <c r="Q86" i="87"/>
  <c r="Q82" i="87"/>
  <c r="Q78" i="87"/>
  <c r="Q74" i="87"/>
  <c r="Q70" i="87"/>
  <c r="Q66" i="87"/>
  <c r="Q61" i="87"/>
  <c r="Q60" i="87"/>
  <c r="Q56" i="87"/>
  <c r="Q44" i="87"/>
  <c r="Q40" i="87"/>
  <c r="Q36" i="87"/>
  <c r="Q34" i="87"/>
  <c r="Q32" i="87"/>
  <c r="Q27" i="87"/>
  <c r="Q25" i="87"/>
  <c r="Q96" i="87"/>
  <c r="Q92" i="87"/>
  <c r="Q88" i="87"/>
  <c r="Q84" i="87"/>
  <c r="Q80" i="87"/>
  <c r="Q76" i="87"/>
  <c r="Q72" i="87"/>
  <c r="Q68" i="87"/>
  <c r="Q64" i="87"/>
  <c r="Q62" i="87"/>
  <c r="Q57" i="87"/>
  <c r="Q45" i="87"/>
  <c r="Q41" i="87"/>
  <c r="Q37" i="87"/>
  <c r="Q35" i="87"/>
  <c r="Q33" i="87"/>
  <c r="Q31" i="87"/>
  <c r="Q28" i="87"/>
  <c r="Q26" i="87"/>
  <c r="R49" i="34"/>
  <c r="AB27" i="34"/>
  <c r="T49" i="34" s="1"/>
  <c r="G49" i="34" s="1"/>
  <c r="U27" i="34"/>
  <c r="G36" i="43"/>
  <c r="I36" i="43" s="1"/>
  <c r="E109" i="43"/>
  <c r="I117" i="43"/>
  <c r="J117" i="43" s="1"/>
  <c r="K117" i="43" s="1"/>
  <c r="L117" i="43" s="1"/>
  <c r="M117" i="43" s="1"/>
  <c r="F103" i="43"/>
  <c r="F104" i="43"/>
  <c r="G102" i="43"/>
  <c r="D118" i="43"/>
  <c r="E118" i="43" s="1"/>
  <c r="F118" i="43" s="1"/>
  <c r="I116" i="43"/>
  <c r="J116" i="43" s="1"/>
  <c r="K116" i="43" s="1"/>
  <c r="L116" i="43" s="1"/>
  <c r="M116" i="43" s="1"/>
  <c r="B116" i="43"/>
  <c r="C116" i="43" s="1"/>
  <c r="D117" i="43"/>
  <c r="E117" i="43" s="1"/>
  <c r="F117" i="43" s="1"/>
  <c r="G117" i="43" s="1"/>
  <c r="H117" i="43" s="1"/>
  <c r="C109" i="43"/>
  <c r="F109" i="43"/>
  <c r="E102" i="43"/>
  <c r="E107" i="43"/>
  <c r="B115" i="43"/>
  <c r="D115" i="43"/>
  <c r="E115" i="43" s="1"/>
  <c r="F115" i="43" s="1"/>
  <c r="G115" i="43" s="1"/>
  <c r="H115" i="43" s="1"/>
  <c r="B117" i="43"/>
  <c r="C117" i="43" s="1"/>
  <c r="B118" i="43"/>
  <c r="C118" i="43" s="1"/>
  <c r="G118" i="43"/>
  <c r="H118" i="43" s="1"/>
  <c r="C102" i="43"/>
  <c r="C106" i="43"/>
  <c r="F105" i="43"/>
  <c r="F106" i="43"/>
  <c r="F107" i="43"/>
  <c r="E103" i="43"/>
  <c r="E106" i="43"/>
  <c r="E105" i="43"/>
  <c r="C104" i="43"/>
  <c r="C105" i="43"/>
  <c r="D22" i="43"/>
  <c r="I102" i="43"/>
  <c r="N104" i="43"/>
  <c r="N107" i="43"/>
  <c r="G104" i="43"/>
  <c r="G109" i="43"/>
  <c r="G107" i="43"/>
  <c r="G106" i="43"/>
  <c r="G105" i="43"/>
  <c r="M105" i="43"/>
  <c r="H103" i="43"/>
  <c r="K103" i="43"/>
  <c r="J107" i="43"/>
  <c r="I105" i="43"/>
  <c r="N109" i="43"/>
  <c r="M103" i="43"/>
  <c r="M104" i="43"/>
  <c r="H104" i="43"/>
  <c r="H106" i="43"/>
  <c r="J104" i="43"/>
  <c r="J103" i="43"/>
  <c r="I103" i="43"/>
  <c r="N103" i="43"/>
  <c r="N106" i="43"/>
  <c r="K102" i="43"/>
  <c r="K105" i="43"/>
  <c r="M106" i="43"/>
  <c r="M102" i="43"/>
  <c r="M107" i="43"/>
  <c r="H109" i="43"/>
  <c r="H102" i="43"/>
  <c r="H105" i="43"/>
  <c r="K109" i="43"/>
  <c r="K104" i="43"/>
  <c r="J105" i="43"/>
  <c r="J102" i="43"/>
  <c r="I107" i="43"/>
  <c r="I104" i="43"/>
  <c r="I106" i="43"/>
  <c r="F41" i="84"/>
  <c r="C26" i="84"/>
  <c r="D22" i="84" s="1"/>
  <c r="C24" i="84"/>
  <c r="C44" i="84"/>
  <c r="D41" i="84" s="1"/>
  <c r="L60" i="82"/>
  <c r="I54" i="82"/>
  <c r="L57" i="82"/>
  <c r="J53" i="82"/>
  <c r="F1" i="82" s="1"/>
  <c r="J57" i="82"/>
  <c r="J55" i="82" s="1"/>
  <c r="J58" i="82" s="1"/>
  <c r="Q50" i="82" s="1"/>
  <c r="L56" i="82"/>
  <c r="F68" i="82"/>
  <c r="F66" i="82"/>
  <c r="F65" i="82"/>
  <c r="Q71" i="82"/>
  <c r="J53" i="81"/>
  <c r="F1" i="81" s="1"/>
  <c r="L56" i="81"/>
  <c r="J57" i="81"/>
  <c r="J55" i="81" s="1"/>
  <c r="J58" i="81" s="1"/>
  <c r="Q50" i="81" s="1"/>
  <c r="I54" i="81"/>
  <c r="L60" i="81"/>
  <c r="Q66" i="81" s="1"/>
  <c r="L57" i="81"/>
  <c r="F68" i="81"/>
  <c r="C27" i="81"/>
  <c r="F66" i="81"/>
  <c r="C6" i="81"/>
  <c r="Q71" i="81"/>
  <c r="C6" i="82"/>
  <c r="C10" i="82" s="1"/>
  <c r="C5" i="82" s="1"/>
  <c r="F51" i="82"/>
  <c r="C27" i="82"/>
  <c r="L58" i="82"/>
  <c r="N59" i="82"/>
  <c r="L59" i="82"/>
  <c r="Q61" i="82" s="1"/>
  <c r="M59" i="82"/>
  <c r="F64" i="82"/>
  <c r="F71" i="82"/>
  <c r="M7" i="82"/>
  <c r="J6" i="82" s="1"/>
  <c r="J18" i="82" s="1"/>
  <c r="F50" i="82"/>
  <c r="F64" i="81"/>
  <c r="F51" i="81"/>
  <c r="F65" i="81"/>
  <c r="L58" i="81"/>
  <c r="L59" i="81"/>
  <c r="Q61" i="81" s="1"/>
  <c r="M59" i="81"/>
  <c r="N59" i="81"/>
  <c r="F71" i="81"/>
  <c r="F50" i="81"/>
  <c r="M7" i="81"/>
  <c r="J6" i="81" s="1"/>
  <c r="J18" i="81" s="1"/>
  <c r="D37" i="71"/>
  <c r="T37" i="71"/>
  <c r="E16" i="71"/>
  <c r="E15" i="71" s="1"/>
  <c r="E14" i="71" s="1"/>
  <c r="E13" i="71" s="1"/>
  <c r="V17" i="71"/>
  <c r="Q57" i="81"/>
  <c r="G39" i="43"/>
  <c r="I39" i="43" s="1"/>
  <c r="Q74" i="82"/>
  <c r="F24" i="81"/>
  <c r="C24" i="81" s="1"/>
  <c r="F24" i="82"/>
  <c r="C53" i="82"/>
  <c r="C53" i="81"/>
  <c r="C10" i="81"/>
  <c r="C5" i="81" s="1"/>
  <c r="C29" i="68"/>
  <c r="D27" i="68" s="1"/>
  <c r="F45" i="68"/>
  <c r="C47" i="68"/>
  <c r="D45" i="68" s="1"/>
  <c r="AA10" i="40"/>
  <c r="AB10" i="40"/>
  <c r="E16" i="6"/>
  <c r="E60" i="40"/>
  <c r="E65" i="39"/>
  <c r="E61" i="39"/>
  <c r="E56" i="40"/>
  <c r="E64" i="39"/>
  <c r="E59" i="40"/>
  <c r="AC6" i="3"/>
  <c r="F27" i="6"/>
  <c r="F31" i="6" s="1"/>
  <c r="E56" i="39"/>
  <c r="E51" i="40"/>
  <c r="H6" i="3"/>
  <c r="E6" i="3" s="1"/>
  <c r="E27" i="6"/>
  <c r="S3" i="43"/>
  <c r="T3" i="43" s="1"/>
  <c r="V3" i="43" s="1"/>
  <c r="C23" i="43"/>
  <c r="C21" i="43" s="1"/>
  <c r="C29" i="43" s="1"/>
  <c r="S7" i="43"/>
  <c r="T7" i="43" s="1"/>
  <c r="V7" i="43" s="1"/>
  <c r="S2" i="43"/>
  <c r="T2" i="43" s="1"/>
  <c r="V2" i="43" s="1"/>
  <c r="S5" i="43"/>
  <c r="T5" i="43" s="1"/>
  <c r="V5" i="43" s="1"/>
  <c r="S4" i="43"/>
  <c r="T4" i="43" s="1"/>
  <c r="V4" i="43" s="1"/>
  <c r="S6" i="43"/>
  <c r="T6" i="43" s="1"/>
  <c r="V6" i="43" s="1"/>
  <c r="C26" i="43"/>
  <c r="C115" i="43"/>
  <c r="W10" i="40"/>
  <c r="U10" i="39"/>
  <c r="AC10" i="39"/>
  <c r="F68" i="39"/>
  <c r="E70" i="39"/>
  <c r="U7" i="37"/>
  <c r="M14" i="1"/>
  <c r="C34" i="69"/>
  <c r="K16" i="1"/>
  <c r="C19" i="71"/>
  <c r="D20" i="71"/>
  <c r="AY6" i="3"/>
  <c r="E3" i="6"/>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C16" i="82"/>
  <c r="C16" i="81"/>
  <c r="AE8" i="1"/>
  <c r="F41" i="15"/>
  <c r="G54" i="34" l="1"/>
  <c r="H54" i="34" s="1"/>
  <c r="G53" i="34"/>
  <c r="H53" i="34" s="1"/>
  <c r="R50" i="34"/>
  <c r="C50" i="34" s="1"/>
  <c r="D113" i="43"/>
  <c r="L18" i="86"/>
  <c r="M18" i="86"/>
  <c r="B118" i="86" s="1"/>
  <c r="F69" i="15"/>
  <c r="J29" i="15"/>
  <c r="Q52" i="81"/>
  <c r="Q52" i="82"/>
  <c r="J10" i="81"/>
  <c r="J5" i="81" s="1"/>
  <c r="Q74" i="81"/>
  <c r="J10" i="82"/>
  <c r="J5" i="82" s="1"/>
  <c r="Q73" i="82"/>
  <c r="Q60" i="82"/>
  <c r="C49" i="82"/>
  <c r="C48" i="82" s="1"/>
  <c r="V13" i="71"/>
  <c r="E12" i="71"/>
  <c r="E11" i="71" s="1"/>
  <c r="E10" i="71" s="1"/>
  <c r="E9" i="71" s="1"/>
  <c r="Q73" i="81"/>
  <c r="Q60" i="81"/>
  <c r="C49" i="81"/>
  <c r="C48" i="81" s="1"/>
  <c r="C33" i="82"/>
  <c r="C32" i="82"/>
  <c r="C32" i="81"/>
  <c r="C33" i="81"/>
  <c r="Q57" i="82"/>
  <c r="Q66" i="82"/>
  <c r="C38" i="82"/>
  <c r="C24" i="82"/>
  <c r="C38" i="81"/>
  <c r="E66" i="39"/>
  <c r="K22" i="6"/>
  <c r="K23" i="6"/>
  <c r="M23" i="6" s="1"/>
  <c r="I23" i="6" s="1"/>
  <c r="S23" i="6" s="1"/>
  <c r="K20" i="6"/>
  <c r="K21" i="6"/>
  <c r="K25" i="6"/>
  <c r="M25" i="6" s="1"/>
  <c r="I25" i="6" s="1"/>
  <c r="S25" i="6" s="1"/>
  <c r="K24" i="6"/>
  <c r="M24" i="6" s="1"/>
  <c r="I24" i="6" s="1"/>
  <c r="S24" i="6" s="1"/>
  <c r="K26" i="6"/>
  <c r="M26" i="6" s="1"/>
  <c r="I26" i="6" s="1"/>
  <c r="S26" i="6" s="1"/>
  <c r="K19" i="6"/>
  <c r="S6" i="1" s="1"/>
  <c r="E31" i="6"/>
  <c r="E29" i="43"/>
  <c r="C30" i="43"/>
  <c r="E30" i="43" s="1"/>
  <c r="C27" i="43" s="1"/>
  <c r="G68" i="39"/>
  <c r="F70" i="39"/>
  <c r="D3" i="34"/>
  <c r="D3" i="33"/>
  <c r="E6" i="6"/>
  <c r="D37" i="11"/>
  <c r="C37" i="11" s="1"/>
  <c r="D14" i="12"/>
  <c r="M18" i="9"/>
  <c r="B118" i="9" s="1"/>
  <c r="D3" i="21"/>
  <c r="D19" i="11"/>
  <c r="C19" i="11" s="1"/>
  <c r="C17" i="4"/>
  <c r="B4" i="52" s="1"/>
  <c r="B43" i="72" s="1"/>
  <c r="D3" i="37"/>
  <c r="M16" i="1"/>
  <c r="O14" i="1"/>
  <c r="O16" i="1" s="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71"/>
  <c r="D19" i="71"/>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R24" i="87"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F41" i="81"/>
  <c r="E6" i="76"/>
  <c r="F41" i="82"/>
  <c r="C17" i="15"/>
  <c r="B6" i="76"/>
  <c r="B14" i="74" l="1"/>
  <c r="B1" i="74" s="1"/>
  <c r="B4" i="88"/>
  <c r="B7" i="88" s="1"/>
  <c r="M22" i="6"/>
  <c r="I22" i="6" s="1"/>
  <c r="S22" i="6" s="1"/>
  <c r="S9" i="1"/>
  <c r="L19" i="86"/>
  <c r="M19" i="86"/>
  <c r="C118" i="86" s="1"/>
  <c r="J26" i="81"/>
  <c r="J29" i="81" s="1"/>
  <c r="J24" i="81"/>
  <c r="J24" i="82"/>
  <c r="J26" i="82"/>
  <c r="F69" i="82"/>
  <c r="J29" i="82"/>
  <c r="F69" i="81"/>
  <c r="C60" i="81"/>
  <c r="C66" i="81"/>
  <c r="C60" i="82"/>
  <c r="C66" i="82"/>
  <c r="E6" i="70"/>
  <c r="V9" i="71"/>
  <c r="E8" i="71"/>
  <c r="E7" i="71" s="1"/>
  <c r="E6" i="71" s="1"/>
  <c r="E5" i="71" s="1"/>
  <c r="M20" i="6"/>
  <c r="I20" i="6" s="1"/>
  <c r="H20" i="6" s="1"/>
  <c r="S7" i="1"/>
  <c r="AQ6" i="1"/>
  <c r="AR6" i="1"/>
  <c r="T6" i="1"/>
  <c r="M21" i="6"/>
  <c r="I21" i="6" s="1"/>
  <c r="S8" i="1"/>
  <c r="B2" i="34"/>
  <c r="K27" i="6"/>
  <c r="M19" i="6"/>
  <c r="E2" i="76"/>
  <c r="H68" i="39"/>
  <c r="G70" i="39"/>
  <c r="D25" i="6"/>
  <c r="D15" i="6"/>
  <c r="D22" i="6"/>
  <c r="D21" i="6"/>
  <c r="D24" i="6"/>
  <c r="D20" i="6"/>
  <c r="C15" i="74" s="1"/>
  <c r="D6" i="6"/>
  <c r="D9" i="6"/>
  <c r="D10" i="6"/>
  <c r="D29" i="6"/>
  <c r="H25" i="6"/>
  <c r="H22" i="6"/>
  <c r="H21" i="6"/>
  <c r="H24" i="6"/>
  <c r="D19" i="6"/>
  <c r="D26" i="6"/>
  <c r="C18" i="4"/>
  <c r="D8" i="6"/>
  <c r="D23" i="6"/>
  <c r="D14" i="6"/>
  <c r="D5" i="6"/>
  <c r="D12" i="6"/>
  <c r="D11" i="6"/>
  <c r="D13" i="6"/>
  <c r="D28" i="6"/>
  <c r="E61" i="40"/>
  <c r="H23" i="6"/>
  <c r="H26" i="6"/>
  <c r="C34" i="11"/>
  <c r="N16" i="1"/>
  <c r="F50" i="84" s="1"/>
  <c r="L16" i="1"/>
  <c r="C20" i="11"/>
  <c r="C25" i="11" s="1"/>
  <c r="C22" i="11" s="1"/>
  <c r="C7" i="74"/>
  <c r="C17" i="71"/>
  <c r="D18" i="71"/>
  <c r="B8" i="71"/>
  <c r="B7" i="71" s="1"/>
  <c r="B6" i="71" s="1"/>
  <c r="B5" i="71" s="1"/>
  <c r="S9" i="71"/>
  <c r="P14" i="1"/>
  <c r="P16" i="1" s="1"/>
  <c r="C11" i="12" s="1"/>
  <c r="D17" i="12"/>
  <c r="C17" i="12" s="1"/>
  <c r="C14" i="12"/>
  <c r="D10" i="11"/>
  <c r="C10" i="11" s="1"/>
  <c r="D20" i="12"/>
  <c r="C20" i="12" s="1"/>
  <c r="C18" i="12" s="1"/>
  <c r="D10" i="6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7" i="67"/>
  <c r="D10" i="68"/>
  <c r="C14" i="67"/>
  <c r="C14" i="15"/>
  <c r="C17" i="81"/>
  <c r="C17" i="82"/>
  <c r="D10" i="84"/>
  <c r="C18" i="67" l="1"/>
  <c r="C15" i="67"/>
  <c r="T9" i="1"/>
  <c r="AR9" i="1"/>
  <c r="AQ9" i="1"/>
  <c r="C10" i="84"/>
  <c r="D19" i="84"/>
  <c r="D37" i="84" s="1"/>
  <c r="C37" i="84" s="1"/>
  <c r="M19" i="9"/>
  <c r="C118" i="9" s="1"/>
  <c r="S21" i="6"/>
  <c r="L18" i="85"/>
  <c r="L19" i="83"/>
  <c r="M19" i="83"/>
  <c r="C118" i="83" s="1"/>
  <c r="C5" i="88" s="1"/>
  <c r="L19" i="85"/>
  <c r="C16" i="74"/>
  <c r="M19" i="85"/>
  <c r="C118" i="85" s="1"/>
  <c r="C6" i="88" s="1"/>
  <c r="S20" i="6"/>
  <c r="L18" i="83"/>
  <c r="B3" i="34"/>
  <c r="E8" i="70"/>
  <c r="S16" i="1"/>
  <c r="E7" i="70"/>
  <c r="E2" i="70" s="1"/>
  <c r="C15" i="15"/>
  <c r="C18" i="15"/>
  <c r="AQ8" i="1"/>
  <c r="AR8" i="1"/>
  <c r="T8" i="1"/>
  <c r="AQ7" i="1"/>
  <c r="T7" i="1"/>
  <c r="AR7" i="1"/>
  <c r="C28" i="11"/>
  <c r="C27" i="11" s="1"/>
  <c r="C31" i="11" s="1"/>
  <c r="D30" i="6"/>
  <c r="B3" i="76"/>
  <c r="D16" i="6"/>
  <c r="M27" i="6"/>
  <c r="I19" i="6"/>
  <c r="L18" i="9" s="1"/>
  <c r="H70" i="39"/>
  <c r="I68" i="39"/>
  <c r="C15" i="12"/>
  <c r="C12" i="12"/>
  <c r="C16" i="71"/>
  <c r="T17" i="71"/>
  <c r="D17" i="71"/>
  <c r="U17" i="71" s="1"/>
  <c r="C38" i="11"/>
  <c r="C35" i="11"/>
  <c r="R26" i="6"/>
  <c r="R20" i="6"/>
  <c r="R7" i="1" s="1"/>
  <c r="R21" i="6"/>
  <c r="R8" i="1" s="1"/>
  <c r="C10" i="69"/>
  <c r="C8" i="69" s="1"/>
  <c r="C5" i="69" s="1"/>
  <c r="D19" i="69"/>
  <c r="C10" i="68"/>
  <c r="D19" i="68"/>
  <c r="F50" i="69"/>
  <c r="F50" i="11"/>
  <c r="F50" i="68"/>
  <c r="R23" i="6"/>
  <c r="A7" i="51"/>
  <c r="B7" i="72" s="1"/>
  <c r="C4" i="52"/>
  <c r="B45" i="72" s="1"/>
  <c r="A10" i="51"/>
  <c r="B9" i="72" s="1"/>
  <c r="D27" i="6"/>
  <c r="R24" i="6"/>
  <c r="R22" i="6"/>
  <c r="R9" i="1" s="1"/>
  <c r="R25" i="6"/>
  <c r="I63" i="40"/>
  <c r="H65" i="40"/>
  <c r="I58" i="21"/>
  <c r="J58" i="21" s="1"/>
  <c r="K58" i="21" s="1"/>
  <c r="L58" i="21" s="1"/>
  <c r="M58" i="21" s="1"/>
  <c r="N58" i="21" s="1"/>
  <c r="O58" i="21" s="1"/>
  <c r="H7" i="21" s="1"/>
  <c r="J48" i="35"/>
  <c r="C34" i="68"/>
  <c r="M21" i="67"/>
  <c r="C34" i="84"/>
  <c r="F35" i="67"/>
  <c r="C14" i="82"/>
  <c r="C14" i="81"/>
  <c r="F7" i="21" l="1"/>
  <c r="C14" i="74"/>
  <c r="C4" i="88"/>
  <c r="C7" i="88" s="1"/>
  <c r="C19" i="67"/>
  <c r="C20" i="67" s="1"/>
  <c r="C26" i="67" s="1"/>
  <c r="C34" i="67"/>
  <c r="F63" i="67"/>
  <c r="C62" i="67" s="1"/>
  <c r="J20" i="67"/>
  <c r="B2" i="74"/>
  <c r="D7" i="74" s="1"/>
  <c r="H9" i="84"/>
  <c r="C8" i="84"/>
  <c r="C5" i="84" s="1"/>
  <c r="C38" i="68"/>
  <c r="C35" i="68"/>
  <c r="C38" i="84"/>
  <c r="C35" i="84"/>
  <c r="J7" i="21"/>
  <c r="C19" i="15"/>
  <c r="C20" i="15" s="1"/>
  <c r="C26" i="15" s="1"/>
  <c r="C18" i="81"/>
  <c r="C15" i="81"/>
  <c r="C18" i="82"/>
  <c r="C15" i="82"/>
  <c r="T16" i="1"/>
  <c r="C8" i="68"/>
  <c r="H9" i="68"/>
  <c r="D31" i="6"/>
  <c r="I5" i="6" s="1"/>
  <c r="H19" i="6"/>
  <c r="L19" i="9" s="1"/>
  <c r="S19" i="6"/>
  <c r="S27" i="6" s="1"/>
  <c r="I27" i="6"/>
  <c r="C33" i="11"/>
  <c r="C42" i="11" s="1"/>
  <c r="I70" i="39"/>
  <c r="J68" i="39"/>
  <c r="C16" i="12"/>
  <c r="C21" i="12" s="1"/>
  <c r="C22" i="12" s="1"/>
  <c r="C30" i="12" s="1"/>
  <c r="C28" i="12" s="1"/>
  <c r="I6" i="6"/>
  <c r="C19" i="68"/>
  <c r="D37" i="68"/>
  <c r="C37" i="68" s="1"/>
  <c r="C19" i="69"/>
  <c r="C24" i="69" s="1"/>
  <c r="D37" i="69"/>
  <c r="C37" i="69" s="1"/>
  <c r="C33" i="69" s="1"/>
  <c r="C15" i="71"/>
  <c r="D16" i="71"/>
  <c r="C23" i="69"/>
  <c r="U7" i="21"/>
  <c r="AB7" i="21"/>
  <c r="T48" i="21" s="1"/>
  <c r="G48" i="21" s="1"/>
  <c r="S7" i="21"/>
  <c r="AA7" i="21"/>
  <c r="R48" i="21" s="1"/>
  <c r="J63" i="40"/>
  <c r="I65" i="40"/>
  <c r="K48" i="35"/>
  <c r="L48" i="35" s="1"/>
  <c r="M48" i="35" s="1"/>
  <c r="N48" i="35" s="1"/>
  <c r="O48" i="35" s="1"/>
  <c r="H7" i="35" s="1"/>
  <c r="AC7" i="21"/>
  <c r="V48" i="21" s="1"/>
  <c r="I48" i="21" s="1"/>
  <c r="W7" i="21"/>
  <c r="C23" i="67" l="1"/>
  <c r="C29" i="67" s="1"/>
  <c r="J59" i="67" s="1"/>
  <c r="J60" i="67" s="1"/>
  <c r="Q48" i="67" s="1"/>
  <c r="C20" i="84"/>
  <c r="C25" i="84" s="1"/>
  <c r="C23" i="84"/>
  <c r="J7" i="35"/>
  <c r="C33" i="68"/>
  <c r="C33" i="84"/>
  <c r="C39" i="84" s="1"/>
  <c r="C43" i="84" s="1"/>
  <c r="C19" i="81"/>
  <c r="C20" i="81" s="1"/>
  <c r="C26" i="81" s="1"/>
  <c r="C19" i="82"/>
  <c r="C20" i="82" s="1"/>
  <c r="C26" i="82" s="1"/>
  <c r="C23" i="15"/>
  <c r="C29" i="15" s="1"/>
  <c r="C39" i="11"/>
  <c r="C46" i="11" s="1"/>
  <c r="C45" i="11" s="1"/>
  <c r="H27" i="6"/>
  <c r="R19" i="6"/>
  <c r="K68" i="39"/>
  <c r="J70" i="39"/>
  <c r="C20" i="69"/>
  <c r="C25" i="69" s="1"/>
  <c r="C22" i="69" s="1"/>
  <c r="C27" i="12"/>
  <c r="C25" i="12" s="1"/>
  <c r="C32" i="12" s="1"/>
  <c r="B2" i="12" s="1"/>
  <c r="B3" i="12" s="1"/>
  <c r="C39" i="69"/>
  <c r="C43" i="69" s="1"/>
  <c r="C42" i="69"/>
  <c r="C14" i="71"/>
  <c r="D15" i="71"/>
  <c r="C24" i="68"/>
  <c r="W7" i="35"/>
  <c r="AC7" i="35"/>
  <c r="V38" i="35" s="1"/>
  <c r="I38" i="35" s="1"/>
  <c r="J65" i="40"/>
  <c r="K63" i="40"/>
  <c r="I52" i="21"/>
  <c r="J52" i="21" s="1"/>
  <c r="U7" i="35"/>
  <c r="AB7" i="35"/>
  <c r="T38" i="35" s="1"/>
  <c r="G38" i="35" s="1"/>
  <c r="R49" i="21"/>
  <c r="E48" i="21"/>
  <c r="G52" i="21"/>
  <c r="H52" i="21" s="1"/>
  <c r="G53" i="21"/>
  <c r="H53" i="21" s="1"/>
  <c r="F7" i="35"/>
  <c r="C57" i="15" l="1"/>
  <c r="C61" i="15" s="1"/>
  <c r="C91" i="9"/>
  <c r="C91" i="86"/>
  <c r="C36" i="67"/>
  <c r="J14" i="67"/>
  <c r="J19" i="67"/>
  <c r="J17" i="67" s="1"/>
  <c r="Q49" i="67"/>
  <c r="C33" i="67"/>
  <c r="C31" i="67" s="1"/>
  <c r="C13" i="67"/>
  <c r="C57" i="67"/>
  <c r="C39" i="68"/>
  <c r="C43" i="68" s="1"/>
  <c r="C22" i="84"/>
  <c r="C28" i="84"/>
  <c r="C27" i="84" s="1"/>
  <c r="C42" i="68"/>
  <c r="C42" i="84"/>
  <c r="C41" i="84" s="1"/>
  <c r="C46" i="84"/>
  <c r="C45" i="84" s="1"/>
  <c r="C23" i="82"/>
  <c r="C29" i="82" s="1"/>
  <c r="J14" i="15"/>
  <c r="J13" i="15" s="1"/>
  <c r="J23" i="15" s="1"/>
  <c r="C13" i="15"/>
  <c r="Q49" i="15"/>
  <c r="C23" i="81"/>
  <c r="C29" i="81" s="1"/>
  <c r="J19" i="15"/>
  <c r="C36" i="15"/>
  <c r="J59" i="15"/>
  <c r="J60" i="15" s="1"/>
  <c r="Q48" i="15" s="1"/>
  <c r="C64" i="15"/>
  <c r="C43" i="11"/>
  <c r="C41" i="11" s="1"/>
  <c r="C49" i="11" s="1"/>
  <c r="C51" i="11" s="1"/>
  <c r="C52" i="11" s="1"/>
  <c r="B2" i="11" s="1"/>
  <c r="B3" i="11" s="1"/>
  <c r="R27" i="6"/>
  <c r="R6" i="1"/>
  <c r="L68" i="39"/>
  <c r="K70" i="39"/>
  <c r="C28" i="69"/>
  <c r="C27" i="69" s="1"/>
  <c r="C31" i="69" s="1"/>
  <c r="C41" i="69"/>
  <c r="C46" i="69"/>
  <c r="C45" i="69"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M21" i="82"/>
  <c r="M21" i="81"/>
  <c r="F35" i="81"/>
  <c r="F35" i="15"/>
  <c r="M21" i="15"/>
  <c r="F35" i="82"/>
  <c r="C46" i="68" l="1"/>
  <c r="C45" i="68" s="1"/>
  <c r="C57" i="81"/>
  <c r="C64" i="81" s="1"/>
  <c r="C94" i="9"/>
  <c r="C92" i="9"/>
  <c r="J14" i="82"/>
  <c r="J13" i="82" s="1"/>
  <c r="J23" i="82" s="1"/>
  <c r="F35" i="85"/>
  <c r="Q70" i="15"/>
  <c r="C92" i="86"/>
  <c r="C94" i="86"/>
  <c r="C75" i="67"/>
  <c r="C37" i="67"/>
  <c r="C30" i="67" s="1"/>
  <c r="C39" i="67" s="1"/>
  <c r="C56" i="67"/>
  <c r="C65" i="67" s="1"/>
  <c r="Q70" i="67"/>
  <c r="J13" i="67"/>
  <c r="J23" i="67" s="1"/>
  <c r="J22" i="67"/>
  <c r="C61" i="67"/>
  <c r="C59" i="67" s="1"/>
  <c r="C64" i="67"/>
  <c r="C41" i="68"/>
  <c r="C31" i="84"/>
  <c r="C49" i="84"/>
  <c r="C51" i="84" s="1"/>
  <c r="J22" i="15"/>
  <c r="C36" i="81"/>
  <c r="J59" i="82"/>
  <c r="J60" i="82" s="1"/>
  <c r="Q48" i="82" s="1"/>
  <c r="C75" i="15"/>
  <c r="Q49" i="82"/>
  <c r="C56" i="15"/>
  <c r="C65" i="15" s="1"/>
  <c r="J19" i="82"/>
  <c r="C36" i="82"/>
  <c r="C13" i="82"/>
  <c r="C57" i="82"/>
  <c r="C61" i="82" s="1"/>
  <c r="J14" i="81"/>
  <c r="J22" i="81" s="1"/>
  <c r="C37" i="15"/>
  <c r="Q49" i="81"/>
  <c r="C13" i="81"/>
  <c r="J59" i="81"/>
  <c r="J60" i="81" s="1"/>
  <c r="L46" i="81" s="1"/>
  <c r="J19" i="81"/>
  <c r="J22" i="82"/>
  <c r="F63" i="82"/>
  <c r="C62" i="82" s="1"/>
  <c r="C34" i="82"/>
  <c r="C31" i="82" s="1"/>
  <c r="J20" i="82"/>
  <c r="F63" i="81"/>
  <c r="C62" i="81" s="1"/>
  <c r="C34" i="81"/>
  <c r="C31" i="81" s="1"/>
  <c r="J20" i="81"/>
  <c r="C34" i="15"/>
  <c r="C31" i="15" s="1"/>
  <c r="F63" i="15"/>
  <c r="C62" i="15" s="1"/>
  <c r="C59" i="15" s="1"/>
  <c r="J20" i="15"/>
  <c r="J17" i="15" s="1"/>
  <c r="R16" i="1"/>
  <c r="L70" i="39"/>
  <c r="M68" i="39"/>
  <c r="C49" i="69"/>
  <c r="C51" i="69" s="1"/>
  <c r="C52" i="69" s="1"/>
  <c r="C56" i="11"/>
  <c r="C57" i="11" s="1"/>
  <c r="C12" i="71"/>
  <c r="T13" i="71"/>
  <c r="D13" i="71"/>
  <c r="U13" i="71" s="1"/>
  <c r="R39" i="35"/>
  <c r="E38" i="35"/>
  <c r="M63" i="40"/>
  <c r="L65" i="40"/>
  <c r="L51" i="67"/>
  <c r="C49" i="68" l="1"/>
  <c r="C51" i="68" s="1"/>
  <c r="C61" i="81"/>
  <c r="C59" i="81" s="1"/>
  <c r="C75" i="82"/>
  <c r="C75" i="81"/>
  <c r="C80" i="67"/>
  <c r="C79" i="67" s="1"/>
  <c r="J16" i="67"/>
  <c r="J25" i="67" s="1"/>
  <c r="L57" i="67"/>
  <c r="L60" i="67" s="1"/>
  <c r="Q67" i="67"/>
  <c r="C58" i="67"/>
  <c r="C67" i="67" s="1"/>
  <c r="C68" i="67" s="1"/>
  <c r="C40" i="67"/>
  <c r="Q69" i="67"/>
  <c r="Q68" i="67" s="1"/>
  <c r="C52" i="84"/>
  <c r="B2" i="84" s="1"/>
  <c r="C64" i="82"/>
  <c r="J16" i="15"/>
  <c r="J25" i="15" s="1"/>
  <c r="L46" i="82"/>
  <c r="C30" i="15"/>
  <c r="C39" i="15" s="1"/>
  <c r="C40" i="15" s="1"/>
  <c r="J13" i="81"/>
  <c r="J23" i="81" s="1"/>
  <c r="C56" i="82"/>
  <c r="C65" i="82" s="1"/>
  <c r="J17" i="82"/>
  <c r="J16" i="82" s="1"/>
  <c r="J25" i="82" s="1"/>
  <c r="C37" i="82"/>
  <c r="C30" i="82" s="1"/>
  <c r="C39" i="82" s="1"/>
  <c r="Q48" i="81"/>
  <c r="C58" i="15"/>
  <c r="C67" i="15" s="1"/>
  <c r="C68" i="15" s="1"/>
  <c r="C71" i="15" s="1"/>
  <c r="Q70" i="81"/>
  <c r="C59" i="82"/>
  <c r="Q70" i="82"/>
  <c r="C37" i="81"/>
  <c r="C30" i="81" s="1"/>
  <c r="C39" i="81" s="1"/>
  <c r="J17" i="81"/>
  <c r="C56" i="81"/>
  <c r="C65" i="81" s="1"/>
  <c r="L57" i="15"/>
  <c r="L60" i="15" s="1"/>
  <c r="M70" i="39"/>
  <c r="N68" i="39"/>
  <c r="B2" i="69"/>
  <c r="B3" i="69" s="1"/>
  <c r="C57" i="69"/>
  <c r="C56" i="69" s="1"/>
  <c r="C11" i="71"/>
  <c r="D12" i="71"/>
  <c r="C39" i="35"/>
  <c r="B2" i="35" s="1"/>
  <c r="B3" i="35" s="1"/>
  <c r="C38" i="35"/>
  <c r="N63" i="40"/>
  <c r="M65" i="40"/>
  <c r="E43" i="35"/>
  <c r="F43" i="35" s="1"/>
  <c r="E42" i="35"/>
  <c r="F42" i="35" s="1"/>
  <c r="I43" i="35"/>
  <c r="J43" i="35" s="1"/>
  <c r="B3" i="84"/>
  <c r="L51" i="82"/>
  <c r="L51" i="15"/>
  <c r="L51" i="81"/>
  <c r="Q56" i="67" l="1"/>
  <c r="C43" i="67"/>
  <c r="Q47" i="67"/>
  <c r="Q53" i="67" s="1"/>
  <c r="Q65" i="67"/>
  <c r="C83" i="67"/>
  <c r="C82" i="67" s="1"/>
  <c r="C71" i="67"/>
  <c r="C45" i="67"/>
  <c r="C46" i="67" s="1"/>
  <c r="L46" i="67"/>
  <c r="D2" i="67" s="1"/>
  <c r="Q66" i="67"/>
  <c r="Q57" i="67"/>
  <c r="C57" i="84"/>
  <c r="C56" i="84" s="1"/>
  <c r="C58" i="82"/>
  <c r="C67" i="82" s="1"/>
  <c r="C68" i="82" s="1"/>
  <c r="C71" i="82" s="1"/>
  <c r="C80" i="15"/>
  <c r="C79" i="15" s="1"/>
  <c r="Q69" i="15"/>
  <c r="Q68" i="15" s="1"/>
  <c r="Q67" i="15"/>
  <c r="Q69" i="82"/>
  <c r="C80" i="82"/>
  <c r="C79" i="82" s="1"/>
  <c r="J16" i="81"/>
  <c r="J25" i="81" s="1"/>
  <c r="C58" i="81"/>
  <c r="C67" i="81" s="1"/>
  <c r="C68" i="81" s="1"/>
  <c r="C71" i="81" s="1"/>
  <c r="C40" i="81"/>
  <c r="Q47" i="81" s="1"/>
  <c r="Q53" i="81" s="1"/>
  <c r="Q69" i="81"/>
  <c r="Q68" i="81" s="1"/>
  <c r="Q68" i="82"/>
  <c r="C40" i="82"/>
  <c r="C80" i="81"/>
  <c r="C79" i="81" s="1"/>
  <c r="Q67" i="82"/>
  <c r="Q67" i="81"/>
  <c r="Q56" i="15"/>
  <c r="C43" i="15"/>
  <c r="C83" i="15"/>
  <c r="C82" i="15" s="1"/>
  <c r="Q65" i="15"/>
  <c r="Q47" i="15"/>
  <c r="Q53" i="15" s="1"/>
  <c r="C46" i="15"/>
  <c r="L46" i="15"/>
  <c r="B2" i="15" s="1"/>
  <c r="Q57" i="15"/>
  <c r="Q66" i="15"/>
  <c r="O68" i="39"/>
  <c r="O70" i="39" s="1"/>
  <c r="N70" i="39"/>
  <c r="F7" i="39" s="1"/>
  <c r="H7" i="39"/>
  <c r="D11" i="71"/>
  <c r="C10" i="71"/>
  <c r="O63" i="40"/>
  <c r="O65" i="40" s="1"/>
  <c r="N65" i="40"/>
  <c r="D19" i="86"/>
  <c r="AO6" i="1"/>
  <c r="Q75" i="67" l="1"/>
  <c r="Q62" i="67"/>
  <c r="B2" i="67"/>
  <c r="B3" i="67"/>
  <c r="J7" i="39"/>
  <c r="W7" i="39" s="1"/>
  <c r="D102" i="86"/>
  <c r="D21" i="86"/>
  <c r="C46" i="82"/>
  <c r="Q56" i="82"/>
  <c r="Q62" i="82" s="1"/>
  <c r="Q47" i="82"/>
  <c r="Q53" i="82" s="1"/>
  <c r="C43" i="82"/>
  <c r="C46" i="81"/>
  <c r="Q56" i="81"/>
  <c r="Q62" i="81" s="1"/>
  <c r="C83" i="81"/>
  <c r="C82" i="81" s="1"/>
  <c r="B2" i="81"/>
  <c r="C43" i="81"/>
  <c r="Q65" i="81"/>
  <c r="Q75" i="81" s="1"/>
  <c r="C83" i="82"/>
  <c r="C82" i="82" s="1"/>
  <c r="Q65" i="82"/>
  <c r="Q75" i="82" s="1"/>
  <c r="B2" i="82"/>
  <c r="Q75" i="15"/>
  <c r="Q62" i="15"/>
  <c r="B6" i="70"/>
  <c r="B3" i="15"/>
  <c r="AB7" i="39"/>
  <c r="T47" i="39" s="1"/>
  <c r="G47" i="39" s="1"/>
  <c r="U7" i="39"/>
  <c r="AA7" i="39"/>
  <c r="R47" i="39" s="1"/>
  <c r="S7" i="39"/>
  <c r="AC7" i="39"/>
  <c r="V47" i="39" s="1"/>
  <c r="I47" i="39" s="1"/>
  <c r="C9" i="71"/>
  <c r="D10" i="71"/>
  <c r="J7" i="40"/>
  <c r="F7" i="40"/>
  <c r="H7" i="40"/>
  <c r="D19" i="83"/>
  <c r="AO8" i="1"/>
  <c r="D20" i="86"/>
  <c r="AO7" i="1"/>
  <c r="D19" i="85"/>
  <c r="D103" i="86" l="1"/>
  <c r="D102" i="85"/>
  <c r="D21" i="85"/>
  <c r="D21" i="83"/>
  <c r="D102" i="83"/>
  <c r="B3" i="81"/>
  <c r="B7" i="70"/>
  <c r="B8" i="70"/>
  <c r="B3" i="82"/>
  <c r="I51" i="39"/>
  <c r="J51" i="39" s="1"/>
  <c r="R48" i="39"/>
  <c r="E47" i="39"/>
  <c r="G51" i="39"/>
  <c r="H51" i="39" s="1"/>
  <c r="G52" i="39"/>
  <c r="H52" i="39" s="1"/>
  <c r="C8" i="71"/>
  <c r="T9" i="71"/>
  <c r="D9" i="71"/>
  <c r="U9" i="71" s="1"/>
  <c r="U7" i="40"/>
  <c r="AB7" i="40"/>
  <c r="T42" i="40" s="1"/>
  <c r="G42" i="40" s="1"/>
  <c r="AA7" i="40"/>
  <c r="R42" i="40" s="1"/>
  <c r="S7" i="40"/>
  <c r="AC7" i="40"/>
  <c r="V42" i="40" s="1"/>
  <c r="I42" i="40" s="1"/>
  <c r="W7" i="40"/>
  <c r="D20" i="83"/>
  <c r="D20" i="85"/>
  <c r="D103" i="85" l="1"/>
  <c r="D103" i="83"/>
  <c r="B2" i="70"/>
  <c r="B3" i="70" s="1"/>
  <c r="C48" i="39"/>
  <c r="C47" i="39"/>
  <c r="E52" i="39"/>
  <c r="F52" i="39" s="1"/>
  <c r="E51" i="39"/>
  <c r="F51" i="39" s="1"/>
  <c r="I52" i="39"/>
  <c r="J52" i="39" s="1"/>
  <c r="D8" i="71"/>
  <c r="C7" i="71"/>
  <c r="I46" i="40"/>
  <c r="J46" i="40" s="1"/>
  <c r="R43" i="40"/>
  <c r="E42" i="40"/>
  <c r="G47" i="40"/>
  <c r="H47" i="40" s="1"/>
  <c r="G46" i="40"/>
  <c r="H46" i="40" s="1"/>
  <c r="D19" i="9"/>
  <c r="D20" i="9"/>
  <c r="D21" i="9" l="1"/>
  <c r="D102" i="9"/>
  <c r="D103" i="9"/>
  <c r="B57" i="39"/>
  <c r="F57" i="39" s="1"/>
  <c r="B58" i="39"/>
  <c r="F58" i="39" s="1"/>
  <c r="B63" i="39"/>
  <c r="F63" i="39" s="1"/>
  <c r="B59" i="39"/>
  <c r="F59" i="39" s="1"/>
  <c r="B62" i="39"/>
  <c r="F62" i="39" s="1"/>
  <c r="B56" i="39"/>
  <c r="F56" i="39" s="1"/>
  <c r="B64" i="39"/>
  <c r="F64" i="39" s="1"/>
  <c r="B65" i="39"/>
  <c r="F65" i="39" s="1"/>
  <c r="B61" i="39"/>
  <c r="F61" i="39" s="1"/>
  <c r="B60" i="39"/>
  <c r="F60" i="39" s="1"/>
  <c r="D7" i="71"/>
  <c r="C6" i="71"/>
  <c r="C42" i="40"/>
  <c r="C43" i="40"/>
  <c r="E47" i="40"/>
  <c r="F47" i="40" s="1"/>
  <c r="E46" i="40"/>
  <c r="F46" i="40" s="1"/>
  <c r="I47" i="40"/>
  <c r="J47" i="40" s="1"/>
  <c r="F66" i="39" l="1"/>
  <c r="B2"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D5" i="71"/>
  <c r="M20" i="43" s="1"/>
  <c r="C7" i="68" l="1"/>
  <c r="C5" i="68" s="1"/>
  <c r="C23" i="68" l="1"/>
  <c r="C20" i="68"/>
  <c r="C25" i="68" s="1"/>
  <c r="C28" i="68" l="1"/>
  <c r="C27" i="68" s="1"/>
  <c r="C22" i="68"/>
  <c r="C31" i="68" l="1"/>
  <c r="C52" i="68" s="1"/>
  <c r="B2" i="68" s="1"/>
  <c r="C19" i="85"/>
  <c r="C19" i="83"/>
  <c r="C102" i="85" l="1"/>
  <c r="C21" i="85"/>
  <c r="G19" i="85"/>
  <c r="J20" i="85" s="1"/>
  <c r="D22" i="85"/>
  <c r="C102" i="83"/>
  <c r="C21" i="83"/>
  <c r="G19" i="83"/>
  <c r="D22" i="83"/>
  <c r="C57" i="68"/>
  <c r="C56" i="68" s="1"/>
  <c r="C20" i="85"/>
  <c r="B3" i="68"/>
  <c r="C20" i="83"/>
  <c r="F34" i="85" l="1"/>
  <c r="D15" i="74"/>
  <c r="G15" i="74" s="1"/>
  <c r="D16" i="74"/>
  <c r="G16" i="74" s="1"/>
  <c r="C103" i="85"/>
  <c r="G20" i="85"/>
  <c r="G21" i="85"/>
  <c r="C32" i="85"/>
  <c r="C103" i="83"/>
  <c r="G20" i="83"/>
  <c r="G21" i="83"/>
  <c r="C32" i="83"/>
  <c r="H118" i="83" s="1"/>
  <c r="H5" i="88" s="1"/>
  <c r="F15" i="74" l="1"/>
  <c r="E15" i="74"/>
  <c r="E16" i="74"/>
  <c r="F16" i="74"/>
  <c r="H118" i="85"/>
  <c r="H6" i="88" s="1"/>
  <c r="I118" i="83"/>
  <c r="I5" i="88" s="1"/>
  <c r="C104" i="83"/>
  <c r="H101" i="83"/>
  <c r="H119" i="83"/>
  <c r="D35" i="83"/>
  <c r="C35" i="85" l="1"/>
  <c r="F118" i="85" s="1"/>
  <c r="F6" i="88" s="1"/>
  <c r="C35" i="83"/>
  <c r="F118" i="83" s="1"/>
  <c r="F5" i="88" s="1"/>
  <c r="I118" i="85"/>
  <c r="I6" i="88" s="1"/>
  <c r="C104" i="85"/>
  <c r="H119" i="85"/>
  <c r="H101" i="85"/>
  <c r="M48" i="83"/>
  <c r="H107" i="83"/>
  <c r="D45" i="83"/>
  <c r="C105" i="83"/>
  <c r="H102" i="83"/>
  <c r="D34" i="83"/>
  <c r="D35" i="85" l="1"/>
  <c r="C34" i="83"/>
  <c r="G118" i="85"/>
  <c r="G6" i="88" s="1"/>
  <c r="F119" i="85"/>
  <c r="C34" i="85"/>
  <c r="D118" i="85" s="1"/>
  <c r="D6" i="88" s="1"/>
  <c r="G118" i="83"/>
  <c r="G5" i="88" s="1"/>
  <c r="F119" i="83"/>
  <c r="D118" i="83"/>
  <c r="D5" i="88" s="1"/>
  <c r="C105" i="85"/>
  <c r="H102" i="85"/>
  <c r="M48" i="85"/>
  <c r="D45" i="85"/>
  <c r="H107" i="85"/>
  <c r="M49" i="83"/>
  <c r="D122" i="83"/>
  <c r="D123" i="83" s="1"/>
  <c r="H108" i="83"/>
  <c r="C85" i="83"/>
  <c r="C64" i="83"/>
  <c r="C63" i="83" s="1"/>
  <c r="C67" i="83" s="1"/>
  <c r="C68" i="83" s="1"/>
  <c r="D54" i="83" s="1"/>
  <c r="D53" i="83"/>
  <c r="D48" i="83" s="1"/>
  <c r="M52" i="83" s="1"/>
  <c r="C78" i="83"/>
  <c r="C73" i="83" s="1"/>
  <c r="C72" i="83"/>
  <c r="D55" i="83"/>
  <c r="M53" i="83" s="1"/>
  <c r="C93" i="83"/>
  <c r="C86" i="83" s="1"/>
  <c r="D52" i="83"/>
  <c r="D34" i="85"/>
  <c r="D119" i="85" l="1"/>
  <c r="E118" i="85"/>
  <c r="E6" i="88" s="1"/>
  <c r="E118" i="83"/>
  <c r="E5" i="88" s="1"/>
  <c r="D119" i="83"/>
  <c r="M49" i="85"/>
  <c r="D122" i="85"/>
  <c r="D123" i="85" s="1"/>
  <c r="H108" i="85"/>
  <c r="C85" i="85"/>
  <c r="C72" i="85"/>
  <c r="C64" i="85"/>
  <c r="C63" i="85" s="1"/>
  <c r="C67" i="85" s="1"/>
  <c r="C68" i="85" s="1"/>
  <c r="D54" i="85" s="1"/>
  <c r="D55" i="85"/>
  <c r="M53" i="85" s="1"/>
  <c r="D53" i="85"/>
  <c r="D48" i="85" s="1"/>
  <c r="M52" i="85" s="1"/>
  <c r="C93" i="85"/>
  <c r="C86" i="85" s="1"/>
  <c r="C78" i="85"/>
  <c r="C73" i="85" s="1"/>
  <c r="D52" i="85"/>
  <c r="C79" i="83"/>
  <c r="C80" i="83" s="1"/>
  <c r="C95" i="83"/>
  <c r="L68" i="83"/>
  <c r="M68" i="83" s="1"/>
  <c r="L63" i="83"/>
  <c r="M63" i="83" s="1"/>
  <c r="L66" i="83"/>
  <c r="M66" i="83" s="1"/>
  <c r="L67" i="83"/>
  <c r="M67" i="83" s="1"/>
  <c r="L65" i="83"/>
  <c r="M65" i="83" s="1"/>
  <c r="L64" i="83"/>
  <c r="M64" i="83" s="1"/>
  <c r="R36" i="87" l="1"/>
  <c r="S36" i="87" s="1"/>
  <c r="R61" i="87"/>
  <c r="S61" i="87" s="1"/>
  <c r="R59" i="87"/>
  <c r="S59" i="87" s="1"/>
  <c r="R57" i="87"/>
  <c r="S57" i="87" s="1"/>
  <c r="R55" i="87"/>
  <c r="S55" i="87" s="1"/>
  <c r="R53" i="87"/>
  <c r="S53" i="87" s="1"/>
  <c r="R51" i="87"/>
  <c r="S51" i="87" s="1"/>
  <c r="R49" i="87"/>
  <c r="S49" i="87" s="1"/>
  <c r="R47" i="87"/>
  <c r="S47" i="87" s="1"/>
  <c r="R45" i="87"/>
  <c r="S45" i="87" s="1"/>
  <c r="R43" i="87"/>
  <c r="S43" i="87" s="1"/>
  <c r="R41" i="87"/>
  <c r="S41" i="87" s="1"/>
  <c r="R39" i="87"/>
  <c r="S39" i="87" s="1"/>
  <c r="R37" i="87"/>
  <c r="S37" i="87" s="1"/>
  <c r="R60" i="87"/>
  <c r="S60" i="87" s="1"/>
  <c r="R56" i="87"/>
  <c r="S56" i="87" s="1"/>
  <c r="R52" i="87"/>
  <c r="S52" i="87" s="1"/>
  <c r="R48" i="87"/>
  <c r="S48" i="87" s="1"/>
  <c r="R44" i="87"/>
  <c r="S44" i="87" s="1"/>
  <c r="R40" i="87"/>
  <c r="S40" i="87" s="1"/>
  <c r="R58" i="87"/>
  <c r="S58" i="87" s="1"/>
  <c r="R54" i="87"/>
  <c r="S54" i="87" s="1"/>
  <c r="R50" i="87"/>
  <c r="S50" i="87" s="1"/>
  <c r="R46" i="87"/>
  <c r="S46" i="87" s="1"/>
  <c r="R42" i="87"/>
  <c r="S42" i="87" s="1"/>
  <c r="R38" i="87"/>
  <c r="S38" i="87" s="1"/>
  <c r="R31" i="87"/>
  <c r="S31" i="87" s="1"/>
  <c r="R34" i="87"/>
  <c r="S34" i="87" s="1"/>
  <c r="R32" i="87"/>
  <c r="S32" i="87" s="1"/>
  <c r="R35" i="87"/>
  <c r="S35" i="87" s="1"/>
  <c r="R33" i="87"/>
  <c r="S33" i="87" s="1"/>
  <c r="S24" i="87"/>
  <c r="R29" i="87"/>
  <c r="S29" i="87" s="1"/>
  <c r="R27" i="87"/>
  <c r="S27" i="87" s="1"/>
  <c r="R30" i="87"/>
  <c r="S30" i="87" s="1"/>
  <c r="R28" i="87"/>
  <c r="S28" i="87" s="1"/>
  <c r="R26" i="87"/>
  <c r="S26" i="87" s="1"/>
  <c r="R25" i="87"/>
  <c r="S25" i="87" s="1"/>
  <c r="C95" i="85"/>
  <c r="C97" i="85" s="1"/>
  <c r="D58" i="85" s="1"/>
  <c r="D56" i="85" s="1"/>
  <c r="M54" i="85" s="1"/>
  <c r="N57" i="85" s="1"/>
  <c r="C79" i="85"/>
  <c r="L68" i="85"/>
  <c r="M68" i="85" s="1"/>
  <c r="L67" i="85"/>
  <c r="M67" i="85" s="1"/>
  <c r="L63" i="85"/>
  <c r="M63" i="85" s="1"/>
  <c r="L65" i="85"/>
  <c r="M65" i="85" s="1"/>
  <c r="L66" i="85"/>
  <c r="M66" i="85" s="1"/>
  <c r="L64" i="85"/>
  <c r="M64" i="85" s="1"/>
  <c r="E80" i="83"/>
  <c r="E81" i="83" s="1"/>
  <c r="C81" i="83"/>
  <c r="M69" i="83"/>
  <c r="N69" i="83" s="1"/>
  <c r="C96" i="83"/>
  <c r="E96" i="83" s="1"/>
  <c r="E97" i="83" s="1"/>
  <c r="C97" i="83"/>
  <c r="D58" i="83" s="1"/>
  <c r="D56" i="83" s="1"/>
  <c r="M54" i="83" s="1"/>
  <c r="N57" i="83" s="1"/>
  <c r="D59" i="9"/>
  <c r="M55" i="9" s="1"/>
  <c r="S22" i="87" l="1"/>
  <c r="C96" i="85"/>
  <c r="E96" i="85" s="1"/>
  <c r="E97" i="85" s="1"/>
  <c r="N58" i="85"/>
  <c r="P57" i="85"/>
  <c r="N59" i="85"/>
  <c r="C80" i="85"/>
  <c r="E80" i="85" s="1"/>
  <c r="E81" i="85" s="1"/>
  <c r="M69" i="85"/>
  <c r="N69" i="85" s="1"/>
  <c r="P57" i="83"/>
  <c r="N58" i="83"/>
  <c r="N59" i="83"/>
  <c r="R22" i="87" l="1"/>
  <c r="B20" i="87"/>
  <c r="C81" i="85"/>
  <c r="N61" i="85"/>
  <c r="H112" i="85" s="1"/>
  <c r="N60" i="85"/>
  <c r="H111" i="85"/>
  <c r="D126" i="85" s="1"/>
  <c r="D127" i="85" s="1"/>
  <c r="N61" i="83"/>
  <c r="H112" i="83" s="1"/>
  <c r="H111" i="83"/>
  <c r="D126" i="83" s="1"/>
  <c r="D127" i="83" s="1"/>
  <c r="N60" i="83"/>
  <c r="C19" i="9"/>
  <c r="C21" i="9" l="1"/>
  <c r="D22" i="9"/>
  <c r="G19" i="9"/>
  <c r="C102" i="9"/>
  <c r="B21" i="87"/>
  <c r="C20" i="9"/>
  <c r="C103" i="9" l="1"/>
  <c r="G20" i="9"/>
  <c r="G21" i="9"/>
  <c r="L18" i="1"/>
  <c r="C32" i="9"/>
  <c r="H118" i="9" l="1"/>
  <c r="H4" i="88" s="1"/>
  <c r="H7" i="88" s="1"/>
  <c r="I7" i="88" s="1"/>
  <c r="D35" i="9"/>
  <c r="H8" i="88" l="1"/>
  <c r="C35" i="9"/>
  <c r="F118" i="9" s="1"/>
  <c r="C104" i="9"/>
  <c r="H119" i="9"/>
  <c r="H5" i="52" s="1"/>
  <c r="H101" i="9"/>
  <c r="I118" i="9"/>
  <c r="I4" i="88" s="1"/>
  <c r="D14" i="74"/>
  <c r="H4" i="52"/>
  <c r="D34" i="9"/>
  <c r="C34" i="9" l="1"/>
  <c r="D118" i="9" s="1"/>
  <c r="F4" i="88"/>
  <c r="F7" i="88" s="1"/>
  <c r="G7" i="88" s="1"/>
  <c r="E7" i="88" s="1"/>
  <c r="G118" i="9"/>
  <c r="G4" i="88" s="1"/>
  <c r="F119" i="9"/>
  <c r="F5" i="52" s="1"/>
  <c r="B53" i="72" s="1"/>
  <c r="F4" i="52"/>
  <c r="B51" i="72" s="1"/>
  <c r="I4" i="52"/>
  <c r="C105" i="9"/>
  <c r="H102" i="9"/>
  <c r="D7" i="53" s="1"/>
  <c r="B21" i="72" s="1"/>
  <c r="B5" i="74"/>
  <c r="E14" i="74"/>
  <c r="F14" i="74"/>
  <c r="H107" i="9"/>
  <c r="D45" i="9"/>
  <c r="M48" i="9"/>
  <c r="D5" i="53"/>
  <c r="F8" i="88" l="1"/>
  <c r="G4" i="52"/>
  <c r="B52" i="72" s="1"/>
  <c r="E118" i="9"/>
  <c r="E4" i="88" s="1"/>
  <c r="D4" i="52"/>
  <c r="B47" i="72" s="1"/>
  <c r="D4" i="88"/>
  <c r="D7" i="88" s="1"/>
  <c r="D8" i="88" s="1"/>
  <c r="D119" i="9"/>
  <c r="D5" i="52" s="1"/>
  <c r="B49" i="72" s="1"/>
  <c r="E4" i="52"/>
  <c r="B48" i="72" s="1"/>
  <c r="D122" i="9"/>
  <c r="D13" i="53"/>
  <c r="M49" i="9"/>
  <c r="H108" i="9"/>
  <c r="D15" i="53" s="1"/>
  <c r="B31" i="72" s="1"/>
  <c r="B20" i="72"/>
  <c r="D6" i="53"/>
  <c r="B22" i="72" s="1"/>
  <c r="C72" i="9"/>
  <c r="C85" i="9"/>
  <c r="C93" i="9"/>
  <c r="C86" i="9" s="1"/>
  <c r="D55" i="9"/>
  <c r="M53" i="9" s="1"/>
  <c r="C78" i="9"/>
  <c r="C73" i="9" s="1"/>
  <c r="D52" i="9"/>
  <c r="C64" i="9"/>
  <c r="C63" i="9" s="1"/>
  <c r="C67" i="9" s="1"/>
  <c r="C68" i="9" s="1"/>
  <c r="D54" i="9" s="1"/>
  <c r="D53" i="9"/>
  <c r="D48" i="9" s="1"/>
  <c r="M52" i="9" s="1"/>
  <c r="R24" i="31"/>
  <c r="S24" i="31" s="1"/>
  <c r="S22" i="31" s="1"/>
  <c r="D5" i="74"/>
  <c r="C5" i="74"/>
  <c r="C95" i="9" l="1"/>
  <c r="C96" i="9" s="1"/>
  <c r="E96" i="9" s="1"/>
  <c r="E97" i="9" s="1"/>
  <c r="D14" i="53"/>
  <c r="B32" i="72" s="1"/>
  <c r="B30" i="72"/>
  <c r="B20" i="31"/>
  <c r="R22" i="31"/>
  <c r="C79" i="9"/>
  <c r="L67" i="9"/>
  <c r="M67" i="9" s="1"/>
  <c r="L64" i="9"/>
  <c r="M64" i="9" s="1"/>
  <c r="L63" i="9"/>
  <c r="M63" i="9" s="1"/>
  <c r="L65" i="9"/>
  <c r="M65" i="9" s="1"/>
  <c r="L66" i="9"/>
  <c r="M66" i="9" s="1"/>
  <c r="L68" i="9"/>
  <c r="M68" i="9" s="1"/>
  <c r="D8" i="52"/>
  <c r="D123" i="9"/>
  <c r="D9" i="52" s="1"/>
  <c r="G14" i="74"/>
  <c r="B6" i="74" s="1"/>
  <c r="C19" i="86"/>
  <c r="C97" i="9" l="1"/>
  <c r="D58" i="9" s="1"/>
  <c r="D56" i="9" s="1"/>
  <c r="M54" i="9" s="1"/>
  <c r="N57" i="9" s="1"/>
  <c r="N59" i="9" s="1"/>
  <c r="H111" i="9" s="1"/>
  <c r="G19" i="86"/>
  <c r="C21" i="86"/>
  <c r="D22" i="86"/>
  <c r="C102" i="86"/>
  <c r="M69" i="9"/>
  <c r="N69" i="9" s="1"/>
  <c r="D6" i="74"/>
  <c r="C6" i="74"/>
  <c r="C80" i="9"/>
  <c r="E80" i="9" s="1"/>
  <c r="E81" i="9" s="1"/>
  <c r="B21" i="31"/>
  <c r="C20" i="86"/>
  <c r="P57" i="9" l="1"/>
  <c r="N61" i="9"/>
  <c r="H112" i="9" s="1"/>
  <c r="D21" i="53" s="1"/>
  <c r="B39" i="72" s="1"/>
  <c r="N58" i="9"/>
  <c r="N60" i="9"/>
  <c r="G20" i="86"/>
  <c r="C103" i="86"/>
  <c r="C81" i="9"/>
  <c r="D19" i="53"/>
  <c r="D126" i="9"/>
  <c r="C32" i="86"/>
  <c r="G21" i="86"/>
  <c r="D127" i="9" l="1"/>
  <c r="D13" i="52" s="1"/>
  <c r="D12" i="52"/>
  <c r="H118" i="86"/>
  <c r="C35" i="86"/>
  <c r="B38" i="72"/>
  <c r="D20" i="53"/>
  <c r="B40" i="72" s="1"/>
  <c r="D35" i="86"/>
  <c r="F118" i="86" l="1"/>
  <c r="F119" i="86" s="1"/>
  <c r="C34" i="86"/>
  <c r="H119" i="86"/>
  <c r="H101" i="86"/>
  <c r="I118" i="86"/>
  <c r="C104" i="86"/>
  <c r="D34" i="86"/>
  <c r="G118" i="86" l="1"/>
  <c r="D118" i="86"/>
  <c r="D119" i="86" s="1"/>
  <c r="H107" i="86"/>
  <c r="M48" i="86"/>
  <c r="D45" i="86"/>
  <c r="H102" i="86"/>
  <c r="E118" i="86"/>
  <c r="C105" i="86"/>
  <c r="D55" i="86" l="1"/>
  <c r="M53" i="86" s="1"/>
  <c r="C85" i="86"/>
  <c r="D53" i="86"/>
  <c r="D48" i="86" s="1"/>
  <c r="M52" i="86" s="1"/>
  <c r="C72" i="86"/>
  <c r="C93" i="86"/>
  <c r="C86" i="86" s="1"/>
  <c r="C64" i="86"/>
  <c r="C63" i="86" s="1"/>
  <c r="C67" i="86" s="1"/>
  <c r="C68" i="86" s="1"/>
  <c r="D54" i="86" s="1"/>
  <c r="C78" i="86"/>
  <c r="C73" i="86" s="1"/>
  <c r="D52" i="86"/>
  <c r="M49" i="86"/>
  <c r="D122" i="86"/>
  <c r="D123" i="86" s="1"/>
  <c r="H108" i="86"/>
  <c r="L65" i="86" l="1"/>
  <c r="M65" i="86" s="1"/>
  <c r="L68" i="86"/>
  <c r="M68" i="86" s="1"/>
  <c r="L66" i="86"/>
  <c r="M66" i="86" s="1"/>
  <c r="L67" i="86"/>
  <c r="M67" i="86" s="1"/>
  <c r="L64" i="86"/>
  <c r="M64" i="86" s="1"/>
  <c r="L63" i="86"/>
  <c r="M63" i="86" s="1"/>
  <c r="C79" i="86"/>
  <c r="C95" i="86"/>
  <c r="M69" i="86" l="1"/>
  <c r="N69" i="86" s="1"/>
  <c r="C96" i="86"/>
  <c r="E96" i="86" s="1"/>
  <c r="E97" i="86" s="1"/>
  <c r="C80" i="86"/>
  <c r="E80" i="86" s="1"/>
  <c r="E81" i="86" s="1"/>
  <c r="C81" i="86" l="1"/>
  <c r="C97" i="86"/>
  <c r="D58" i="86" s="1"/>
  <c r="D56" i="86" s="1"/>
  <c r="M54" i="86" s="1"/>
  <c r="N57" i="86" s="1"/>
  <c r="N59" i="86" l="1"/>
  <c r="I14" i="74" s="1"/>
  <c r="J13" i="74" s="1"/>
  <c r="N58" i="86"/>
  <c r="B8" i="74" l="1"/>
  <c r="C8" i="74" s="1"/>
  <c r="N61" i="86"/>
  <c r="H112" i="86" s="1"/>
  <c r="N60" i="86"/>
  <c r="H111" i="86"/>
  <c r="D126" i="86" s="1"/>
  <c r="D127" i="86" s="1"/>
  <c r="D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3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3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3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3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35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B41" authorId="0" shapeId="0" xr:uid="{00000000-0006-0000-0B00-000001000000}">
      <text>
        <r>
          <rPr>
            <b/>
            <sz val="9"/>
            <color indexed="81"/>
            <rFont val="宋体"/>
            <family val="3"/>
            <charset val="134"/>
          </rPr>
          <t>WANG:</t>
        </r>
        <r>
          <rPr>
            <sz val="9"/>
            <color indexed="81"/>
            <rFont val="宋体"/>
            <family val="3"/>
            <charset val="134"/>
          </rPr>
          <t xml:space="preserve">
1428.9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<sst xmlns="http://schemas.openxmlformats.org/spreadsheetml/2006/main" count="9844" uniqueCount="3434">
  <si>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</si>
  <si>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</si>
  <si>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</si>
  <si>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</si>
  <si>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</si>
  <si>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</si>
  <si>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</si>
  <si>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</si>
  <si>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</si>
  <si>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</si>
  <si>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</si>
  <si>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</si>
  <si>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</si>
  <si>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</si>
  <si>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</si>
  <si>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</si>
  <si>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</si>
  <si>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</si>
  <si>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</si>
  <si>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</si>
  <si>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</si>
  <si>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</si>
  <si>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</si>
  <si>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</si>
  <si>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</si>
  <si>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</si>
  <si>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</si>
  <si>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</si>
  <si>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</si>
  <si>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</si>
  <si>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</si>
  <si>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</si>
  <si>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</si>
  <si>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</si>
  <si>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</si>
  <si>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</si>
  <si>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</si>
  <si>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</si>
  <si>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</si>
  <si>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</si>
  <si>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</si>
  <si>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</si>
  <si>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</si>
  <si>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</si>
  <si>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</si>
  <si>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</si>
  <si>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</si>
  <si>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</si>
  <si>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</si>
  <si>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</si>
  <si>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</si>
  <si>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</si>
  <si>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</si>
  <si>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</si>
  <si>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</si>
  <si>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</si>
  <si>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</si>
  <si>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</si>
  <si>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</si>
  <si>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</si>
  <si>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</si>
  <si>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</si>
  <si>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</si>
  <si>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</si>
  <si>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</si>
  <si>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</si>
  <si>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</si>
  <si>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</si>
  <si>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</si>
  <si>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</si>
  <si>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</si>
  <si>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</si>
  <si>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</si>
  <si>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</si>
  <si>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</si>
  <si>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</si>
  <si>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</si>
  <si>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</si>
  <si>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</si>
  <si>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</si>
  <si>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</si>
  <si>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</si>
  <si>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</si>
  <si>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</si>
  <si>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</si>
  <si>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</si>
  <si>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</si>
  <si>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</si>
  <si>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</si>
  <si>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</si>
  <si>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</si>
  <si>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</si>
  <si>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</si>
  <si>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</si>
  <si>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</si>
  <si>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</si>
  <si>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</si>
  <si>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</si>
  <si>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</si>
  <si>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</si>
  <si>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</si>
  <si>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</si>
  <si>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</si>
  <si>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</si>
  <si>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</si>
  <si>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</si>
  <si>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</si>
  <si>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</si>
  <si>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</si>
  <si>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</si>
  <si>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</si>
  <si>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</si>
  <si>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</si>
  <si>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</si>
  <si>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</si>
  <si>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</si>
  <si>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</si>
  <si>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</si>
  <si>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</si>
  <si>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</si>
  <si>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</si>
  <si>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</si>
  <si>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</si>
  <si>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</si>
  <si>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</si>
  <si>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</si>
  <si>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</si>
  <si>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</si>
  <si>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</si>
  <si>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</si>
  <si>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</si>
  <si>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</si>
  <si>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</si>
  <si>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</si>
  <si>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</si>
  <si>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</si>
  <si>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</si>
  <si>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</si>
  <si>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</si>
  <si>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</si>
  <si>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</si>
  <si>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</si>
  <si>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</si>
  <si>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</si>
  <si>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</si>
  <si>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</si>
  <si>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</si>
  <si>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</si>
  <si>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</si>
  <si>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</si>
  <si>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</si>
  <si>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</si>
  <si>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</si>
  <si>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</si>
  <si>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</si>
  <si>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</si>
  <si>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</si>
  <si>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</si>
  <si>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</si>
  <si>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</si>
  <si>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</si>
  <si>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</si>
  <si>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</si>
  <si>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</si>
  <si>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</si>
  <si>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</si>
  <si>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</si>
  <si>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</si>
  <si>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</si>
  <si>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</si>
  <si>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</si>
  <si>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</si>
  <si>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</si>
  <si>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</si>
  <si>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</si>
  <si>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</si>
  <si>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</si>
  <si>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</si>
  <si>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</si>
  <si>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</si>
  <si>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</si>
  <si>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</si>
  <si>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</si>
  <si>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</si>
  <si>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</si>
  <si>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</si>
  <si>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</si>
  <si>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</si>
  <si>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</si>
  <si>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</si>
  <si>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</si>
  <si>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</si>
  <si>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</si>
  <si>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</si>
  <si>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</si>
  <si>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</si>
  <si>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</si>
  <si>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</si>
  <si>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</si>
  <si>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</si>
  <si>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</si>
  <si>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</si>
  <si>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</si>
  <si>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</si>
  <si>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</si>
  <si>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</si>
  <si>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</si>
  <si>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</si>
  <si>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</si>
  <si>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</si>
  <si>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</si>
  <si>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</si>
  <si>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</si>
  <si>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</si>
  <si>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</si>
  <si>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</si>
  <si>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</si>
  <si>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</si>
  <si>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</si>
  <si>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</si>
  <si>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</si>
  <si>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</si>
  <si>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</si>
  <si>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</si>
  <si>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</si>
  <si>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</si>
  <si>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</si>
  <si>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</si>
  <si>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</si>
  <si>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</si>
  <si>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</si>
  <si>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</si>
  <si>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</si>
  <si>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</si>
  <si>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</si>
  <si>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</si>
  <si>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</si>
  <si>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</si>
  <si>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</si>
  <si>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</si>
  <si>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</si>
  <si>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</si>
  <si>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</si>
  <si>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</si>
  <si>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</si>
  <si>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</si>
  <si>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</si>
  <si>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</si>
  <si>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</si>
  <si>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</si>
  <si>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</si>
  <si>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</si>
  <si>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</si>
  <si>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</si>
  <si>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</si>
  <si>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</si>
  <si>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</si>
  <si>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</si>
  <si>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</si>
  <si>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</si>
  <si>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</si>
  <si>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</si>
  <si>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</si>
  <si>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</si>
  <si>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</si>
  <si>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</si>
  <si>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</si>
  <si>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</si>
  <si>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</si>
  <si>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</si>
  <si>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</si>
  <si>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</si>
  <si>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</si>
  <si>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</si>
  <si>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</si>
  <si>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</si>
  <si>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</si>
  <si>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</si>
  <si>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</si>
  <si>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</si>
  <si>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</si>
  <si>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</si>
  <si>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</si>
  <si>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</si>
  <si>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</si>
  <si>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</si>
  <si>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</si>
  <si>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</si>
  <si>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</si>
  <si>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</si>
  <si>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</si>
  <si>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</si>
  <si>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</si>
  <si>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</si>
  <si>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</si>
  <si>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</si>
  <si>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</si>
  <si>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</si>
  <si>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</si>
  <si>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</si>
  <si>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</si>
  <si>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</si>
  <si>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</si>
  <si>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</si>
  <si>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</si>
  <si>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</si>
  <si>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</si>
  <si>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</si>
  <si>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</si>
  <si>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</si>
  <si>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</si>
  <si>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</si>
  <si>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</si>
  <si>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</si>
  <si>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</si>
  <si>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</si>
  <si>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</si>
  <si>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</si>
  <si>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</si>
  <si>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</si>
  <si>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</si>
  <si>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</si>
  <si>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</si>
  <si>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</si>
  <si>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</si>
  <si>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</si>
  <si>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</si>
  <si>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</si>
  <si>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</si>
  <si>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</si>
  <si>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</si>
  <si>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</si>
  <si>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</si>
  <si>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</si>
  <si>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</si>
  <si>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</si>
  <si>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</si>
  <si>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</si>
  <si>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</si>
  <si>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</si>
  <si>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</si>
  <si>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</si>
  <si>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</si>
  <si>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</si>
  <si>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</si>
  <si>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</si>
  <si>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</si>
  <si>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</si>
  <si>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</si>
  <si>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</si>
  <si>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</si>
  <si>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</si>
  <si>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</si>
  <si>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</si>
  <si>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</si>
  <si>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</si>
  <si>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</si>
  <si>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</si>
  <si>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</si>
  <si>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</si>
  <si>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</si>
  <si>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</si>
  <si>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</si>
  <si>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</si>
  <si>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</si>
  <si>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</si>
  <si>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</si>
  <si>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</si>
  <si>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</si>
  <si>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</si>
  <si>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</si>
  <si>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</si>
  <si>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</si>
  <si>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</si>
  <si>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</si>
  <si>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</si>
  <si>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</si>
  <si>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</si>
  <si>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</si>
  <si>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</si>
  <si>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</si>
  <si>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</si>
  <si>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</si>
  <si>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</si>
  <si>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</si>
  <si>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</si>
  <si>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</si>
  <si>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</si>
  <si>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</si>
  <si>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</si>
  <si>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</si>
  <si>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</si>
  <si>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</si>
  <si>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</si>
  <si>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</si>
  <si>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</si>
  <si>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</si>
  <si>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</si>
  <si>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</si>
  <si>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</si>
  <si>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</si>
  <si>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</si>
  <si>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</si>
  <si>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</si>
  <si>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</si>
  <si>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</si>
  <si>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</si>
  <si>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</si>
  <si>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</si>
  <si>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</si>
  <si>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</si>
  <si>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</si>
  <si>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</si>
  <si>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</si>
  <si>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</si>
  <si>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</si>
  <si>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</si>
  <si>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</si>
  <si>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</si>
  <si>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</si>
  <si>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</si>
  <si>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</si>
  <si>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</si>
  <si>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</si>
  <si>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</si>
  <si>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</si>
  <si>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</si>
  <si>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</si>
  <si>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</si>
  <si>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</si>
  <si>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</si>
  <si>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</si>
  <si>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</si>
  <si>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</si>
  <si>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</si>
  <si>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</si>
  <si>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</si>
  <si>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</si>
  <si>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</si>
  <si>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</si>
  <si>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</si>
  <si>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</si>
  <si>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</si>
  <si>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</si>
  <si>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</si>
  <si>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</si>
  <si>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</si>
  <si>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</si>
  <si>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</si>
  <si>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</si>
  <si>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</si>
  <si>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</si>
  <si>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</si>
  <si>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</si>
  <si>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</si>
  <si>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</si>
  <si>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</si>
  <si>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</si>
  <si>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</si>
  <si>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</si>
  <si>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</si>
  <si>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</si>
  <si>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</si>
  <si>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</si>
  <si>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</si>
  <si>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</si>
  <si>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</si>
  <si>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</si>
  <si>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</si>
  <si>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</si>
  <si>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</si>
  <si>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</si>
  <si>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</si>
  <si>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</si>
  <si>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</si>
  <si>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</si>
  <si>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</si>
  <si>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</si>
  <si>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</si>
  <si>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</si>
  <si>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</si>
  <si>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</si>
  <si>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</si>
  <si>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</si>
  <si>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</si>
  <si>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</si>
  <si>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</si>
  <si>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</si>
  <si>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</si>
  <si>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</si>
  <si>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</si>
  <si>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</si>
  <si>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</si>
  <si>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</si>
  <si>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</si>
  <si>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</si>
  <si>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</si>
  <si>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</si>
  <si>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</si>
  <si>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</si>
  <si>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</si>
  <si>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</si>
  <si>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</si>
  <si>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</si>
  <si>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</si>
  <si>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</si>
  <si>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</si>
  <si>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</si>
  <si>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</si>
  <si>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</si>
  <si>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</si>
  <si>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</si>
  <si>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</si>
  <si>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</si>
  <si>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</si>
  <si>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</si>
  <si>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</si>
  <si>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</si>
  <si>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</si>
  <si>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</si>
  <si>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</si>
  <si>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</si>
  <si>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</si>
  <si>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</si>
  <si>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</si>
  <si>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</si>
  <si>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</si>
  <si>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</si>
  <si>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</si>
  <si>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</si>
  <si>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</si>
  <si>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</si>
  <si>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</si>
  <si>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</si>
  <si>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</si>
  <si>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</si>
  <si>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</si>
  <si>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</si>
  <si>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</si>
  <si>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</si>
  <si>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</si>
  <si>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</si>
  <si>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</si>
  <si>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</si>
  <si>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</si>
  <si>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</si>
  <si>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</si>
  <si>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</si>
  <si>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</si>
  <si>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</si>
  <si>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</si>
  <si>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</si>
  <si>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</si>
  <si>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</si>
  <si>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</si>
  <si>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</si>
  <si>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</si>
  <si>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</si>
  <si>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</si>
  <si>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</si>
  <si>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</si>
  <si>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</si>
  <si>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</si>
  <si>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</si>
  <si>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</si>
  <si>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</si>
  <si>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</si>
  <si>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</si>
  <si>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</si>
  <si>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</si>
  <si>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</si>
  <si>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</si>
  <si>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</si>
  <si>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</si>
  <si>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</si>
  <si>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</si>
  <si>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</si>
  <si>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</si>
  <si>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</si>
  <si>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</si>
  <si>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</si>
  <si>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</si>
  <si>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</si>
  <si>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</si>
  <si>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</si>
  <si>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</si>
  <si>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</si>
  <si>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</si>
  <si>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</si>
  <si>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</si>
  <si>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</si>
  <si>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</si>
  <si>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</si>
  <si>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</si>
  <si>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</si>
  <si>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</si>
  <si>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</si>
  <si>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</si>
  <si>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</si>
  <si>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</si>
  <si>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</si>
  <si>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</si>
  <si>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</si>
  <si>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</si>
  <si>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</si>
  <si>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</si>
  <si>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</si>
  <si>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</si>
  <si>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</si>
  <si>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</si>
  <si>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</si>
  <si>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</si>
  <si>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</si>
  <si>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</si>
  <si>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</si>
  <si>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</si>
  <si>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</si>
  <si>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</si>
  <si>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</si>
  <si>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</si>
  <si>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</si>
  <si>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</si>
  <si>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</si>
  <si>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</si>
  <si>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</si>
  <si>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</si>
  <si>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</si>
  <si>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</si>
  <si>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</si>
  <si>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</si>
  <si>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</si>
  <si>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</si>
  <si>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</si>
  <si>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</si>
  <si>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</si>
  <si>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</si>
  <si>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</si>
  <si>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</si>
  <si>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</si>
  <si>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</si>
  <si>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</si>
  <si>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</si>
  <si>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</si>
  <si>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</si>
  <si>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</si>
  <si>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</si>
  <si>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</si>
  <si>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</si>
  <si>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</si>
  <si>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</si>
  <si>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</si>
  <si>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</si>
  <si>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</si>
  <si>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</si>
  <si>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</si>
  <si>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</si>
  <si>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</si>
  <si>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</si>
  <si>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</si>
  <si>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</si>
  <si>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</si>
  <si>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</si>
  <si>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</si>
  <si>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</si>
  <si>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</si>
  <si>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</si>
  <si>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</si>
  <si>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</si>
  <si>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</si>
  <si>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</si>
  <si>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</si>
  <si>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</si>
  <si>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</si>
  <si>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</si>
  <si>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</si>
  <si>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</si>
  <si>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</si>
  <si>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</si>
  <si>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</si>
  <si>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</si>
  <si>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</si>
  <si>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</si>
  <si>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</si>
  <si>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</si>
  <si>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</si>
  <si>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</si>
  <si>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</si>
  <si>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</si>
  <si>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</si>
  <si>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</si>
  <si>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</si>
  <si>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</si>
  <si>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</si>
  <si>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</si>
  <si>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</si>
  <si>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</si>
  <si>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</si>
  <si>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</si>
  <si>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</si>
  <si>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</si>
  <si>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</si>
  <si>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</si>
  <si>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</si>
  <si>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</si>
  <si>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</si>
  <si>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</si>
  <si>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</si>
  <si>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</si>
  <si>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</si>
  <si>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</si>
  <si>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</si>
  <si>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</si>
  <si>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</si>
  <si>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</si>
  <si>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</si>
  <si>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</si>
  <si>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</si>
  <si>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</si>
  <si>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</si>
  <si>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</si>
  <si>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</si>
  <si>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</si>
  <si>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</si>
  <si>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</si>
  <si>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</si>
  <si>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</si>
  <si>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</si>
  <si>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</si>
  <si>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</si>
  <si>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</si>
  <si>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</si>
  <si>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</si>
  <si>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</si>
  <si>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</si>
  <si>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</si>
  <si>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</si>
  <si>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</si>
  <si>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</si>
  <si>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</si>
  <si>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</si>
  <si>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</si>
  <si>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</si>
  <si>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</si>
  <si>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</si>
  <si>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</si>
  <si>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</si>
  <si>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</si>
  <si>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</si>
  <si>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</si>
  <si>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</si>
  <si>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</si>
  <si>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</si>
  <si>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</si>
  <si>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</si>
  <si>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</si>
  <si>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</si>
  <si>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</si>
  <si>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</si>
  <si>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</si>
  <si>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</si>
  <si>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</si>
  <si>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</si>
  <si>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</si>
  <si>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</si>
  <si>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</si>
  <si>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</si>
  <si>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</si>
  <si>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</si>
  <si>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</si>
  <si>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</si>
  <si>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</si>
  <si>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</si>
  <si>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</si>
  <si>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</si>
  <si>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</si>
  <si>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</si>
  <si>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</si>
  <si>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</si>
  <si>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</si>
  <si>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</si>
  <si>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</si>
  <si>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</si>
  <si>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</si>
  <si>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</si>
  <si>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</si>
  <si>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</si>
  <si>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</si>
  <si>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</si>
  <si>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</si>
  <si>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</si>
  <si>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</si>
  <si>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</si>
  <si>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</si>
  <si>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</si>
  <si>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</si>
  <si>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</si>
  <si>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</si>
  <si>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</si>
  <si>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</si>
  <si>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</si>
  <si>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</si>
  <si>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</si>
  <si>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</si>
  <si>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</si>
  <si>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</si>
  <si>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</si>
  <si>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</si>
  <si>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</si>
  <si>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</si>
  <si>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</si>
  <si>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</si>
  <si>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</si>
  <si>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</si>
  <si>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</si>
  <si>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</si>
  <si>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</si>
  <si>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</si>
  <si>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</si>
  <si>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</si>
  <si>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</si>
  <si>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</si>
  <si>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</si>
  <si>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</si>
  <si>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</si>
  <si>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</si>
  <si>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</si>
  <si>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</si>
  <si>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</si>
  <si>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</si>
  <si>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</si>
  <si>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</si>
  <si>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</si>
  <si>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</si>
  <si>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</si>
  <si>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</si>
  <si>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</si>
  <si>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</si>
  <si>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</si>
  <si>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</si>
  <si>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</si>
  <si>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</si>
  <si>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</si>
  <si>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</si>
  <si>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</si>
  <si>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</si>
  <si>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</si>
  <si>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</si>
  <si>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</si>
  <si>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</si>
  <si>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</si>
  <si>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</si>
  <si>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</si>
  <si>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</si>
  <si>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</si>
  <si>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</si>
  <si>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</si>
  <si>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</si>
  <si>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</si>
  <si>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</si>
  <si>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</si>
  <si>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</si>
  <si>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</si>
  <si>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</si>
  <si>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</si>
  <si>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</si>
  <si>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</si>
  <si>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</si>
  <si>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</si>
  <si>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</si>
  <si>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</si>
  <si>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</si>
  <si>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</si>
  <si>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</si>
  <si>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</si>
  <si>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</si>
  <si>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</si>
  <si>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</si>
  <si>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</si>
  <si>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</si>
  <si>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</si>
  <si>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</si>
  <si>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</si>
  <si>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</si>
  <si>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</si>
  <si>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</si>
  <si>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</si>
  <si>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</si>
  <si>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</si>
  <si>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</si>
  <si>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</si>
  <si>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</si>
  <si>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</si>
  <si>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</si>
  <si>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</si>
  <si>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</si>
  <si>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</si>
  <si>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</si>
  <si>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</si>
  <si>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</si>
  <si>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</si>
  <si>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</si>
  <si>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</si>
  <si>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</si>
  <si>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</si>
  <si>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</si>
  <si>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</si>
  <si>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</si>
  <si>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</si>
  <si>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</si>
  <si>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</si>
  <si>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</si>
  <si>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</si>
  <si>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</si>
  <si>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</si>
  <si>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</si>
  <si>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</si>
  <si>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</si>
  <si>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</si>
  <si>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</si>
  <si>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</si>
  <si>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</si>
  <si>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</si>
  <si>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</si>
  <si>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</si>
  <si>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</si>
  <si>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</si>
  <si>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</si>
  <si>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</si>
  <si>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</si>
  <si>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</si>
  <si>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</si>
  <si>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</si>
  <si>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</si>
  <si>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</si>
  <si>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</si>
  <si>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</si>
  <si>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</si>
  <si>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</si>
  <si>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</si>
  <si>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</si>
  <si>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</si>
  <si>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</si>
  <si>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</si>
  <si>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</si>
  <si>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</si>
  <si>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</si>
  <si>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</si>
  <si>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</si>
  <si>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</si>
  <si>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</si>
  <si>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</si>
  <si>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</si>
  <si>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</si>
  <si>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</si>
  <si>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</si>
  <si>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</si>
  <si>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</si>
  <si>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</si>
  <si>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</si>
  <si>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</si>
  <si>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</si>
  <si>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</si>
  <si>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</si>
  <si>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</si>
  <si>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</si>
  <si>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</si>
  <si>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</si>
  <si>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</si>
  <si>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</si>
  <si>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</si>
  <si>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</si>
  <si>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</si>
  <si>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</si>
  <si>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</si>
  <si>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</si>
  <si>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</si>
  <si>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</si>
  <si>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</si>
  <si>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</si>
  <si>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</si>
  <si>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</si>
  <si>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</si>
  <si>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</si>
  <si>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</si>
  <si>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</si>
  <si>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</si>
  <si>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</si>
  <si>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</si>
  <si>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</si>
  <si>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</si>
  <si>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</si>
  <si>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</si>
  <si>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</si>
  <si>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</si>
  <si>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</si>
  <si>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</si>
  <si>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</si>
  <si>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</si>
  <si>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</si>
  <si>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</si>
  <si>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</si>
  <si>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</si>
  <si>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</si>
  <si>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</si>
  <si>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</si>
  <si>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</si>
  <si>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</si>
  <si>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</si>
  <si>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</si>
  <si>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</si>
  <si>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</si>
  <si>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</si>
  <si>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</si>
  <si>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</si>
  <si>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</si>
  <si>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</si>
  <si>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</si>
  <si>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</si>
  <si>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</si>
  <si>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</si>
  <si>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</si>
  <si>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</si>
  <si>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</si>
  <si>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</si>
  <si>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</si>
  <si>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</si>
  <si>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</si>
  <si>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</si>
  <si>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</si>
  <si>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</si>
  <si>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</si>
  <si>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</si>
  <si>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</si>
  <si>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</si>
  <si>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</si>
  <si>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</si>
  <si>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</si>
  <si>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</si>
  <si>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</si>
  <si>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</si>
  <si>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</si>
  <si>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</si>
  <si>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</si>
  <si>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</si>
  <si>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</si>
  <si>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</si>
  <si>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</si>
  <si>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</si>
  <si>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</si>
  <si>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</si>
  <si>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</si>
  <si>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</si>
  <si>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</si>
  <si>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</si>
  <si>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</si>
  <si>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</si>
  <si>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</si>
  <si>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</si>
  <si>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</si>
  <si>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</si>
  <si>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</si>
  <si>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</si>
  <si>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</si>
  <si>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</si>
  <si>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</si>
  <si>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</si>
  <si>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</si>
  <si>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</si>
  <si>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</si>
  <si>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</si>
  <si>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</si>
  <si>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</si>
  <si>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</si>
  <si>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</si>
  <si>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</si>
  <si>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</si>
  <si>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</si>
  <si>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</si>
  <si>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</si>
  <si>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</si>
  <si>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</si>
  <si>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</si>
  <si>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</si>
  <si>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</si>
  <si>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</si>
  <si>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</si>
  <si>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</si>
  <si>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</si>
  <si>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</si>
  <si>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</si>
  <si>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</si>
  <si>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</si>
  <si>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</si>
  <si>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</si>
  <si>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</si>
  <si>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</si>
  <si>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</si>
  <si>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</si>
  <si>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</si>
  <si>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</si>
  <si>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</si>
  <si>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</si>
  <si>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</si>
  <si>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</si>
  <si>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</si>
  <si>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</si>
  <si>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</si>
  <si>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</si>
  <si>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</si>
  <si>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</si>
  <si>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</si>
  <si>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</si>
  <si>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</si>
  <si>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</si>
  <si>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</si>
  <si>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</si>
  <si>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</si>
  <si>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</si>
  <si>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</si>
  <si>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</si>
  <si>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</si>
  <si>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</si>
  <si>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</si>
  <si>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</si>
  <si>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</si>
  <si>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</si>
  <si>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</si>
  <si>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</si>
  <si>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</si>
  <si>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</si>
  <si>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</si>
  <si>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</si>
  <si>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</si>
  <si>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</si>
  <si>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</si>
  <si>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</si>
  <si>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</si>
  <si>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</si>
  <si>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</si>
  <si>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</si>
  <si>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</si>
  <si>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</si>
  <si>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</si>
  <si>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</si>
  <si>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</si>
  <si>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</si>
  <si>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</si>
  <si>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</si>
  <si>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</si>
  <si>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</si>
  <si>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</si>
  <si>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</si>
  <si>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</si>
  <si>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</si>
  <si>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</si>
  <si>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</si>
  <si>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</si>
  <si>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</si>
  <si>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</si>
  <si>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</si>
  <si>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</si>
  <si>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</si>
  <si>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</si>
  <si>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</si>
  <si>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</si>
  <si>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</si>
  <si>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</si>
  <si>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</si>
  <si>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</si>
  <si>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</si>
  <si>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</si>
  <si>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</si>
  <si>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</si>
  <si>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</si>
  <si>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</si>
  <si>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</si>
  <si>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</si>
  <si>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</si>
  <si>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</si>
  <si>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</si>
  <si>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</si>
  <si>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</si>
  <si>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</si>
  <si>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</si>
  <si>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</si>
  <si>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</si>
  <si>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</si>
  <si>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</si>
  <si>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</si>
  <si>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</si>
  <si>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</si>
  <si>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</si>
  <si>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</si>
  <si>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</si>
  <si>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</si>
  <si>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</si>
  <si>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</si>
  <si>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</si>
  <si>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</si>
  <si>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</si>
  <si>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</si>
  <si>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</si>
  <si>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</si>
  <si>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</si>
  <si>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</si>
  <si>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</si>
  <si>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</si>
  <si>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</si>
  <si>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</si>
  <si>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</si>
  <si>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</si>
  <si>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</si>
  <si>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</si>
  <si>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</si>
  <si>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</si>
  <si>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</si>
  <si>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</si>
  <si>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</si>
  <si>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</si>
  <si>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</si>
  <si>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</si>
  <si>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</si>
  <si>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</si>
  <si>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</si>
  <si>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</si>
  <si>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</si>
  <si>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</si>
  <si>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</si>
  <si>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</si>
  <si>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</si>
  <si>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</si>
  <si>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</si>
  <si>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</si>
  <si>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</si>
  <si>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</si>
  <si>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</si>
  <si>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</si>
  <si>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</si>
  <si>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</si>
  <si>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</si>
  <si>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</si>
  <si>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</si>
  <si>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</si>
  <si>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</si>
  <si>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</si>
  <si>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</si>
  <si>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</si>
  <si>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</si>
  <si>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</si>
  <si>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</si>
  <si>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</si>
  <si>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</si>
  <si>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</si>
  <si>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</si>
  <si>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</si>
  <si>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</si>
  <si>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</si>
  <si>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</si>
  <si>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</si>
  <si>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</si>
  <si>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</si>
  <si>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</si>
  <si>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</si>
  <si>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</si>
  <si>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</si>
  <si>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</si>
  <si>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</si>
  <si>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</si>
  <si>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</si>
  <si>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</si>
  <si>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</si>
  <si>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</si>
  <si>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</si>
  <si>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</si>
  <si>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</si>
  <si>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</si>
  <si>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</si>
  <si>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</si>
  <si>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</si>
  <si>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</si>
  <si>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</si>
  <si>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</si>
  <si>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</si>
  <si>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</si>
  <si>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</si>
  <si>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</si>
  <si>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</si>
  <si>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</si>
  <si>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</si>
  <si>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</si>
  <si>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</si>
  <si>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</si>
  <si>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</si>
  <si>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</si>
  <si>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</si>
  <si>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</si>
  <si>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</si>
  <si>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</si>
  <si>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</si>
  <si>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</si>
  <si>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</si>
  <si>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</si>
  <si>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</si>
  <si>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</si>
  <si>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</si>
  <si>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</si>
  <si>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</si>
  <si>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</si>
  <si>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</si>
  <si>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</si>
  <si>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</si>
  <si>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</si>
  <si>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</si>
  <si>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</si>
  <si>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</si>
  <si>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</si>
  <si>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</si>
  <si>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</si>
  <si>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</si>
  <si>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</si>
  <si>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</si>
  <si>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</si>
  <si>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</si>
  <si>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</si>
  <si>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</si>
  <si>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</si>
  <si>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</si>
  <si>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</si>
  <si>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</si>
  <si>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</si>
  <si>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</si>
  <si>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</si>
  <si>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</si>
  <si>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</si>
  <si>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</si>
  <si>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</si>
  <si>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</si>
  <si>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</si>
  <si>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</si>
  <si>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</si>
  <si>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</si>
  <si>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</si>
  <si>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</si>
  <si>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</si>
  <si>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</si>
  <si>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</si>
  <si>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</si>
  <si>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</si>
  <si>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</si>
  <si>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</si>
  <si>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</si>
  <si>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</si>
  <si>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</si>
  <si>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</si>
  <si>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</si>
  <si>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</si>
  <si>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</si>
  <si>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</si>
  <si>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</si>
  <si>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</si>
  <si>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</si>
  <si>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</si>
  <si>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</si>
  <si>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</si>
  <si>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</si>
  <si>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</si>
  <si>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</si>
  <si>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</si>
  <si>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</si>
  <si>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</si>
  <si>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</si>
  <si>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</si>
  <si>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</si>
  <si>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</si>
  <si>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</si>
  <si>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</si>
  <si>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</si>
  <si>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</si>
  <si>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</si>
  <si>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</si>
  <si>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</si>
  <si>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</si>
  <si>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</si>
  <si>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</si>
  <si>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</si>
  <si>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</si>
  <si>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</si>
  <si>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</si>
  <si>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</si>
  <si>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</si>
  <si>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</si>
  <si>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</si>
  <si>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</si>
  <si>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</si>
  <si>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</si>
  <si>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</si>
  <si>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</si>
  <si>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</si>
  <si>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</si>
  <si>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</si>
  <si>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</si>
  <si>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</si>
  <si>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</si>
  <si>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</si>
  <si>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</si>
  <si>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</si>
  <si>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</si>
  <si>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</si>
  <si>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</si>
  <si>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</si>
  <si>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</si>
  <si>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</si>
  <si>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</si>
  <si>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</si>
  <si>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</si>
  <si>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</si>
  <si>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</si>
  <si>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</si>
  <si>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</si>
  <si>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</si>
  <si>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</si>
  <si>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</si>
  <si>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</si>
  <si>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</si>
  <si>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</si>
  <si>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</si>
  <si>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</si>
  <si>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</si>
  <si>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</si>
  <si>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</si>
  <si>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</si>
  <si>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</si>
  <si>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</si>
  <si>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</si>
  <si>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</si>
  <si>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</si>
  <si>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</si>
  <si>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</si>
  <si>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</si>
  <si>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</si>
  <si>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</si>
  <si>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</si>
  <si>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</si>
  <si>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</si>
  <si>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</si>
  <si>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</si>
  <si>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</si>
  <si>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</si>
  <si>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</si>
  <si>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</si>
  <si>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</si>
  <si>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</si>
  <si>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</si>
  <si>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</si>
  <si>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</si>
  <si>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</si>
  <si>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</si>
  <si>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</si>
  <si>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</si>
  <si>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</si>
  <si>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</si>
  <si>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</si>
  <si>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</si>
  <si>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</si>
  <si>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</si>
  <si>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</si>
  <si>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</si>
  <si>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</si>
  <si>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</si>
  <si>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</si>
  <si>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</si>
  <si>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</si>
  <si>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</si>
  <si>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</si>
  <si>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</si>
  <si>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</si>
  <si>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</si>
  <si>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</si>
  <si>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</si>
  <si>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</si>
  <si>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</si>
  <si>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</si>
  <si>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</si>
  <si>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</si>
  <si>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</si>
  <si>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</si>
  <si>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</si>
  <si>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</si>
  <si>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</si>
  <si>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</si>
  <si>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</si>
  <si>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</si>
  <si>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</si>
  <si>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</si>
  <si>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</si>
  <si>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</si>
  <si>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</si>
  <si>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</si>
  <si>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</si>
  <si>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</si>
  <si>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</si>
  <si>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</si>
  <si>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</si>
  <si>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</si>
  <si>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</si>
  <si>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</si>
  <si>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</si>
  <si>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</si>
  <si>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</si>
  <si>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</si>
  <si>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</si>
  <si>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</si>
  <si>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</si>
  <si>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</si>
  <si>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</si>
  <si>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</si>
  <si>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</si>
  <si>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</si>
  <si>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</si>
  <si>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</si>
  <si>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</si>
  <si>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</si>
  <si>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</si>
  <si>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</si>
  <si>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</si>
  <si>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</si>
  <si>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</si>
  <si>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</si>
  <si>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</si>
  <si>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</si>
  <si>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</si>
  <si>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</si>
  <si>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</si>
  <si>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</si>
  <si>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</si>
  <si>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</si>
  <si>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</si>
  <si>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</si>
  <si>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</si>
  <si>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</si>
  <si>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</si>
  <si>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</si>
  <si>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</si>
  <si>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</si>
  <si>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</si>
  <si>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</si>
  <si>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</si>
  <si>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</si>
  <si>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</si>
  <si>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</si>
  <si>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</si>
  <si>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</si>
  <si>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</si>
  <si>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</si>
  <si>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</si>
  <si>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</si>
  <si>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</si>
  <si>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</si>
  <si>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</si>
  <si>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</si>
  <si>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</si>
  <si>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</si>
  <si>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</si>
  <si>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</si>
  <si>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</si>
  <si>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</si>
  <si>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</si>
  <si>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</si>
  <si>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</si>
  <si>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</si>
  <si>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</si>
  <si>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</si>
  <si>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</si>
  <si>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</si>
  <si>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</si>
  <si>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</si>
  <si>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</si>
  <si>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</si>
  <si>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</si>
  <si>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</si>
  <si>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</si>
  <si>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</si>
  <si>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</si>
  <si>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</si>
  <si>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</si>
  <si>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</si>
  <si>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</si>
  <si>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</si>
  <si>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</si>
  <si>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</si>
  <si>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</si>
  <si>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</si>
  <si>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</si>
  <si>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</si>
  <si>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</si>
  <si>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</si>
  <si>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</si>
  <si>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</si>
  <si>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</si>
  <si>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</si>
  <si>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</si>
  <si>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</si>
  <si>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</si>
  <si>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</si>
  <si>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</si>
  <si>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</si>
  <si>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</si>
  <si>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</si>
  <si>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</si>
  <si>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</si>
  <si>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</si>
  <si>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</si>
  <si>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</si>
  <si>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</si>
  <si>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</si>
  <si>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</si>
  <si>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</si>
  <si>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</si>
  <si>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</si>
  <si>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</si>
  <si>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</si>
  <si>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</si>
  <si>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</si>
  <si>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</si>
  <si>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</si>
  <si>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</si>
  <si>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</si>
  <si>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</si>
  <si>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</si>
  <si>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</si>
  <si>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</si>
  <si>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</si>
  <si>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</si>
  <si>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</si>
  <si>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</si>
  <si>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</si>
  <si>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</si>
  <si>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</si>
  <si>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</si>
  <si>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</si>
  <si>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</si>
  <si>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</si>
  <si>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</si>
  <si>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</si>
  <si>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</si>
  <si>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</si>
  <si>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</si>
  <si>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</si>
  <si>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</si>
  <si>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</si>
  <si>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</si>
  <si>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</si>
  <si>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</si>
  <si>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</si>
  <si>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</si>
  <si>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</si>
  <si>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</si>
  <si>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</si>
  <si>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</si>
  <si>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</si>
  <si>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</si>
  <si>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</si>
  <si>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</si>
  <si>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</si>
  <si>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</si>
  <si>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</si>
  <si>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</si>
  <si>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</si>
  <si>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</si>
  <si>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</si>
  <si>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</si>
  <si>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</si>
  <si>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</si>
  <si>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</si>
  <si>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</si>
  <si>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</si>
  <si>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</si>
  <si>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</si>
  <si>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</si>
  <si>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</si>
  <si>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</si>
  <si>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</si>
  <si>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</si>
  <si>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</si>
  <si>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</si>
  <si>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</si>
  <si>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</si>
  <si>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</si>
  <si>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</si>
  <si>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</si>
  <si>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</si>
  <si>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</si>
  <si>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</si>
  <si>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</si>
  <si>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</si>
  <si>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</si>
  <si>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</si>
  <si>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</si>
  <si>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</si>
  <si>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</si>
  <si>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</si>
  <si>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</si>
  <si>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</si>
  <si>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</si>
  <si>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</si>
  <si>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</si>
  <si>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</si>
  <si>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</si>
  <si>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</si>
  <si>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</si>
  <si>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</si>
  <si>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</si>
  <si>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</si>
  <si>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</si>
  <si>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</si>
  <si>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</si>
  <si>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</si>
  <si>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</si>
  <si>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</si>
  <si>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</si>
  <si>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</si>
  <si>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</si>
  <si>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</si>
  <si>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</si>
  <si>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</si>
  <si>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</si>
  <si>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</si>
  <si>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</si>
  <si>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</si>
  <si>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</si>
  <si>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</si>
  <si>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</si>
  <si>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</si>
  <si>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</si>
  <si>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</si>
  <si>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</si>
  <si>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</si>
  <si>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</si>
  <si>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</si>
  <si>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</si>
  <si>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</si>
  <si>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</si>
  <si>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</si>
  <si>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</si>
  <si>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</si>
  <si>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</si>
  <si>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</si>
  <si>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</si>
  <si>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</si>
  <si>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</si>
  <si>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</si>
  <si>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</si>
  <si>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</si>
  <si>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</si>
  <si>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</si>
  <si>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</si>
  <si>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</si>
  <si>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</si>
  <si>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</si>
  <si>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</si>
  <si>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</si>
  <si>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</si>
  <si>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</si>
  <si>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</si>
  <si>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</si>
  <si>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</si>
  <si>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</si>
  <si>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</si>
  <si>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</si>
  <si>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</si>
  <si>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</si>
  <si>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</si>
  <si>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</si>
  <si>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</si>
  <si>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</si>
  <si>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</si>
  <si>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</si>
  <si>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</si>
  <si>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</si>
  <si>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</si>
  <si>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</si>
  <si>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</si>
  <si>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</si>
  <si>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</si>
  <si>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</si>
  <si>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</si>
  <si>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</si>
  <si>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</si>
  <si>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</si>
  <si>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</si>
  <si>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</si>
  <si>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</si>
  <si>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</si>
  <si>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</si>
  <si>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</si>
  <si>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</si>
  <si>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</si>
  <si>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</si>
  <si>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</si>
  <si>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</si>
  <si>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</si>
  <si>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</si>
  <si>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</si>
  <si>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</si>
  <si>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</si>
  <si>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</si>
  <si>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</si>
  <si>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</si>
  <si>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</si>
  <si>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</si>
  <si>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</si>
  <si>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</si>
  <si>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</si>
  <si>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</si>
  <si>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</si>
  <si>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</si>
  <si>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</si>
  <si>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</si>
  <si>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</si>
  <si>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</si>
  <si>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</si>
  <si>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</si>
  <si>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</si>
  <si>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</si>
  <si>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</si>
  <si>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</si>
  <si>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</si>
  <si>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</si>
  <si>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</si>
  <si>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</si>
  <si>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</si>
  <si>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</si>
  <si>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</si>
  <si>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</si>
  <si>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</si>
  <si>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</si>
  <si>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</si>
  <si>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</si>
  <si>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</si>
  <si>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</si>
  <si>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</si>
  <si>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</si>
  <si>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</si>
  <si>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</si>
  <si>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</si>
  <si>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</si>
  <si>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</si>
  <si>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</si>
  <si>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</si>
  <si>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</si>
  <si>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</si>
  <si>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</si>
  <si>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</si>
  <si>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</si>
  <si>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</si>
  <si>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</si>
  <si>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</si>
  <si>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</si>
  <si>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</si>
  <si>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</si>
  <si>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</si>
  <si>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</si>
  <si>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</si>
  <si>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</si>
  <si>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</si>
  <si>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</si>
  <si>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</si>
  <si>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</si>
  <si>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</si>
  <si>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</si>
  <si>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</si>
  <si>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</si>
  <si>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</si>
  <si>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</si>
  <si>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</si>
  <si>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</si>
  <si>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</si>
  <si>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</si>
  <si>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</si>
  <si>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</si>
  <si>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</si>
  <si>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</si>
  <si>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</si>
  <si>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</si>
  <si>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</si>
  <si>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</si>
  <si>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</si>
  <si>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</si>
  <si>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</si>
  <si>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</si>
  <si>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</si>
  <si>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</si>
  <si>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</si>
  <si>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</si>
  <si>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</si>
  <si>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</si>
  <si>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</si>
  <si>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</si>
  <si>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</si>
  <si>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</si>
  <si>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</si>
  <si>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</si>
  <si>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</si>
  <si>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</si>
  <si>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</si>
  <si>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</si>
  <si>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</si>
  <si>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</si>
  <si>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</si>
  <si>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</si>
  <si>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</si>
  <si>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</si>
  <si>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</si>
  <si>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</si>
  <si>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</si>
  <si>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</si>
  <si>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</si>
  <si>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</si>
  <si>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</si>
  <si>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</si>
  <si>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</si>
  <si>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</si>
  <si>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</si>
  <si>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</si>
  <si>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</si>
  <si>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</si>
  <si>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</si>
  <si>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</si>
  <si>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</si>
  <si>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</si>
  <si>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</si>
  <si>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</si>
  <si>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</si>
  <si>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</si>
  <si>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</si>
  <si>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</si>
  <si>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</si>
  <si>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</si>
  <si>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</si>
  <si>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</si>
  <si>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</si>
  <si>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</si>
  <si>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</si>
  <si>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</si>
  <si>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</si>
  <si>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</si>
  <si>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</si>
  <si>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</si>
  <si>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</si>
  <si>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</si>
  <si>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</si>
  <si>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</si>
  <si>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</si>
  <si>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</si>
  <si>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</si>
  <si>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</si>
  <si>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</si>
  <si>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</si>
  <si>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</si>
  <si>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</si>
  <si>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</si>
  <si>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</si>
  <si>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</si>
  <si>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</si>
  <si>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</si>
  <si>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</si>
  <si>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</si>
  <si>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</si>
  <si>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</si>
  <si>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</si>
  <si>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</si>
  <si>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</si>
  <si>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</si>
  <si>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</si>
  <si>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</si>
  <si>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</si>
  <si>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</si>
  <si>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</si>
  <si>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</si>
  <si>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</si>
  <si>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</si>
  <si>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</si>
  <si>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</si>
  <si>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</si>
  <si>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</si>
  <si>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</si>
  <si>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</si>
  <si>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</si>
  <si>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</si>
  <si>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</si>
  <si>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</si>
  <si>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</si>
  <si>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</si>
  <si>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</si>
  <si>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</si>
  <si>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</si>
  <si>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</si>
  <si>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</si>
  <si>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</si>
  <si>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</si>
  <si>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</si>
  <si>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</si>
  <si>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</si>
  <si>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</si>
  <si>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</si>
  <si>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</si>
  <si>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</si>
  <si>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</si>
  <si>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</si>
  <si>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</si>
  <si>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</si>
  <si>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</si>
  <si>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</si>
  <si>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</si>
  <si>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</si>
  <si>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</si>
  <si>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</si>
  <si>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</si>
  <si>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</si>
  <si>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</si>
  <si>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</si>
  <si>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</si>
  <si>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</si>
  <si>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</si>
  <si>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</si>
  <si>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</si>
  <si>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</si>
  <si>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</si>
  <si>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</si>
  <si>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</si>
  <si>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</si>
  <si>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</si>
  <si>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</si>
  <si>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</si>
  <si>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</si>
  <si>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</si>
  <si>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</si>
  <si>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</si>
  <si>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</si>
  <si>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</si>
  <si>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</si>
  <si>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</si>
  <si>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</si>
  <si>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</si>
  <si>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</si>
  <si>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</si>
  <si>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</si>
  <si>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</si>
  <si>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</si>
  <si>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</si>
  <si>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</si>
  <si>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</si>
  <si>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</si>
  <si>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</si>
  <si>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</si>
  <si>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</si>
  <si>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</si>
  <si>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</si>
  <si>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</si>
  <si>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</si>
  <si>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</si>
  <si>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</si>
  <si>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</si>
  <si>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</si>
  <si>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</si>
  <si>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</si>
  <si>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</si>
  <si>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</si>
  <si>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</si>
  <si>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</si>
  <si>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</si>
  <si>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</si>
  <si>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</si>
  <si>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</si>
  <si>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</si>
  <si>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</si>
  <si>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</si>
  <si>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</si>
  <si>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</si>
  <si>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</si>
  <si>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</si>
  <si>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</si>
  <si>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</si>
  <si>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</si>
  <si>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</si>
  <si>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</si>
  <si>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</si>
  <si>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</si>
  <si>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</si>
  <si>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</si>
  <si>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</si>
  <si>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</si>
  <si>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</si>
  <si>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</si>
  <si>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</si>
  <si>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</si>
  <si>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</si>
  <si>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</si>
  <si>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</si>
  <si>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</si>
  <si>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</si>
  <si>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</si>
  <si>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</si>
  <si>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</si>
  <si>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</si>
  <si>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</si>
  <si>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</si>
  <si>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</si>
  <si>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</si>
  <si>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</si>
  <si>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</si>
  <si>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</si>
  <si>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</si>
  <si>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</si>
  <si>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</si>
  <si>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</si>
  <si>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</si>
  <si>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</si>
  <si>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</si>
  <si>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</si>
  <si>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</si>
  <si>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</si>
  <si>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</si>
  <si>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</si>
  <si>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</si>
  <si>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</si>
  <si>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</si>
  <si>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</si>
  <si>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</si>
  <si>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</si>
  <si>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</si>
  <si>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</si>
  <si>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</si>
  <si>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</si>
  <si>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</si>
  <si>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</si>
  <si>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</si>
  <si>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</si>
  <si>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</si>
  <si>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</si>
  <si>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</si>
  <si>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</si>
  <si>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</si>
  <si>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</si>
  <si>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</si>
  <si>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</si>
  <si>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</si>
  <si>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</si>
  <si>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</si>
  <si>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</si>
  <si>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</si>
  <si>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</si>
  <si>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</si>
  <si>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</si>
  <si>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</si>
  <si>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</si>
  <si>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</si>
  <si>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</si>
  <si>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</si>
  <si>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</si>
  <si>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</si>
  <si>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</si>
  <si>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</si>
  <si>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</si>
  <si>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</si>
  <si>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</si>
  <si>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</si>
  <si>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</si>
  <si>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</si>
  <si>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</si>
  <si>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</si>
  <si>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</si>
  <si>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</si>
  <si>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</si>
  <si>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</si>
  <si>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</si>
  <si>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</si>
  <si>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</si>
  <si>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</si>
  <si>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</si>
  <si>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</si>
  <si>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</si>
  <si>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</si>
  <si>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</si>
  <si>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</si>
  <si>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</si>
  <si>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</si>
  <si>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</si>
  <si>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</si>
  <si>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</si>
  <si>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</si>
  <si>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</si>
  <si>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</si>
  <si>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</si>
  <si>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</si>
  <si>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</si>
  <si>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</si>
  <si>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</si>
  <si>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</si>
  <si>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</si>
  <si>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</si>
  <si>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</si>
  <si>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</si>
  <si>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</si>
  <si>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</si>
  <si>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</si>
  <si>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</si>
  <si>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</si>
  <si>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</si>
  <si>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</si>
  <si>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</si>
  <si>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</si>
  <si>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</si>
  <si>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</si>
  <si>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</si>
  <si>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</si>
  <si>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</si>
  <si>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</si>
  <si>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</si>
  <si>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</si>
  <si>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</si>
  <si>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</si>
  <si>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</si>
  <si>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</si>
  <si>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</si>
  <si>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</si>
  <si>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</si>
  <si>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</si>
  <si>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</si>
  <si>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</si>
  <si>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</si>
  <si>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</si>
  <si>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</si>
  <si>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</si>
  <si>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</si>
  <si>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</si>
  <si>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</si>
  <si>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</si>
  <si>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</si>
  <si>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</si>
  <si>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</si>
  <si>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</si>
  <si>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</si>
  <si>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</si>
  <si>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</si>
  <si>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</si>
  <si>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</si>
  <si>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</si>
  <si>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</si>
  <si>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</si>
  <si>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</si>
  <si>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</si>
  <si>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</si>
  <si>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</si>
  <si>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</si>
  <si>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</si>
  <si>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</si>
  <si>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</si>
  <si>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</si>
  <si>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</si>
  <si>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</si>
  <si>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</si>
  <si>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</si>
  <si>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</si>
  <si>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</si>
  <si>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</si>
  <si>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</si>
  <si>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</si>
  <si>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</si>
  <si>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</si>
  <si>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</si>
  <si>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</si>
  <si>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</si>
  <si>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</si>
  <si>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</si>
  <si>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</si>
  <si>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</si>
  <si>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</si>
  <si>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</si>
  <si>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</si>
  <si>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</si>
  <si>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</si>
  <si>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</si>
  <si>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</si>
  <si>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</si>
  <si>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</si>
  <si>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</si>
  <si>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</si>
  <si>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</si>
  <si>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</si>
  <si>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</si>
  <si>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</si>
  <si>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</si>
  <si>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</si>
  <si>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</si>
  <si>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</si>
  <si>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</si>
  <si>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</si>
  <si>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</si>
  <si>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</si>
  <si>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</si>
  <si>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</si>
  <si>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</si>
  <si>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</si>
  <si>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</si>
  <si>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</si>
  <si>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</si>
  <si>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</si>
  <si>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</si>
  <si>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</si>
  <si>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</si>
  <si>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</si>
  <si>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</si>
  <si>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</si>
  <si>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</si>
  <si>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</si>
  <si>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</si>
  <si>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</si>
  <si>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</si>
  <si>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</si>
  <si>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</si>
  <si>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</si>
  <si>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</si>
  <si>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</si>
  <si>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</si>
  <si>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</si>
  <si>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</si>
  <si>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</si>
  <si>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</si>
  <si>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</si>
  <si>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</si>
  <si>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</si>
  <si>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</si>
  <si>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</si>
  <si>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</si>
  <si>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</si>
  <si>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</si>
  <si>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</si>
  <si>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</si>
  <si>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</si>
  <si>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</si>
  <si>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</si>
  <si>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</si>
  <si>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</si>
  <si>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</si>
  <si>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</si>
  <si>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</si>
  <si>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</si>
  <si>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</si>
  <si>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</si>
  <si>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</si>
  <si>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</si>
  <si>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</si>
  <si>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</si>
  <si>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</si>
  <si>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</si>
  <si>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</si>
  <si>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</si>
  <si>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</si>
  <si>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</si>
  <si>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</si>
  <si>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</si>
  <si>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</si>
  <si>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</si>
  <si>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</si>
  <si>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</si>
  <si>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</si>
  <si>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</si>
  <si>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</si>
  <si>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</si>
  <si>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</si>
  <si>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</si>
  <si>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</si>
  <si>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</si>
  <si>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</si>
  <si>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</si>
  <si>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</si>
  <si>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</si>
  <si>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</si>
  <si>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</si>
  <si>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</si>
  <si>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</si>
  <si>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</si>
  <si>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</si>
  <si>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</si>
  <si>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</si>
  <si>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</si>
  <si>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</si>
  <si>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</si>
  <si>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</si>
  <si>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</si>
  <si>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</si>
  <si>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</si>
  <si>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</si>
  <si>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</si>
  <si>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</si>
  <si>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</si>
  <si>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</si>
  <si>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</si>
  <si>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</si>
  <si>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</si>
  <si>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</si>
  <si>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</si>
  <si>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</si>
  <si>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</si>
  <si>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</si>
  <si>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</si>
  <si>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</si>
  <si>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</si>
  <si>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</si>
  <si>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</si>
  <si>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</si>
  <si>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</si>
  <si>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</si>
  <si>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</si>
  <si>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</si>
  <si>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</si>
  <si>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</si>
  <si>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</si>
  <si>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</si>
  <si>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</si>
  <si>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</si>
  <si>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</si>
  <si>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</si>
  <si>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</si>
  <si>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</si>
  <si>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</si>
  <si>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</si>
  <si>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</si>
  <si>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</si>
  <si>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</si>
  <si>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</si>
  <si>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</si>
  <si>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</si>
  <si>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</si>
  <si>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</si>
  <si>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</si>
  <si>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</si>
  <si>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</si>
  <si>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</si>
  <si>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</si>
  <si>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</si>
  <si>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</si>
  <si>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</si>
  <si>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</si>
  <si>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</si>
  <si>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</si>
  <si>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</si>
  <si>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</si>
  <si>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</si>
  <si>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</si>
  <si>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</si>
  <si>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</si>
  <si>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</si>
  <si>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</si>
  <si>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</si>
  <si>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</si>
  <si>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</si>
  <si>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</si>
  <si>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</si>
  <si>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</si>
  <si>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</si>
  <si>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</si>
  <si>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</si>
  <si>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</si>
  <si>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</si>
  <si>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</si>
  <si>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</si>
  <si>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</si>
  <si>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</si>
  <si>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</si>
  <si>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</si>
  <si>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</si>
  <si>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</si>
  <si>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</si>
  <si>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</si>
  <si>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</si>
  <si>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</si>
  <si>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</si>
  <si>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</si>
  <si>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</si>
  <si>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</si>
  <si>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</si>
  <si>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</si>
  <si>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</si>
  <si>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</si>
  <si>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</si>
  <si>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</si>
  <si>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</si>
  <si>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</si>
  <si>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</si>
  <si>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</si>
  <si>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</si>
  <si>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</si>
  <si>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</si>
  <si>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</si>
  <si>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</si>
  <si>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</si>
  <si>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</si>
  <si>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</si>
  <si>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</si>
  <si>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</si>
  <si>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</si>
  <si>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</si>
  <si>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</si>
  <si>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</si>
  <si>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</si>
  <si>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</si>
  <si>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</si>
  <si>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</si>
  <si>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</si>
  <si>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</si>
  <si>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</si>
  <si>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</si>
  <si>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</si>
  <si>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</si>
  <si>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</si>
  <si>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</si>
  <si>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</si>
  <si>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</si>
  <si>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</si>
  <si>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</si>
  <si>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</si>
  <si>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</si>
  <si>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</si>
  <si>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</si>
  <si>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</si>
  <si>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</si>
  <si>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</si>
  <si>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</si>
  <si>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</si>
  <si>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</si>
  <si>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</si>
  <si>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</si>
  <si>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</si>
  <si>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</si>
  <si>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</si>
  <si>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</si>
  <si>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</si>
  <si>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</si>
  <si>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</si>
  <si>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</si>
  <si>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</si>
  <si>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</si>
  <si>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</si>
  <si>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</si>
  <si>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</si>
  <si>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</si>
  <si>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</si>
  <si>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</si>
  <si>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</si>
  <si>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</si>
  <si>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</si>
  <si>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</si>
  <si>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</si>
  <si>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</si>
  <si>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</si>
  <si>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</si>
  <si>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</si>
  <si>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</si>
  <si>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</si>
  <si>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</si>
  <si>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</si>
  <si>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</si>
  <si>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</si>
  <si>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</si>
  <si>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</si>
  <si>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</si>
  <si>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</si>
  <si>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</si>
  <si>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</si>
  <si>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</si>
  <si>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</si>
  <si>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</si>
  <si>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</si>
  <si>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</si>
  <si>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</si>
  <si>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</si>
  <si>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</si>
  <si>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</si>
  <si>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</si>
  <si>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</si>
  <si>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</si>
  <si>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</si>
  <si>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</si>
  <si>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</si>
  <si>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</si>
  <si>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</si>
  <si>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</si>
  <si>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</si>
  <si>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</si>
  <si>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</si>
  <si>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</si>
  <si>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</si>
  <si>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</si>
  <si>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</si>
  <si>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</si>
  <si>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</si>
  <si>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</si>
  <si>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</si>
  <si>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</si>
  <si>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</si>
  <si>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</si>
  <si>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</si>
  <si>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</si>
  <si>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</si>
  <si>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</si>
  <si>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</si>
  <si>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</si>
  <si>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</si>
  <si>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</si>
  <si>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</si>
  <si>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</si>
  <si>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</si>
  <si>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</si>
  <si>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</si>
  <si>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</si>
  <si>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</si>
  <si>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</si>
  <si>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</si>
  <si>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</si>
  <si>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</si>
  <si>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</si>
  <si>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</si>
  <si>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</si>
  <si>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</si>
  <si>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</si>
  <si>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</si>
  <si>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</si>
  <si>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</si>
  <si>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</si>
  <si>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</si>
  <si>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</si>
  <si>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</si>
  <si>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</si>
  <si>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</si>
  <si>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</si>
  <si>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</si>
  <si>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</si>
  <si>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</si>
  <si>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</si>
  <si>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</si>
  <si>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</si>
  <si>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</si>
  <si>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</si>
  <si>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</si>
  <si>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</si>
  <si>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</si>
  <si>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</si>
  <si>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</si>
  <si>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</si>
  <si>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</si>
  <si>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</si>
  <si>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</si>
  <si>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</si>
  <si>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</si>
  <si>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</si>
  <si>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</si>
  <si>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</si>
  <si>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</si>
  <si>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</si>
  <si>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</si>
  <si>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</si>
  <si>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</si>
  <si>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</si>
  <si>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</si>
  <si>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</si>
  <si>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</si>
  <si>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</si>
  <si>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</si>
  <si>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</si>
  <si>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</si>
  <si>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</si>
  <si>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</si>
  <si>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</si>
  <si>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</si>
  <si>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</si>
  <si>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</si>
  <si>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</si>
  <si>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</si>
  <si>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</si>
  <si>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</si>
  <si>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</si>
  <si>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</si>
  <si>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</si>
  <si>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</si>
  <si>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</si>
  <si>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</si>
  <si>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</si>
  <si>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</si>
  <si>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</si>
  <si>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</si>
  <si>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</si>
  <si>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</si>
  <si>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</si>
  <si>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</si>
  <si>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</si>
  <si>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</si>
  <si>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</si>
  <si>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</si>
  <si>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</si>
  <si>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</si>
  <si>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</si>
  <si>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</si>
  <si>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</si>
  <si>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</si>
  <si>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</si>
  <si>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</si>
  <si>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</si>
  <si>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</si>
  <si>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</si>
  <si>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</si>
  <si>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</si>
  <si>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</si>
  <si>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</si>
  <si>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</si>
  <si>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</si>
  <si>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</si>
  <si>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</si>
  <si>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</si>
  <si>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</si>
  <si>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</si>
  <si>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</si>
  <si>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</si>
  <si>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</si>
  <si>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</si>
  <si>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</si>
  <si>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</si>
  <si>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</si>
  <si>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</si>
  <si>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</si>
  <si>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</si>
  <si>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</si>
  <si>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</si>
  <si>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</si>
  <si>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</si>
  <si>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</si>
  <si>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</si>
  <si>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</si>
  <si>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</si>
  <si>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</si>
  <si>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</si>
  <si>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</si>
  <si>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</si>
  <si>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</si>
  <si>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</si>
  <si>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</si>
  <si>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</si>
  <si>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</si>
  <si>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</si>
  <si>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</si>
  <si>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</si>
  <si>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</si>
  <si>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</si>
  <si>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</si>
  <si>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</si>
  <si>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</si>
  <si>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</si>
  <si>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</si>
  <si>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</si>
  <si>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</si>
  <si>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</si>
  <si>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</si>
  <si>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</si>
  <si>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</si>
  <si>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</si>
  <si>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</si>
  <si>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</si>
  <si>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</si>
  <si>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</si>
  <si>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</si>
  <si>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</si>
  <si>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</si>
  <si>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</si>
  <si>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</si>
  <si>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</si>
  <si>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</si>
  <si>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</si>
  <si>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</si>
  <si>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</si>
  <si>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</si>
  <si>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</si>
  <si>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</si>
  <si>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</si>
  <si>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</si>
  <si>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</si>
  <si>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</si>
  <si>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</si>
  <si>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</si>
  <si>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</si>
  <si>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</si>
  <si>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</si>
  <si>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</si>
  <si>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</si>
  <si>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</si>
  <si>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</si>
  <si>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</si>
  <si>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</si>
  <si>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</si>
  <si>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</si>
  <si>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</si>
  <si>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</si>
  <si>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</si>
  <si>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</si>
  <si>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</si>
  <si>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</si>
  <si>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</si>
  <si>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</si>
  <si>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</si>
  <si>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</si>
  <si>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</si>
  <si>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</si>
  <si>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</si>
  <si>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</si>
  <si>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</si>
  <si>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</si>
  <si>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</si>
  <si>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</si>
  <si>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</si>
  <si>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</si>
  <si>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</si>
  <si>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</si>
  <si>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</si>
  <si>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</si>
  <si>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</si>
  <si>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</si>
  <si>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</si>
  <si>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</si>
  <si>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</si>
  <si>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</si>
  <si>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</si>
  <si>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</si>
  <si>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</si>
  <si>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</si>
  <si>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</si>
  <si>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</si>
  <si>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</si>
  <si>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</si>
  <si>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</si>
  <si>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</si>
  <si>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</si>
  <si>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</si>
  <si>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</si>
  <si>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</si>
  <si>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</si>
  <si>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</si>
  <si>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</si>
  <si>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</si>
  <si>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</si>
  <si>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</si>
  <si>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</si>
  <si>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</si>
  <si>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</si>
  <si>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</si>
  <si>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</si>
  <si>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</si>
  <si>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</si>
  <si>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</si>
  <si>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</si>
  <si>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</si>
  <si>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</si>
  <si>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</si>
  <si>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</si>
  <si>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</si>
  <si>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</si>
  <si>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</si>
  <si>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</si>
  <si>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</si>
  <si>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</si>
  <si>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</si>
  <si>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</si>
  <si>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</si>
  <si>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</si>
  <si>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</si>
  <si>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</si>
  <si>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</si>
  <si>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</si>
  <si>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</si>
  <si>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</si>
  <si>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</si>
  <si>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</si>
  <si>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</si>
  <si>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</si>
  <si>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</si>
  <si>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</si>
  <si>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</si>
  <si>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</si>
  <si>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</si>
  <si>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</si>
  <si>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</si>
  <si>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</si>
  <si>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</si>
  <si>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</si>
  <si>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</si>
  <si>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</si>
  <si>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</si>
  <si>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</si>
  <si>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</si>
  <si>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</si>
  <si>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</si>
  <si>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</si>
  <si>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</si>
  <si>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</si>
  <si>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</si>
  <si>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</si>
  <si>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</si>
  <si>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</si>
  <si>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</si>
  <si>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</si>
  <si>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</si>
  <si>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</si>
  <si>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</si>
  <si>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</si>
  <si>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</si>
  <si>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</si>
  <si>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</si>
  <si>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</si>
  <si>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</si>
  <si>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</si>
  <si>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</si>
  <si>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</si>
  <si>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</si>
  <si>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</si>
  <si>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</si>
  <si>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</si>
  <si>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</si>
  <si>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</si>
  <si>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</si>
  <si>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</si>
  <si>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</si>
  <si>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</si>
  <si>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</si>
  <si>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</si>
  <si>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</si>
  <si>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</si>
  <si>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</si>
  <si>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</si>
  <si>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</si>
  <si>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</si>
  <si>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</si>
  <si>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</si>
  <si>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</si>
  <si>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</si>
  <si>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</si>
  <si>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</si>
  <si>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</si>
  <si>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</si>
  <si>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</si>
  <si>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</si>
  <si>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</si>
  <si>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</si>
  <si>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</si>
  <si>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</si>
  <si>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</si>
  <si>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</si>
  <si>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</si>
  <si>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</si>
  <si>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</si>
  <si>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</si>
  <si>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</si>
  <si>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</si>
  <si>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</si>
  <si>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</si>
  <si>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</si>
  <si>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</si>
  <si>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</si>
  <si>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</si>
  <si>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</si>
  <si>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</si>
  <si>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</si>
  <si>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</si>
  <si>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</si>
  <si>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</si>
  <si>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</si>
  <si>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</si>
  <si>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</si>
  <si>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</si>
  <si>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</si>
  <si>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</si>
  <si>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</si>
  <si>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</si>
  <si>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</si>
  <si>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</si>
  <si>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</si>
  <si>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</si>
  <si>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</si>
  <si>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</si>
  <si>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</si>
  <si>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</si>
  <si>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</si>
  <si>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</si>
  <si>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</si>
  <si>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</si>
  <si>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</si>
  <si>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</si>
  <si>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</si>
  <si>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</si>
  <si>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</si>
  <si>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</si>
  <si>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</si>
  <si>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</si>
  <si>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</si>
  <si>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</si>
  <si>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</si>
  <si>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</si>
  <si>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</si>
  <si>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</si>
  <si>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</si>
  <si>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</si>
  <si>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</si>
  <si>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</si>
  <si>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</si>
  <si>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</si>
  <si>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</si>
  <si>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</si>
  <si>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</si>
  <si>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</si>
  <si>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</si>
  <si>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</si>
  <si>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</si>
  <si>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</si>
  <si>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</si>
  <si>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</si>
  <si>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</si>
  <si>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</si>
  <si>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</si>
  <si>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</si>
  <si>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</si>
  <si>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</si>
  <si>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</si>
  <si>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</si>
  <si>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</si>
  <si>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</si>
  <si>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</si>
  <si>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</si>
  <si>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</si>
  <si>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</si>
  <si>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</si>
  <si>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</si>
  <si>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</si>
  <si>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</si>
  <si>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</si>
  <si>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</si>
  <si>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</si>
  <si>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</si>
  <si>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</si>
  <si>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</si>
  <si>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</si>
  <si>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</si>
  <si>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</si>
  <si>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</si>
  <si>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</si>
  <si>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</si>
  <si>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</si>
  <si>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</si>
  <si>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</si>
  <si>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</si>
  <si>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</si>
  <si>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</si>
  <si>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</si>
  <si>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</si>
  <si>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</si>
  <si>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</si>
  <si>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</si>
  <si>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</si>
  <si>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</si>
  <si>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</si>
  <si>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</si>
  <si>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</si>
  <si>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</si>
  <si>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</si>
  <si>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</si>
  <si>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</si>
  <si>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</si>
  <si>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</si>
  <si>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</si>
  <si>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</si>
  <si>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</si>
  <si>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</si>
  <si>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</si>
  <si>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</si>
  <si>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</si>
  <si>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</si>
  <si>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</si>
  <si>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</si>
  <si>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</si>
  <si>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</si>
  <si>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</si>
  <si>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</si>
  <si>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</si>
  <si>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</si>
  <si>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</si>
  <si>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</si>
  <si>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</si>
  <si>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</si>
  <si>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</si>
  <si>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</si>
  <si>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</si>
  <si>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</si>
  <si>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</si>
  <si>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</si>
  <si>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</si>
  <si>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</si>
  <si>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</si>
  <si>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</si>
  <si>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</si>
  <si>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</si>
  <si>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</si>
  <si>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</si>
  <si>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</si>
  <si>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</si>
  <si>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</si>
  <si>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</si>
  <si>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</si>
  <si>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</si>
  <si>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</si>
  <si>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</si>
  <si>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</si>
  <si>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</si>
  <si>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</si>
  <si>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</si>
  <si>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规证</t>
    <phoneticPr fontId="141" type="noConversion"/>
  </si>
  <si>
    <t>地上</t>
    <phoneticPr fontId="141" type="noConversion"/>
  </si>
  <si>
    <t>地下</t>
    <phoneticPr fontId="141" type="noConversion"/>
  </si>
  <si>
    <t>层数</t>
    <phoneticPr fontId="141" type="noConversion"/>
  </si>
  <si>
    <t>高度</t>
    <phoneticPr fontId="141" type="noConversion"/>
  </si>
  <si>
    <t>备注</t>
    <phoneticPr fontId="141" type="noConversion"/>
  </si>
  <si>
    <r>
      <t>地上含1</t>
    </r>
    <r>
      <rPr>
        <sz val="11"/>
        <color theme="1"/>
        <rFont val="宋体"/>
        <family val="3"/>
        <charset val="134"/>
        <scheme val="minor"/>
      </rPr>
      <t>0000平方米还建</t>
    </r>
    <phoneticPr fontId="141" type="noConversion"/>
  </si>
  <si>
    <t>建筑面积</t>
    <phoneticPr fontId="141" type="noConversion"/>
  </si>
  <si>
    <t>裙房地上3层，高21.9米。首层邮政所200平方米</t>
    <phoneticPr fontId="141" type="noConversion"/>
  </si>
  <si>
    <t>1#办公楼</t>
    <phoneticPr fontId="141" type="noConversion"/>
  </si>
  <si>
    <t>2#办公楼</t>
    <phoneticPr fontId="141" type="noConversion"/>
  </si>
  <si>
    <t>地下车库</t>
    <phoneticPr fontId="141" type="noConversion"/>
  </si>
  <si>
    <t>其中人防工程7533、人防室外336、汽车库15597，自行车库990、辅助用房3271，设备用房10547</t>
    <phoneticPr fontId="141" type="noConversion"/>
  </si>
  <si>
    <t>1#人防出口</t>
    <phoneticPr fontId="141" type="noConversion"/>
  </si>
  <si>
    <t>——</t>
    <phoneticPr fontId="141" type="noConversion"/>
  </si>
  <si>
    <t>2#人防出口</t>
    <phoneticPr fontId="141" type="noConversion"/>
  </si>
  <si>
    <t>总价</t>
  </si>
  <si>
    <t>成本法</t>
  </si>
  <si>
    <t>楼号</t>
    <phoneticPr fontId="141" type="noConversion"/>
  </si>
  <si>
    <t>合计</t>
    <phoneticPr fontId="141" type="noConversion"/>
  </si>
  <si>
    <t>京朝国用（2014出）第00434号</t>
    <phoneticPr fontId="141" type="noConversion"/>
  </si>
  <si>
    <t>北京绿城银石置业有限公司</t>
    <phoneticPr fontId="141" type="noConversion"/>
  </si>
  <si>
    <t>朝阳区霄云路34号办公用地</t>
    <phoneticPr fontId="141" type="noConversion"/>
  </si>
  <si>
    <t>终止日期</t>
    <phoneticPr fontId="141" type="noConversion"/>
  </si>
  <si>
    <t>面积</t>
    <phoneticPr fontId="141" type="noConversion"/>
  </si>
  <si>
    <t>取得价格</t>
    <phoneticPr fontId="141" type="noConversion"/>
  </si>
  <si>
    <t>证号</t>
    <phoneticPr fontId="141" type="noConversion"/>
  </si>
  <si>
    <t>不动产权利人</t>
    <phoneticPr fontId="141" type="noConversion"/>
  </si>
  <si>
    <t>坐落</t>
    <phoneticPr fontId="141" type="noConversion"/>
  </si>
  <si>
    <t>土地证1</t>
    <phoneticPr fontId="141" type="noConversion"/>
  </si>
  <si>
    <t>朝阳区东方东路8号办公用地</t>
    <phoneticPr fontId="141" type="noConversion"/>
  </si>
  <si>
    <t>京朝国用（2014出）第00435号</t>
    <phoneticPr fontId="141" type="noConversion"/>
  </si>
  <si>
    <t>对应1号楼</t>
    <phoneticPr fontId="141" type="noConversion"/>
  </si>
  <si>
    <t>对应2号楼</t>
    <phoneticPr fontId="141" type="noConversion"/>
  </si>
  <si>
    <t>测绘</t>
    <phoneticPr fontId="141" type="noConversion"/>
  </si>
  <si>
    <t>霄云路34号院</t>
    <phoneticPr fontId="141" type="noConversion"/>
  </si>
  <si>
    <t>办公</t>
    <phoneticPr fontId="141" type="noConversion"/>
  </si>
  <si>
    <t>邮政所</t>
    <phoneticPr fontId="141" type="noConversion"/>
  </si>
  <si>
    <t>部位及房号</t>
    <phoneticPr fontId="141" type="noConversion"/>
  </si>
  <si>
    <t>低区</t>
    <phoneticPr fontId="141" type="noConversion"/>
  </si>
  <si>
    <t>中区</t>
    <phoneticPr fontId="141" type="noConversion"/>
  </si>
  <si>
    <t>高区</t>
    <phoneticPr fontId="141" type="noConversion"/>
  </si>
  <si>
    <t>1号楼</t>
    <phoneticPr fontId="141" type="noConversion"/>
  </si>
  <si>
    <t>2号楼</t>
    <phoneticPr fontId="141" type="noConversion"/>
  </si>
  <si>
    <t>车位</t>
    <phoneticPr fontId="141" type="noConversion"/>
  </si>
  <si>
    <t>套</t>
    <phoneticPr fontId="141" type="noConversion"/>
  </si>
  <si>
    <t>建筑面积</t>
    <phoneticPr fontId="141" type="noConversion"/>
  </si>
  <si>
    <t>辅助用房</t>
    <phoneticPr fontId="141" type="noConversion"/>
  </si>
  <si>
    <t>自行车库</t>
    <phoneticPr fontId="141" type="noConversion"/>
  </si>
  <si>
    <t>小面积</t>
    <phoneticPr fontId="141" type="noConversion"/>
  </si>
  <si>
    <t>大面积</t>
    <phoneticPr fontId="141" type="noConversion"/>
  </si>
  <si>
    <t>地下1层</t>
    <phoneticPr fontId="141" type="noConversion"/>
  </si>
  <si>
    <r>
      <t>地下3层、地下</t>
    </r>
    <r>
      <rPr>
        <sz val="11"/>
        <color theme="1"/>
        <rFont val="宋体"/>
        <family val="3"/>
        <charset val="134"/>
        <scheme val="minor"/>
      </rPr>
      <t>2层</t>
    </r>
    <phoneticPr fontId="141" type="noConversion"/>
  </si>
  <si>
    <t>地下3层</t>
    <phoneticPr fontId="141" type="noConversion"/>
  </si>
  <si>
    <t>人防</t>
    <phoneticPr fontId="141" type="noConversion"/>
  </si>
  <si>
    <t>合计</t>
    <phoneticPr fontId="141" type="noConversion"/>
  </si>
  <si>
    <t>崔锴</t>
  </si>
  <si>
    <t>郑燚</t>
  </si>
  <si>
    <t>抵押</t>
  </si>
  <si>
    <t>房地产抵押价值</t>
  </si>
  <si>
    <t>北京市</t>
  </si>
  <si>
    <t>企业</t>
  </si>
  <si>
    <t>出让</t>
  </si>
  <si>
    <t>价格</t>
    <phoneticPr fontId="141" type="noConversion"/>
  </si>
  <si>
    <t>新增</t>
    <phoneticPr fontId="141" type="noConversion"/>
  </si>
  <si>
    <t>地上</t>
  </si>
  <si>
    <t>地上</t>
    <phoneticPr fontId="141" type="noConversion"/>
  </si>
  <si>
    <t>地下</t>
  </si>
  <si>
    <t>地下</t>
    <phoneticPr fontId="141" type="noConversion"/>
  </si>
  <si>
    <t>车库</t>
  </si>
  <si>
    <t>车库</t>
    <phoneticPr fontId="141" type="noConversion"/>
  </si>
  <si>
    <t>其他</t>
    <phoneticPr fontId="141" type="noConversion"/>
  </si>
  <si>
    <t xml:space="preserve"> </t>
    <phoneticPr fontId="141" type="noConversion"/>
  </si>
  <si>
    <t>是</t>
  </si>
  <si>
    <t>办公楼</t>
  </si>
  <si>
    <t>否</t>
  </si>
  <si>
    <t>地下3层</t>
    <phoneticPr fontId="141" type="noConversion"/>
  </si>
  <si>
    <t>地下2层</t>
    <phoneticPr fontId="141" type="noConversion"/>
  </si>
  <si>
    <r>
      <t>负101至负</t>
    </r>
    <r>
      <rPr>
        <sz val="11"/>
        <color theme="1"/>
        <rFont val="宋体"/>
        <family val="3"/>
        <charset val="134"/>
        <scheme val="minor"/>
      </rPr>
      <t>129</t>
    </r>
    <phoneticPr fontId="141" type="noConversion"/>
  </si>
  <si>
    <r>
      <t>负1</t>
    </r>
    <r>
      <rPr>
        <sz val="11"/>
        <color theme="1"/>
        <rFont val="宋体"/>
        <family val="3"/>
        <charset val="134"/>
        <scheme val="minor"/>
      </rPr>
      <t>30</t>
    </r>
    <phoneticPr fontId="141" type="noConversion"/>
  </si>
  <si>
    <t>地下1层</t>
    <phoneticPr fontId="141" type="noConversion"/>
  </si>
  <si>
    <r>
      <t>负0</t>
    </r>
    <r>
      <rPr>
        <sz val="11"/>
        <color theme="1"/>
        <rFont val="宋体"/>
        <family val="3"/>
        <charset val="134"/>
        <scheme val="minor"/>
      </rPr>
      <t>01至负017共16套</t>
    </r>
    <phoneticPr fontId="141" type="noConversion"/>
  </si>
  <si>
    <t>车库—办公</t>
  </si>
  <si>
    <t>地下综合</t>
  </si>
  <si>
    <t>地下综合</t>
    <phoneticPr fontId="8" type="noConversion"/>
  </si>
  <si>
    <t>地下车库</t>
    <phoneticPr fontId="8" type="noConversion"/>
  </si>
  <si>
    <t>成新度</t>
  </si>
  <si>
    <t>收益法</t>
  </si>
  <si>
    <t>利息：取LPR加浮动点数</t>
  </si>
  <si>
    <t>已包含在土地取得成本中</t>
  </si>
  <si>
    <t>未包含在土地购买价格中</t>
  </si>
  <si>
    <t>全部缴纳</t>
  </si>
  <si>
    <t>押一</t>
  </si>
  <si>
    <t>按租金收入计税</t>
  </si>
  <si>
    <t>钢混</t>
  </si>
  <si>
    <t>非生产用房</t>
  </si>
  <si>
    <t>收益法 (地下综合)</t>
  </si>
  <si>
    <t>收益法 (地下综合)</t>
    <phoneticPr fontId="17" type="noConversion"/>
  </si>
  <si>
    <t>收益法 (地下车库)</t>
  </si>
  <si>
    <t>收益法 (地下车库)</t>
    <phoneticPr fontId="17" type="noConversion"/>
  </si>
  <si>
    <t>情况3</t>
  </si>
  <si>
    <t>正常</t>
  </si>
  <si>
    <t>自行开发建设</t>
  </si>
  <si>
    <t>出让金+开发费</t>
  </si>
  <si>
    <t>企业提供（在右侧录入）</t>
  </si>
  <si>
    <t>非个人房产</t>
  </si>
  <si>
    <t>地块名称</t>
  </si>
  <si>
    <t>地块编号</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</si>
  <si>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</si>
  <si>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</si>
  <si>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</si>
  <si>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</si>
  <si>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</si>
  <si>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</si>
  <si>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</si>
  <si>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</si>
  <si>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</si>
  <si>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</si>
  <si>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</si>
  <si>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</si>
  <si>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</si>
  <si>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</si>
  <si>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溢价率(%)</t>
  </si>
  <si>
    <t xml:space="preserve"> 京土整储挂(海)[2021] 082号</t>
  </si>
  <si>
    <t xml:space="preserve"> 商业/办公用地</t>
  </si>
  <si>
    <t xml:space="preserve"> 挂牌</t>
  </si>
  <si>
    <t xml:space="preserve"> F3其他类多功能用地</t>
  </si>
  <si>
    <t xml:space="preserve"> 已成交</t>
  </si>
  <si>
    <t xml:space="preserve"> 北京永丰数字共享科技有限责任公司  </t>
  </si>
  <si>
    <t xml:space="preserve"> 175000.00</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</si>
  <si>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</si>
  <si>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</si>
  <si>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</si>
  <si>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</si>
  <si>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北京市东城区广渠门外大街马圈土地一级开发项目0407-001地块F3其他类多功能用地   </t>
  </si>
  <si>
    <t xml:space="preserve"> 京土整储挂(东)[2021] 076号</t>
  </si>
  <si>
    <t xml:space="preserve"> F3(其他多功能用地)</t>
  </si>
  <si>
    <t xml:space="preserve"> 福建隆恩建材贸易有限公司  </t>
  </si>
  <si>
    <t xml:space="preserve"> 46000.00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</si>
  <si>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</si>
  <si>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</si>
  <si>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</si>
  <si>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</si>
  <si>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北京市海淀区西八里庄0711-652、640、641地块B4综合性商业金融服务业用地    </t>
  </si>
  <si>
    <t xml:space="preserve"> 京土整储挂(海)[2020]042号</t>
  </si>
  <si>
    <t xml:space="preserve"> 0711一652≤4.5,0711一640≤1.7,0711一641≤1.3</t>
  </si>
  <si>
    <t xml:space="preserve"> B4综合性商业金融服务业用地</t>
  </si>
  <si>
    <t xml:space="preserve"> 中国电建地产集团有限公司  </t>
  </si>
  <si>
    <t xml:space="preserve"> 570500.00</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</si>
  <si>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</si>
  <si>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</si>
  <si>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</si>
  <si>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</si>
  <si>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</si>
  <si>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 35200.00</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</si>
  <si>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</si>
  <si>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</si>
  <si>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</si>
  <si>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</si>
  <si>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</si>
  <si>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</si>
  <si>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</si>
  <si>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</si>
  <si>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</si>
  <si>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</si>
  <si>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</si>
  <si>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 103700.00</t>
  </si>
  <si>
    <t xml:space="preserve">北京市海淀区"海淀北部地区整体开发"西北旺镇HD00-0402-0102地块(永丰产业基地)B1商业用地    </t>
  </si>
  <si>
    <t xml:space="preserve"> 京土整储挂(海)[2019]005号</t>
  </si>
  <si>
    <t xml:space="preserve"> B1商业用地</t>
  </si>
  <si>
    <t xml:space="preserve"> 北京实创科技园开发建设股份有限公司  </t>
  </si>
  <si>
    <t xml:space="preserve"> 263800.00</t>
  </si>
  <si>
    <t>计算容积率</t>
    <phoneticPr fontId="141" type="noConversion"/>
  </si>
  <si>
    <t>好</t>
  </si>
  <si>
    <t>好</t>
    <phoneticPr fontId="26" type="noConversion"/>
  </si>
  <si>
    <t>较好</t>
  </si>
  <si>
    <t>较好</t>
    <phoneticPr fontId="26" type="noConversion"/>
  </si>
  <si>
    <t>七通</t>
  </si>
  <si>
    <t>七通</t>
    <phoneticPr fontId="26" type="noConversion"/>
  </si>
  <si>
    <t>次干道</t>
    <phoneticPr fontId="26" type="noConversion"/>
  </si>
  <si>
    <t>商务金融</t>
  </si>
  <si>
    <t>商务金融</t>
    <phoneticPr fontId="32" type="noConversion"/>
  </si>
  <si>
    <r>
      <t>F3</t>
    </r>
    <r>
      <rPr>
        <sz val="11"/>
        <rFont val="宋体"/>
        <family val="3"/>
        <charset val="134"/>
      </rPr>
      <t>多功能</t>
    </r>
    <phoneticPr fontId="32" type="noConversion"/>
  </si>
  <si>
    <t xml:space="preserve">北京市海淀区西北旺镇永丰产业基地(新)HD00-0403-024地块F3其他类多功能用地   </t>
    <phoneticPr fontId="141" type="noConversion"/>
  </si>
  <si>
    <t>否</t>
    <phoneticPr fontId="32" type="noConversion"/>
  </si>
  <si>
    <t>是</t>
    <phoneticPr fontId="32" type="noConversion"/>
  </si>
  <si>
    <t>不自持</t>
    <phoneticPr fontId="32" type="noConversion"/>
  </si>
  <si>
    <t>自持</t>
    <phoneticPr fontId="32" type="noConversion"/>
  </si>
  <si>
    <t>规则</t>
    <phoneticPr fontId="32" type="noConversion"/>
  </si>
  <si>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</si>
  <si>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</si>
  <si>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</si>
  <si>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</si>
  <si>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</si>
  <si>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</si>
  <si>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</si>
  <si>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</si>
  <si>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</si>
  <si>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</si>
  <si>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</si>
  <si>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t>较好</t>
    <phoneticPr fontId="32" type="noConversion"/>
  </si>
  <si>
    <t>一般</t>
  </si>
  <si>
    <t>一般</t>
    <phoneticPr fontId="32" type="noConversion"/>
  </si>
  <si>
    <t>五通</t>
    <phoneticPr fontId="141" type="noConversion"/>
  </si>
  <si>
    <t>三通</t>
    <phoneticPr fontId="141" type="noConversion"/>
  </si>
  <si>
    <t>自持</t>
    <phoneticPr fontId="141" type="noConversion"/>
  </si>
  <si>
    <t>配建</t>
    <phoneticPr fontId="141" type="noConversion"/>
  </si>
  <si>
    <t>F3多功能</t>
  </si>
  <si>
    <t>不自持</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</si>
  <si>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</si>
  <si>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</si>
  <si>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</si>
  <si>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</si>
  <si>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</si>
  <si>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七级</t>
    <phoneticPr fontId="32" type="noConversion"/>
  </si>
  <si>
    <t>售价</t>
  </si>
  <si>
    <t>成本法 (地下车库)</t>
  </si>
  <si>
    <t>成本法 (地下车库)</t>
    <phoneticPr fontId="17" type="noConversion"/>
  </si>
  <si>
    <t>现房</t>
  </si>
  <si>
    <t>典型户型修正</t>
  </si>
  <si>
    <t>办公</t>
    <phoneticPr fontId="33" type="noConversion"/>
  </si>
  <si>
    <t>保利国际广场</t>
    <phoneticPr fontId="4" type="noConversion"/>
  </si>
  <si>
    <t>达美中心</t>
    <phoneticPr fontId="4" type="noConversion"/>
  </si>
  <si>
    <t>30-40（含）</t>
  </si>
  <si>
    <t>高区</t>
    <phoneticPr fontId="33" type="noConversion"/>
  </si>
  <si>
    <t>中区</t>
  </si>
  <si>
    <t>中区</t>
    <phoneticPr fontId="33" type="noConversion"/>
  </si>
  <si>
    <t>低区</t>
    <phoneticPr fontId="33" type="noConversion"/>
  </si>
  <si>
    <t>标准写字楼</t>
  </si>
  <si>
    <t>标准写字楼</t>
    <phoneticPr fontId="33" type="noConversion"/>
  </si>
  <si>
    <t>钢混结构</t>
  </si>
  <si>
    <t>钢混结构</t>
    <phoneticPr fontId="33" type="noConversion"/>
  </si>
  <si>
    <t>精装修</t>
  </si>
  <si>
    <t>精装修</t>
    <phoneticPr fontId="33" type="noConversion"/>
  </si>
  <si>
    <t>甲级</t>
  </si>
  <si>
    <t>甲级</t>
    <phoneticPr fontId="33" type="noConversion"/>
  </si>
  <si>
    <t>专业</t>
  </si>
  <si>
    <t>专业</t>
    <phoneticPr fontId="33" type="noConversion"/>
  </si>
  <si>
    <t>七通</t>
    <phoneticPr fontId="33" type="noConversion"/>
  </si>
  <si>
    <t>六通</t>
    <phoneticPr fontId="33" type="noConversion"/>
  </si>
  <si>
    <t>普通装修</t>
    <phoneticPr fontId="33" type="noConversion"/>
  </si>
  <si>
    <t>简单装修</t>
  </si>
  <si>
    <t>简单装修</t>
    <phoneticPr fontId="33" type="noConversion"/>
  </si>
  <si>
    <t>毛坯</t>
  </si>
  <si>
    <t>毛坯</t>
    <phoneticPr fontId="33" type="noConversion"/>
  </si>
  <si>
    <t>房号</t>
    <phoneticPr fontId="141" type="noConversion"/>
  </si>
  <si>
    <t>建筑面积</t>
  </si>
  <si>
    <t>建筑面积</t>
    <phoneticPr fontId="141" type="noConversion"/>
  </si>
  <si>
    <t>合计建筑面积</t>
    <phoneticPr fontId="141" type="noConversion"/>
  </si>
  <si>
    <t>还建建筑面积</t>
    <phoneticPr fontId="141" type="noConversion"/>
  </si>
  <si>
    <t>自由面积</t>
    <phoneticPr fontId="141" type="noConversion"/>
  </si>
  <si>
    <t>工具间</t>
    <phoneticPr fontId="141" type="noConversion"/>
  </si>
  <si>
    <t>2号楼101</t>
    <phoneticPr fontId="141" type="noConversion"/>
  </si>
  <si>
    <t>1号楼301</t>
  </si>
  <si>
    <t>1号楼301</t>
    <phoneticPr fontId="141" type="noConversion"/>
  </si>
  <si>
    <t>1号楼401</t>
    <phoneticPr fontId="141" type="noConversion"/>
  </si>
  <si>
    <t>1号楼501</t>
    <phoneticPr fontId="141" type="noConversion"/>
  </si>
  <si>
    <t>1号楼601</t>
    <phoneticPr fontId="141" type="noConversion"/>
  </si>
  <si>
    <t>1号楼701</t>
    <phoneticPr fontId="141" type="noConversion"/>
  </si>
  <si>
    <t>高区</t>
  </si>
  <si>
    <t>低区</t>
  </si>
  <si>
    <t>内部装修</t>
    <phoneticPr fontId="4" type="noConversion"/>
  </si>
  <si>
    <t>2号楼102</t>
    <phoneticPr fontId="141" type="noConversion"/>
  </si>
  <si>
    <t>1号楼801</t>
    <phoneticPr fontId="141" type="noConversion"/>
  </si>
  <si>
    <t>1号楼901</t>
    <phoneticPr fontId="141" type="noConversion"/>
  </si>
  <si>
    <t>1号楼1601</t>
    <phoneticPr fontId="141" type="noConversion"/>
  </si>
  <si>
    <t>1号楼1701</t>
    <phoneticPr fontId="141" type="noConversion"/>
  </si>
  <si>
    <t>1号楼1801</t>
    <phoneticPr fontId="141" type="noConversion"/>
  </si>
  <si>
    <t>1号楼1901</t>
    <phoneticPr fontId="141" type="noConversion"/>
  </si>
  <si>
    <t>1号楼2001</t>
    <phoneticPr fontId="141" type="noConversion"/>
  </si>
  <si>
    <t>2号楼201</t>
    <phoneticPr fontId="141" type="noConversion"/>
  </si>
  <si>
    <t>2号楼301</t>
    <phoneticPr fontId="141" type="noConversion"/>
  </si>
  <si>
    <t>2号楼302</t>
    <phoneticPr fontId="141" type="noConversion"/>
  </si>
  <si>
    <t>2号楼303</t>
    <phoneticPr fontId="141" type="noConversion"/>
  </si>
  <si>
    <t>2号楼401</t>
    <phoneticPr fontId="141" type="noConversion"/>
  </si>
  <si>
    <t>2号楼501</t>
    <phoneticPr fontId="141" type="noConversion"/>
  </si>
  <si>
    <t>2号楼601</t>
    <phoneticPr fontId="141" type="noConversion"/>
  </si>
  <si>
    <t>2号楼701</t>
    <phoneticPr fontId="141" type="noConversion"/>
  </si>
  <si>
    <t>2号楼801</t>
    <phoneticPr fontId="141" type="noConversion"/>
  </si>
  <si>
    <t>2号楼901</t>
    <phoneticPr fontId="141" type="noConversion"/>
  </si>
  <si>
    <t>2号楼1001</t>
    <phoneticPr fontId="141" type="noConversion"/>
  </si>
  <si>
    <t>2号楼1101</t>
    <phoneticPr fontId="141" type="noConversion"/>
  </si>
  <si>
    <t>2号楼1201</t>
    <phoneticPr fontId="141" type="noConversion"/>
  </si>
  <si>
    <t>2号楼1301</t>
    <phoneticPr fontId="141" type="noConversion"/>
  </si>
  <si>
    <t>2号楼1401</t>
    <phoneticPr fontId="141" type="noConversion"/>
  </si>
  <si>
    <t>2号楼1501</t>
    <phoneticPr fontId="141" type="noConversion"/>
  </si>
  <si>
    <t>2号楼1601</t>
    <phoneticPr fontId="141" type="noConversion"/>
  </si>
  <si>
    <t>2号楼1701</t>
    <phoneticPr fontId="141" type="noConversion"/>
  </si>
  <si>
    <t>2号楼1801</t>
    <phoneticPr fontId="141" type="noConversion"/>
  </si>
  <si>
    <t>2号楼1901</t>
    <phoneticPr fontId="141" type="noConversion"/>
  </si>
  <si>
    <t>2号楼2001</t>
    <phoneticPr fontId="141" type="noConversion"/>
  </si>
  <si>
    <t>2号楼2101</t>
    <phoneticPr fontId="141" type="noConversion"/>
  </si>
  <si>
    <t>2号楼2201</t>
    <phoneticPr fontId="141" type="noConversion"/>
  </si>
  <si>
    <t>2号楼2301</t>
    <phoneticPr fontId="141" type="noConversion"/>
  </si>
  <si>
    <t>2号楼2401</t>
    <phoneticPr fontId="141" type="noConversion"/>
  </si>
  <si>
    <t>项目局部</t>
  </si>
  <si>
    <t>办公</t>
    <phoneticPr fontId="8" type="noConversion"/>
  </si>
  <si>
    <t>典型户型修正 (办公)</t>
  </si>
  <si>
    <t>典型户型修正 (办公)</t>
    <phoneticPr fontId="17" type="noConversion"/>
  </si>
  <si>
    <t>中国锦</t>
    <phoneticPr fontId="4" type="noConversion"/>
  </si>
  <si>
    <t>结果表</t>
    <phoneticPr fontId="141" type="noConversion"/>
  </si>
  <si>
    <r>
      <rPr>
        <sz val="11"/>
        <rFont val="宋体"/>
        <family val="3"/>
        <charset val="134"/>
      </rPr>
      <t>抵押物名称</t>
    </r>
  </si>
  <si>
    <r>
      <t>(</t>
    </r>
    <r>
      <rPr>
        <sz val="11"/>
        <rFont val="宋体"/>
        <family val="3"/>
        <charset val="134"/>
      </rPr>
      <t>分摊</t>
    </r>
    <r>
      <rPr>
        <sz val="11"/>
        <rFont val="Arial"/>
        <family val="2"/>
      </rPr>
      <t>)</t>
    </r>
    <r>
      <rPr>
        <sz val="11"/>
        <rFont val="宋体"/>
        <family val="3"/>
        <charset val="134"/>
      </rPr>
      <t>土地面积</t>
    </r>
    <phoneticPr fontId="9" type="noConversion"/>
  </si>
  <si>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</si>
  <si>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</si>
  <si>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</si>
  <si>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</si>
  <si>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楼面单价</t>
    </r>
    <phoneticPr fontId="9" type="noConversion"/>
  </si>
  <si>
    <r>
      <rPr>
        <sz val="11"/>
        <rFont val="宋体"/>
        <family val="3"/>
        <charset val="134"/>
      </rPr>
      <t>楼面单价</t>
    </r>
  </si>
  <si>
    <t>地下综合</t>
    <phoneticPr fontId="141" type="noConversion"/>
  </si>
  <si>
    <t>收益比率</t>
  </si>
  <si>
    <t>自定义</t>
  </si>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</sst>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99" fillId="0" borderId="0" xfId="0" applyFon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0" borderId="0" xfId="0" applyFont="1" applyFill="1" applyBorder="1" applyAlignment="1">
      <alignment horizontal="center" vertical="center"/>
    </xf>
    <xf numFmtId="0" fontId="99" fillId="0" borderId="1" xfId="0" applyFon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20" borderId="0" xfId="0" applyFill="1">
      <alignment vertical="center"/>
    </xf>
    <xf numFmtId="0" fontId="0" fillId="0" borderId="0" xfId="0" applyAlignment="1">
      <alignment horizontal="center" vertical="center"/>
    </xf>
    <xf numFmtId="0" fontId="99" fillId="0" borderId="0" xfId="0" applyFont="1" applyAlignment="1">
      <alignmen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9" borderId="0" xfId="0" applyFont="1" applyFill="1" applyAlignment="1">
      <alignment horizontal="center" vertical="center"/>
    </xf>
    <xf numFmtId="0" fontId="0" fillId="0" borderId="0" xfId="0" applyBorder="1" applyAlignment="1">
      <alignment vertical="center" wrapText="1"/>
    </xf>
    <xf numFmtId="0" fontId="99" fillId="0" borderId="0" xfId="0"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177" fontId="146" fillId="3" borderId="3" xfId="0"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0" borderId="0" xfId="0" applyNumberFormat="1" applyAlignment="1">
      <alignment horizontal="center" vertical="center" wrapText="1"/>
    </xf>
    <xf numFmtId="0" fontId="99" fillId="0" borderId="0" xfId="0" applyNumberFormat="1" applyFont="1" applyAlignment="1">
      <alignment horizontal="center" vertical="center" wrapText="1"/>
    </xf>
    <xf numFmtId="0" fontId="0" fillId="20" borderId="0" xfId="0" applyNumberFormat="1" applyFill="1" applyAlignment="1"/>
    <xf numFmtId="14" fontId="0" fillId="20" borderId="0" xfId="0" applyNumberFormat="1" applyFill="1" applyAlignment="1"/>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99" fillId="20" borderId="0" xfId="0" applyNumberFormat="1" applyFont="1" applyFill="1" applyAlignment="1"/>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20" borderId="1" xfId="0" applyNumberFormat="1" applyFont="1" applyFill="1" applyBorder="1" applyAlignment="1" applyProtection="1">
      <alignment horizontal="center" vertical="center" wrapText="1"/>
      <protection locked="0"/>
    </xf>
    <xf numFmtId="0" fontId="98" fillId="20" borderId="23" xfId="0" applyNumberFormat="1" applyFont="1" applyFill="1" applyBorder="1" applyAlignment="1" applyProtection="1">
      <alignment horizontal="center" vertical="center" wrapText="1"/>
      <protection locked="0"/>
    </xf>
    <xf numFmtId="0" fontId="73" fillId="20" borderId="20" xfId="0" applyFont="1" applyFill="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0" fontId="47" fillId="20" borderId="3"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99" fillId="0" borderId="0" xfId="0" applyFont="1" applyAlignment="1">
      <alignment horizontal="center" vertical="center"/>
    </xf>
    <xf numFmtId="0" fontId="1" fillId="0" borderId="1" xfId="12" applyFont="1" applyBorder="1" applyAlignment="1" applyProtection="1">
      <alignment horizontal="left"/>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99" fillId="20" borderId="0" xfId="0" applyFont="1" applyFill="1">
      <alignment vertical="center"/>
    </xf>
    <xf numFmtId="0" fontId="0" fillId="5" borderId="0" xfId="0" applyFill="1" applyAlignment="1">
      <alignment horizontal="center" vertical="center"/>
    </xf>
    <xf numFmtId="0" fontId="0" fillId="0" borderId="0" xfId="0" applyFill="1">
      <alignment vertical="center"/>
    </xf>
    <xf numFmtId="177" fontId="135" fillId="0" borderId="1" xfId="1" applyNumberFormat="1" applyFont="1" applyFill="1" applyBorder="1" applyAlignment="1" applyProtection="1">
      <alignment vertical="center"/>
      <protection locked="0"/>
    </xf>
    <xf numFmtId="49" fontId="142" fillId="2" borderId="27" xfId="0" applyNumberFormat="1" applyFont="1" applyFill="1" applyBorder="1" applyAlignment="1" applyProtection="1">
      <alignment horizontal="right"/>
      <protection locked="0"/>
    </xf>
    <xf numFmtId="0" fontId="54" fillId="0"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0" fontId="0" fillId="0" borderId="1" xfId="0" applyBorder="1" applyAlignment="1">
      <alignment vertical="center"/>
    </xf>
    <xf numFmtId="10" fontId="50" fillId="18" borderId="1"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181" fontId="47" fillId="18" borderId="24" xfId="0"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99" fillId="0" borderId="60" xfId="0" applyFont="1" applyBorder="1" applyAlignment="1">
      <alignment horizontal="center" vertical="center"/>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99" fillId="0" borderId="5" xfId="0" applyFont="1" applyFill="1" applyBorder="1" applyAlignment="1">
      <alignment horizontal="center" vertical="center" wrapText="1"/>
    </xf>
    <xf numFmtId="0" fontId="99" fillId="0" borderId="3" xfId="0" applyFont="1" applyFill="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256" fillId="0" borderId="60" xfId="0" applyFont="1" applyBorder="1" applyAlignment="1">
      <alignment horizontal="center" vertical="center"/>
    </xf>
    <xf numFmtId="182" fontId="0" fillId="0" borderId="0" xfId="0" applyNumberFormat="1" applyAlignment="1">
      <alignment horizontal="center" vertical="center"/>
    </xf>
    <xf numFmtId="182" fontId="0" fillId="0" borderId="36" xfId="0" applyNumberFormat="1" applyBorder="1" applyAlignment="1">
      <alignment horizontal="center" vertical="center"/>
    </xf>
    <xf numFmtId="0" fontId="54" fillId="0" borderId="1" xfId="0"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219"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19"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7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742950</xdr:colOff>
      <xdr:row>37</xdr:row>
      <xdr:rowOff>95250</xdr:rowOff>
    </xdr:from>
    <xdr:to>
      <xdr:col>13</xdr:col>
      <xdr:colOff>571500</xdr:colOff>
      <xdr:row>77</xdr:row>
      <xdr:rowOff>114653</xdr:rowOff>
    </xdr:to>
    <xdr:pic>
      <xdr:nvPicPr>
        <xdr:cNvPr id="3" name="图片 2">
          <a:extLst>
            <a:ext uri="{FF2B5EF4-FFF2-40B4-BE49-F238E27FC236}">
              <a16:creationId xmlns:a16="http://schemas.microsoft.com/office/drawing/2014/main" id="{E1375A27-F7A9-470D-BF62-4DB1D1900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0325" y="7124700"/>
          <a:ext cx="5019675" cy="6877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533400</xdr:colOff>
      <xdr:row>26</xdr:row>
      <xdr:rowOff>38997</xdr:rowOff>
    </xdr:to>
    <xdr:pic>
      <xdr:nvPicPr>
        <xdr:cNvPr id="3" name="图片 2">
          <a:extLst>
            <a:ext uri="{FF2B5EF4-FFF2-40B4-BE49-F238E27FC236}">
              <a16:creationId xmlns:a16="http://schemas.microsoft.com/office/drawing/2014/main" id="{BF3318F4-21EB-4E01-9AA2-12052CE2C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63000" cy="4496697"/>
        </a:xfrm>
        <a:prstGeom prst="rect">
          <a:avLst/>
        </a:prstGeom>
      </xdr:spPr>
    </xdr:pic>
    <xdr:clientData/>
  </xdr:twoCellAnchor>
  <xdr:twoCellAnchor editAs="oneCell">
    <xdr:from>
      <xdr:col>0</xdr:col>
      <xdr:colOff>0</xdr:colOff>
      <xdr:row>27</xdr:row>
      <xdr:rowOff>0</xdr:rowOff>
    </xdr:from>
    <xdr:to>
      <xdr:col>12</xdr:col>
      <xdr:colOff>514350</xdr:colOff>
      <xdr:row>49</xdr:row>
      <xdr:rowOff>75124</xdr:rowOff>
    </xdr:to>
    <xdr:pic>
      <xdr:nvPicPr>
        <xdr:cNvPr id="5" name="图片 4">
          <a:extLst>
            <a:ext uri="{FF2B5EF4-FFF2-40B4-BE49-F238E27FC236}">
              <a16:creationId xmlns:a16="http://schemas.microsoft.com/office/drawing/2014/main" id="{6F792E74-2656-43CF-A996-64BF3E44D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8743950" cy="3847024"/>
        </a:xfrm>
        <a:prstGeom prst="rect">
          <a:avLst/>
        </a:prstGeom>
      </xdr:spPr>
    </xdr:pic>
    <xdr:clientData/>
  </xdr:twoCellAnchor>
  <xdr:twoCellAnchor editAs="oneCell">
    <xdr:from>
      <xdr:col>0</xdr:col>
      <xdr:colOff>0</xdr:colOff>
      <xdr:row>50</xdr:row>
      <xdr:rowOff>0</xdr:rowOff>
    </xdr:from>
    <xdr:to>
      <xdr:col>12</xdr:col>
      <xdr:colOff>342900</xdr:colOff>
      <xdr:row>74</xdr:row>
      <xdr:rowOff>77932</xdr:rowOff>
    </xdr:to>
    <xdr:pic>
      <xdr:nvPicPr>
        <xdr:cNvPr id="7" name="图片 6">
          <a:extLst>
            <a:ext uri="{FF2B5EF4-FFF2-40B4-BE49-F238E27FC236}">
              <a16:creationId xmlns:a16="http://schemas.microsoft.com/office/drawing/2014/main" id="{D9751EAA-F38C-4FF0-B270-907F16CCCF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8572500" cy="4192732"/>
        </a:xfrm>
        <a:prstGeom prst="rect">
          <a:avLst/>
        </a:prstGeom>
      </xdr:spPr>
    </xdr:pic>
    <xdr:clientData/>
  </xdr:twoCellAnchor>
  <xdr:twoCellAnchor editAs="oneCell">
    <xdr:from>
      <xdr:col>0</xdr:col>
      <xdr:colOff>0</xdr:colOff>
      <xdr:row>76</xdr:row>
      <xdr:rowOff>0</xdr:rowOff>
    </xdr:from>
    <xdr:to>
      <xdr:col>11</xdr:col>
      <xdr:colOff>228600</xdr:colOff>
      <xdr:row>106</xdr:row>
      <xdr:rowOff>15532</xdr:rowOff>
    </xdr:to>
    <xdr:pic>
      <xdr:nvPicPr>
        <xdr:cNvPr id="4" name="图片 3">
          <a:extLst>
            <a:ext uri="{FF2B5EF4-FFF2-40B4-BE49-F238E27FC236}">
              <a16:creationId xmlns:a16="http://schemas.microsoft.com/office/drawing/2014/main" id="{E7CD82B5-F9F0-4F41-9C70-5089E82BBE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030200"/>
          <a:ext cx="7772400" cy="5159032"/>
        </a:xfrm>
        <a:prstGeom prst="rect">
          <a:avLst/>
        </a:prstGeom>
      </xdr:spPr>
    </xdr:pic>
    <xdr:clientData/>
  </xdr:twoCellAnchor>
  <xdr:twoCellAnchor editAs="oneCell">
    <xdr:from>
      <xdr:col>0</xdr:col>
      <xdr:colOff>0</xdr:colOff>
      <xdr:row>107</xdr:row>
      <xdr:rowOff>0</xdr:rowOff>
    </xdr:from>
    <xdr:to>
      <xdr:col>11</xdr:col>
      <xdr:colOff>228600</xdr:colOff>
      <xdr:row>136</xdr:row>
      <xdr:rowOff>115052</xdr:rowOff>
    </xdr:to>
    <xdr:pic>
      <xdr:nvPicPr>
        <xdr:cNvPr id="8" name="图片 7">
          <a:extLst>
            <a:ext uri="{FF2B5EF4-FFF2-40B4-BE49-F238E27FC236}">
              <a16:creationId xmlns:a16="http://schemas.microsoft.com/office/drawing/2014/main" id="{2A6E4F1C-7191-4867-9B30-61C03AD053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8345150"/>
          <a:ext cx="7772400" cy="5087102"/>
        </a:xfrm>
        <a:prstGeom prst="rect">
          <a:avLst/>
        </a:prstGeom>
      </xdr:spPr>
    </xdr:pic>
    <xdr:clientData/>
  </xdr:twoCellAnchor>
  <xdr:twoCellAnchor editAs="oneCell">
    <xdr:from>
      <xdr:col>0</xdr:col>
      <xdr:colOff>0</xdr:colOff>
      <xdr:row>138</xdr:row>
      <xdr:rowOff>0</xdr:rowOff>
    </xdr:from>
    <xdr:to>
      <xdr:col>11</xdr:col>
      <xdr:colOff>228600</xdr:colOff>
      <xdr:row>162</xdr:row>
      <xdr:rowOff>10357</xdr:rowOff>
    </xdr:to>
    <xdr:pic>
      <xdr:nvPicPr>
        <xdr:cNvPr id="10" name="图片 9">
          <a:extLst>
            <a:ext uri="{FF2B5EF4-FFF2-40B4-BE49-F238E27FC236}">
              <a16:creationId xmlns:a16="http://schemas.microsoft.com/office/drawing/2014/main" id="{EE96D0D9-C8E1-469B-96B3-D291300355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3660100"/>
          <a:ext cx="7772400" cy="4125157"/>
        </a:xfrm>
        <a:prstGeom prst="rect">
          <a:avLst/>
        </a:prstGeom>
      </xdr:spPr>
    </xdr:pic>
    <xdr:clientData/>
  </xdr:twoCellAnchor>
  <xdr:twoCellAnchor editAs="oneCell">
    <xdr:from>
      <xdr:col>0</xdr:col>
      <xdr:colOff>0</xdr:colOff>
      <xdr:row>163</xdr:row>
      <xdr:rowOff>0</xdr:rowOff>
    </xdr:from>
    <xdr:to>
      <xdr:col>11</xdr:col>
      <xdr:colOff>228600</xdr:colOff>
      <xdr:row>194</xdr:row>
      <xdr:rowOff>53777</xdr:rowOff>
    </xdr:to>
    <xdr:pic>
      <xdr:nvPicPr>
        <xdr:cNvPr id="12" name="图片 11">
          <a:extLst>
            <a:ext uri="{FF2B5EF4-FFF2-40B4-BE49-F238E27FC236}">
              <a16:creationId xmlns:a16="http://schemas.microsoft.com/office/drawing/2014/main" id="{2BB689C5-31C9-4AE7-8326-4C2938F2B53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7946350"/>
          <a:ext cx="7772400" cy="53687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AppData\Local\Temp\HZ$D.853.979\HZ$D.853.981\&#32467;&#26524;\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0">
          <cell r="E40">
            <v>2158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估价对象为北京市房地产，为所有。根据，估价对象（分摊）出让国有建设用地使用权面积为9552.52平方米，建筑面积为70196.47平方米。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估价对象为北京市房地产,属开发建设的，该项目尚在开发建设中。根据，估价对象（分摊）出让国有建设用地使用权面积为9552.52平方米，规划建筑面积为70196.47平方米。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2022年4月14日（评估专业人员实地查勘之日）</v>
      </c>
    </row>
    <row r="13" spans="1:2" s="1335" customFormat="1">
      <c r="A13" s="1333" t="s">
        <v>1135</v>
      </c>
      <c r="B13" s="1334" t="str">
        <f>'预评函-1'!A18</f>
        <v>本次估价的“房地产价值”是指在正常市场情况下，在价值时点2022年4月14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本次评估采用的主估价方法为基准地价系数修正法和收益法。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370258</v>
      </c>
    </row>
    <row r="21" spans="1:2" s="1335" customFormat="1">
      <c r="A21" s="1333" t="s">
        <v>1143</v>
      </c>
      <c r="B21" s="1334">
        <f ca="1">'预评函-2'!D7</f>
        <v>65508</v>
      </c>
    </row>
    <row r="22" spans="1:2" s="1335" customFormat="1">
      <c r="A22" s="1333" t="s">
        <v>1144</v>
      </c>
      <c r="B22" s="1334" t="str">
        <f ca="1">'预评函-2'!D6</f>
        <v>叁拾柒亿零贰佰伍拾捌万元整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370258</v>
      </c>
    </row>
    <row r="31" spans="1:2" s="1335" customFormat="1">
      <c r="A31" s="1333" t="s">
        <v>1182</v>
      </c>
      <c r="B31" s="1334">
        <f ca="1">'预评函-2'!D15</f>
        <v>52746</v>
      </c>
    </row>
    <row r="32" spans="1:2" s="1335" customFormat="1">
      <c r="A32" s="1333" t="s">
        <v>1149</v>
      </c>
      <c r="B32" s="1334" t="str">
        <f ca="1">'预评函-2'!D14</f>
        <v>叁拾柒亿零贰佰伍拾捌万元整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327184</v>
      </c>
    </row>
    <row r="39" spans="1:2" s="1335" customFormat="1">
      <c r="A39" s="1333" t="s">
        <v>1151</v>
      </c>
      <c r="B39" s="1334">
        <f ca="1">'预评函-2'!D21</f>
        <v>46610</v>
      </c>
    </row>
    <row r="40" spans="1:2" s="1335" customFormat="1">
      <c r="A40" s="1333" t="s">
        <v>1152</v>
      </c>
      <c r="B40" s="1334" t="str">
        <f ca="1">'预评函-2'!D20</f>
        <v>叁拾贰亿柒仟壹佰捌拾肆万元整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70196.47</v>
      </c>
    </row>
    <row r="44" spans="1:2" s="1335" customFormat="1">
      <c r="A44" s="1333" t="s">
        <v>1181</v>
      </c>
      <c r="B44" s="1334" t="str">
        <f>'预评函-3'!C2</f>
        <v>(分摊)土地面积</v>
      </c>
    </row>
    <row r="45" spans="1:2" s="1335" customFormat="1">
      <c r="A45" s="1333" t="s">
        <v>1153</v>
      </c>
      <c r="B45" s="1334">
        <f>'预评函-3'!C4</f>
        <v>9552.52</v>
      </c>
    </row>
    <row r="46" spans="1:2" s="1335" customFormat="1">
      <c r="A46" s="1333" t="s">
        <v>1179</v>
      </c>
      <c r="B46" s="1334" t="str">
        <f>'预评函-3'!D2</f>
        <v>出让国有建设用地使用权价值</v>
      </c>
    </row>
    <row r="47" spans="1:2" s="1335" customFormat="1">
      <c r="A47" s="1333" t="s">
        <v>1154</v>
      </c>
      <c r="B47" s="1334">
        <f ca="1">'预评函-3'!D4</f>
        <v>291393</v>
      </c>
    </row>
    <row r="48" spans="1:2" s="1335" customFormat="1">
      <c r="A48" s="1333" t="s">
        <v>1155</v>
      </c>
      <c r="B48" s="1334">
        <f ca="1">'预评函-3'!E4</f>
        <v>51555</v>
      </c>
    </row>
    <row r="49" spans="1:2" s="1335" customFormat="1">
      <c r="A49" s="1333" t="s">
        <v>1156</v>
      </c>
      <c r="B49" s="1334" t="str">
        <f ca="1">'预评函-3'!D5</f>
        <v>贰拾玖亿壹仟叁佰玖拾叁万元整</v>
      </c>
    </row>
    <row r="50" spans="1:2" s="1335" customFormat="1">
      <c r="A50" s="1333" t="s">
        <v>1180</v>
      </c>
      <c r="B50" s="1334" t="str">
        <f>'预评函-3'!F2</f>
        <v>建筑物价值</v>
      </c>
    </row>
    <row r="51" spans="1:2" s="1335" customFormat="1">
      <c r="A51" s="1333" t="s">
        <v>1157</v>
      </c>
      <c r="B51" s="1334">
        <f ca="1">'预评函-3'!F4</f>
        <v>78865</v>
      </c>
    </row>
    <row r="52" spans="1:2" s="1335" customFormat="1">
      <c r="A52" s="1333" t="s">
        <v>1158</v>
      </c>
      <c r="B52" s="1334">
        <f ca="1">'预评函-3'!G4</f>
        <v>13953</v>
      </c>
    </row>
    <row r="53" spans="1:2" s="1335" customFormat="1">
      <c r="A53" s="1333" t="s">
        <v>1186</v>
      </c>
      <c r="B53" s="1334" t="str">
        <f ca="1">'预评函-3'!F5</f>
        <v>柒亿捌仟捌佰陆拾伍万元整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v>
      </c>
    </row>
    <row r="67" spans="1:2" s="1335" customFormat="1">
      <c r="A67" s="1333" t="s">
        <v>1177</v>
      </c>
      <c r="B67" s="1334" t="str">
        <f>'预评函-4'!A21</f>
        <v>——</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1" workbookViewId="0">
      <selection activeCell="E32" sqref="E32"/>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2972</v>
      </c>
      <c r="C17" s="1700"/>
    </row>
    <row r="18" spans="1:3">
      <c r="A18" s="1699" t="s">
        <v>1672</v>
      </c>
      <c r="B18" s="1699" t="s">
        <v>3116</v>
      </c>
      <c r="C18" s="1700"/>
    </row>
    <row r="19" spans="1:3">
      <c r="A19" s="1699" t="s">
        <v>1673</v>
      </c>
      <c r="B19" s="1699" t="s">
        <v>757</v>
      </c>
      <c r="C19" s="1700"/>
    </row>
    <row r="20" spans="1:3">
      <c r="A20" s="1699" t="s">
        <v>1674</v>
      </c>
      <c r="B20" s="1699" t="s">
        <v>3218</v>
      </c>
      <c r="C20" s="1700"/>
    </row>
    <row r="21" spans="1:3">
      <c r="A21" s="1699" t="s">
        <v>1675</v>
      </c>
      <c r="B21" s="1699" t="s">
        <v>3220</v>
      </c>
      <c r="C21" s="1700"/>
    </row>
    <row r="22" spans="1:3">
      <c r="A22" s="1699" t="s">
        <v>1676</v>
      </c>
      <c r="B22" s="1699" t="s">
        <v>757</v>
      </c>
      <c r="C22" s="1700"/>
    </row>
    <row r="23" spans="1:3">
      <c r="A23" s="1699" t="s">
        <v>1677</v>
      </c>
      <c r="B23" s="1699"/>
      <c r="C23" s="1700"/>
    </row>
    <row r="24" spans="1:3">
      <c r="A24" s="1699" t="s">
        <v>1678</v>
      </c>
      <c r="B24" s="1699" t="s">
        <v>3338</v>
      </c>
      <c r="C24" s="1700"/>
    </row>
    <row r="25" spans="1:3">
      <c r="A25" s="1699" t="s">
        <v>1679</v>
      </c>
      <c r="B25" s="1699" t="s">
        <v>3419</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37"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707" t="s">
        <v>832</v>
      </c>
      <c r="C54" s="1704" t="s">
        <v>1189</v>
      </c>
    </row>
    <row r="55" spans="1:4">
      <c r="A55" s="3337"/>
      <c r="B55" s="1707" t="s">
        <v>833</v>
      </c>
      <c r="C55" s="1704" t="s">
        <v>1190</v>
      </c>
    </row>
    <row r="56" spans="1:4">
      <c r="A56" s="3337"/>
      <c r="B56" s="1707" t="s">
        <v>834</v>
      </c>
      <c r="C56" s="1704" t="s">
        <v>1194</v>
      </c>
    </row>
    <row r="57" spans="1:4">
      <c r="A57" s="3337"/>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20" zoomScaleNormal="100" zoomScaleSheetLayoutView="120" workbookViewId="0">
      <selection activeCell="E18" sqref="E18:I18"/>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1" customWidth="1"/>
    <col min="12" max="13" width="10" style="2822"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2853</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348"/>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8" t="s">
        <v>2854</v>
      </c>
      <c r="B2" s="2562"/>
      <c r="C2" s="2563"/>
      <c r="D2" s="2865"/>
      <c r="E2" s="2855"/>
      <c r="F2" s="2855"/>
      <c r="G2" s="2856"/>
      <c r="H2" s="2856"/>
      <c r="I2" s="2856"/>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8" t="s">
        <v>2855</v>
      </c>
      <c r="B3" s="2564">
        <v>44665</v>
      </c>
      <c r="C3" s="2565" t="s">
        <v>2856</v>
      </c>
      <c r="D3" s="2564">
        <f>B3</f>
        <v>44665</v>
      </c>
      <c r="E3" s="2856"/>
      <c r="F3" s="2856"/>
      <c r="G3" s="2856"/>
      <c r="H3" s="2856"/>
      <c r="I3" s="2856"/>
      <c r="J3" s="2664"/>
      <c r="K3" s="2559"/>
      <c r="L3" s="2560"/>
      <c r="M3" s="2560"/>
      <c r="N3" s="2561"/>
      <c r="O3" s="1729"/>
      <c r="P3" s="2561"/>
      <c r="Q3" s="2561"/>
      <c r="R3" s="2561"/>
      <c r="S3" s="1835"/>
      <c r="T3" s="1898"/>
      <c r="U3" s="1898"/>
      <c r="V3" s="1898"/>
      <c r="W3" s="1898"/>
      <c r="X3" s="1898"/>
      <c r="Y3" s="1898"/>
      <c r="Z3" s="1898"/>
      <c r="AA3" s="1898"/>
      <c r="AB3" s="1898"/>
    </row>
    <row r="4" spans="1:28" ht="13.5" thickBot="1">
      <c r="A4" s="1221" t="s">
        <v>2857</v>
      </c>
      <c r="B4" s="2566" t="s">
        <v>3177</v>
      </c>
      <c r="C4" s="2567">
        <f ca="1">SUMIF(注册房地产估价师,B4,估价师及机构信息!B3:B24)</f>
        <v>1120100036</v>
      </c>
      <c r="D4" s="2566" t="s">
        <v>3178</v>
      </c>
      <c r="E4" s="2568">
        <f ca="1">SUMIF(注册房地产估价师,D4,估价师及机构信息!B3:B24)</f>
        <v>1120070131</v>
      </c>
      <c r="F4" s="2566"/>
      <c r="G4" s="2568">
        <f>SUMIF(注册房地产估价师,F4,估价师及机构信息!B3:B24)</f>
        <v>0</v>
      </c>
      <c r="H4" s="2566"/>
      <c r="I4" s="2568">
        <f>SUMIF(注册房地产估价师,H4,估价师及机构信息!B3:B24)</f>
        <v>0</v>
      </c>
      <c r="J4" s="2632"/>
      <c r="K4" s="2569" t="str">
        <f ca="1">CONCATENATE(B4,"（注册号：",C4,")、",D4,"（注册号：",E4,")")</f>
        <v>崔锴（注册号：1120100036)、郑燚（注册号：1120070131)</v>
      </c>
      <c r="L4" s="2560"/>
      <c r="M4" s="2560"/>
      <c r="N4" s="2561"/>
      <c r="O4" s="1729"/>
      <c r="P4" s="2561"/>
      <c r="Q4" s="2561"/>
      <c r="R4" s="2561"/>
      <c r="S4" s="1835"/>
      <c r="T4" s="1898"/>
      <c r="U4" s="1898"/>
      <c r="V4" s="1898"/>
      <c r="W4" s="1898"/>
      <c r="X4" s="1898"/>
      <c r="Y4" s="1898"/>
      <c r="Z4" s="1898"/>
      <c r="AA4" s="1898"/>
      <c r="AB4" s="1898"/>
    </row>
    <row r="5" spans="1:28" ht="13.5" thickTop="1">
      <c r="A5" s="2570" t="s">
        <v>2858</v>
      </c>
      <c r="B5" s="2571"/>
      <c r="C5" s="2572"/>
      <c r="D5" s="2573"/>
      <c r="E5" s="2857"/>
      <c r="F5" s="2857"/>
      <c r="G5" s="2857"/>
      <c r="H5" s="2857"/>
      <c r="I5" s="2857"/>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2859</v>
      </c>
      <c r="B6" s="2575"/>
      <c r="C6" s="2576"/>
      <c r="D6" s="2577"/>
      <c r="E6" s="2855"/>
      <c r="F6" s="2857"/>
      <c r="G6" s="2857"/>
      <c r="H6" s="2857"/>
      <c r="I6" s="2857"/>
      <c r="J6" s="2632"/>
      <c r="K6" s="2807" t="str">
        <f>IF(COUNTIF(B6,"*上海银行*"),"上海银行","")</f>
        <v/>
      </c>
      <c r="L6" s="2805"/>
      <c r="M6" s="2805"/>
      <c r="N6" s="2632"/>
      <c r="O6" s="2643"/>
      <c r="P6" s="2632"/>
      <c r="Q6" s="2632"/>
      <c r="R6" s="2632"/>
    </row>
    <row r="7" spans="1:28">
      <c r="A7" s="2574" t="s">
        <v>2860</v>
      </c>
      <c r="B7" s="2578"/>
      <c r="C7" s="2576"/>
      <c r="D7" s="2577"/>
      <c r="E7" s="2855"/>
      <c r="F7" s="2857"/>
      <c r="G7" s="2857"/>
      <c r="H7" s="2857"/>
      <c r="I7" s="2857"/>
      <c r="J7" s="2632"/>
      <c r="K7" s="2808"/>
      <c r="L7" s="2805"/>
      <c r="M7" s="2805"/>
      <c r="N7" s="2632"/>
      <c r="O7" s="2643"/>
      <c r="P7" s="2632"/>
      <c r="Q7" s="2632"/>
      <c r="R7" s="2632"/>
    </row>
    <row r="8" spans="1:28">
      <c r="A8" s="2579" t="s">
        <v>2861</v>
      </c>
      <c r="B8" s="2580" t="s">
        <v>3179</v>
      </c>
      <c r="C8" s="2581"/>
      <c r="D8" s="3349" t="s">
        <v>2862</v>
      </c>
      <c r="E8" s="2582" t="s">
        <v>3180</v>
      </c>
      <c r="F8" s="2583"/>
      <c r="G8" s="2856"/>
      <c r="H8" s="2856"/>
      <c r="I8" s="2856"/>
      <c r="J8" s="2632"/>
      <c r="K8" s="2806"/>
      <c r="L8" s="2805"/>
      <c r="M8" s="2805"/>
      <c r="N8" s="2632"/>
      <c r="O8" s="2643"/>
      <c r="P8" s="2632"/>
      <c r="Q8" s="2632"/>
      <c r="R8" s="2632"/>
    </row>
    <row r="9" spans="1:28" ht="13.5" thickBot="1">
      <c r="A9" s="2584" t="s">
        <v>2863</v>
      </c>
      <c r="B9" s="2585" t="s">
        <v>3180</v>
      </c>
      <c r="C9" s="2586"/>
      <c r="D9" s="3350"/>
      <c r="E9" s="2585" t="s">
        <v>1193</v>
      </c>
      <c r="F9" s="2587"/>
      <c r="G9" s="2858"/>
      <c r="H9" s="2858"/>
      <c r="I9" s="2858"/>
      <c r="J9" s="2632"/>
      <c r="K9" s="2808"/>
      <c r="L9" s="2805"/>
      <c r="M9" s="2805"/>
      <c r="N9" s="2632"/>
      <c r="O9" s="2643"/>
      <c r="P9" s="2632"/>
      <c r="Q9" s="2632"/>
      <c r="R9" s="2632"/>
    </row>
    <row r="10" spans="1:28" ht="13.5" thickTop="1">
      <c r="A10" s="2588" t="s">
        <v>2864</v>
      </c>
      <c r="B10" s="2589" t="s">
        <v>3181</v>
      </c>
      <c r="C10" s="2590"/>
      <c r="D10" s="2573"/>
      <c r="E10" s="2591" t="s">
        <v>2865</v>
      </c>
      <c r="F10" s="2859"/>
      <c r="G10" s="2860"/>
      <c r="H10" s="2861"/>
      <c r="I10" s="2862"/>
      <c r="J10" s="2632"/>
      <c r="K10" s="2808"/>
      <c r="L10" s="2805"/>
      <c r="M10" s="2805"/>
      <c r="N10" s="2632"/>
      <c r="O10" s="2643"/>
      <c r="P10" s="2632"/>
      <c r="Q10" s="2632"/>
      <c r="R10" s="2632"/>
    </row>
    <row r="11" spans="1:28">
      <c r="A11" s="2592" t="s">
        <v>2866</v>
      </c>
      <c r="B11" s="2593" t="s">
        <v>3182</v>
      </c>
      <c r="C11" s="2594"/>
      <c r="D11" s="2595"/>
      <c r="E11" s="2561"/>
      <c r="F11" s="2561"/>
      <c r="G11" s="2561"/>
      <c r="H11" s="2561"/>
      <c r="I11" s="2561"/>
      <c r="J11" s="2632"/>
      <c r="K11" s="2808"/>
      <c r="L11" s="2805"/>
      <c r="M11" s="2805"/>
      <c r="N11" s="2632"/>
      <c r="O11" s="2643"/>
      <c r="P11" s="2632"/>
      <c r="Q11" s="2632"/>
      <c r="R11" s="2632"/>
    </row>
    <row r="12" spans="1:28">
      <c r="A12" s="2596" t="s">
        <v>2867</v>
      </c>
      <c r="B12" s="2593" t="s">
        <v>3183</v>
      </c>
      <c r="C12" s="329" t="s">
        <v>2868</v>
      </c>
      <c r="D12" s="2597" t="s">
        <v>2869</v>
      </c>
      <c r="E12" s="2597" t="s">
        <v>2870</v>
      </c>
      <c r="F12" s="2597" t="s">
        <v>2871</v>
      </c>
      <c r="G12" s="2597" t="s">
        <v>2872</v>
      </c>
      <c r="H12" s="2597" t="s">
        <v>2873</v>
      </c>
      <c r="I12" s="2597" t="s">
        <v>2874</v>
      </c>
      <c r="J12" s="2632"/>
      <c r="K12" s="2808"/>
      <c r="L12" s="2805"/>
      <c r="M12" s="2805"/>
      <c r="N12" s="2632"/>
      <c r="O12" s="2643"/>
      <c r="P12" s="2632"/>
      <c r="Q12" s="2632"/>
      <c r="R12" s="2632"/>
    </row>
    <row r="13" spans="1:28">
      <c r="A13" s="1212"/>
      <c r="B13" s="2598"/>
      <c r="C13" s="2599" t="s">
        <v>2875</v>
      </c>
      <c r="D13" s="964"/>
      <c r="E13" s="964"/>
      <c r="F13" s="964">
        <f>信息!E17</f>
        <v>57779</v>
      </c>
      <c r="G13" s="964">
        <f>F13</f>
        <v>57779</v>
      </c>
      <c r="H13" s="964"/>
      <c r="I13" s="964"/>
      <c r="J13" s="2632"/>
      <c r="K13" s="2808"/>
      <c r="L13" s="2805"/>
      <c r="M13" s="2805"/>
      <c r="N13" s="2632"/>
      <c r="O13" s="2643"/>
      <c r="P13" s="2632"/>
      <c r="Q13" s="2632"/>
      <c r="R13" s="2632"/>
    </row>
    <row r="14" spans="1:28">
      <c r="A14" s="1212"/>
      <c r="B14" s="2598"/>
      <c r="C14" s="2599" t="s">
        <v>2876</v>
      </c>
      <c r="D14" s="2600"/>
      <c r="E14" s="2600"/>
      <c r="F14" s="2600">
        <v>50</v>
      </c>
      <c r="G14" s="2600">
        <v>50</v>
      </c>
      <c r="H14" s="2600"/>
      <c r="I14" s="2600"/>
      <c r="J14" s="2632"/>
      <c r="K14" s="2809"/>
      <c r="L14" s="2805"/>
      <c r="M14" s="2805"/>
      <c r="N14" s="2632"/>
      <c r="O14" s="2643"/>
      <c r="P14" s="2632"/>
      <c r="Q14" s="2632"/>
      <c r="R14" s="2632"/>
    </row>
    <row r="15" spans="1:28">
      <c r="A15" s="326"/>
      <c r="B15" s="2601"/>
      <c r="C15" s="2602" t="s">
        <v>2877</v>
      </c>
      <c r="D15" s="2603" t="str">
        <f>IF(B12="出让",IF(D13="","",ROUNDDOWN(MIN((D13-$D$3)/365,D14),2)),D14)</f>
        <v/>
      </c>
      <c r="E15" s="2603" t="str">
        <f>IF(B12="出让",IF(E13="","",ROUNDDOWN(MIN((E13-$D$3)/365,E14),2)),E14)</f>
        <v/>
      </c>
      <c r="F15" s="2603">
        <f>IF(B12="出让",IF(F13="","",ROUNDDOWN(MIN((F13-$D$3)/365,F14),2)),F14)</f>
        <v>35.92</v>
      </c>
      <c r="G15" s="2603">
        <f>IF(B12="出让",IF(G13="","",ROUNDDOWN(MIN((G13-$D$3)/365,G14),2)),G14)</f>
        <v>35.92</v>
      </c>
      <c r="H15" s="2603" t="str">
        <f>IF(B12="出让",IF(H13="","",ROUNDDOWN(MIN((H13-$D$3)/365,H14),2)),H14)</f>
        <v/>
      </c>
      <c r="I15" s="2603" t="str">
        <f>IF(B12="出让",IF(I13="","",ROUNDDOWN(MIN((I13-$D$3)/365,I14),2)),I14)</f>
        <v/>
      </c>
      <c r="J15" s="2632"/>
      <c r="K15" s="2810"/>
      <c r="L15" s="2644"/>
      <c r="M15" s="2644"/>
      <c r="N15" s="2701"/>
      <c r="O15" s="2644"/>
      <c r="P15" s="2701"/>
      <c r="Q15" s="2632"/>
      <c r="R15" s="2632"/>
    </row>
    <row r="16" spans="1:28">
      <c r="A16" s="2591" t="s">
        <v>2878</v>
      </c>
      <c r="B16" s="3356"/>
      <c r="C16" s="3357"/>
      <c r="D16" s="3358"/>
      <c r="E16" s="2606" t="s">
        <v>2879</v>
      </c>
      <c r="F16" s="3359"/>
      <c r="G16" s="3360"/>
      <c r="H16" s="3360"/>
      <c r="I16" s="3361"/>
      <c r="J16" s="2632"/>
      <c r="K16" s="2810"/>
      <c r="L16" s="2644"/>
      <c r="M16" s="2644"/>
      <c r="N16" s="2701"/>
      <c r="O16" s="2644"/>
      <c r="P16" s="2701"/>
      <c r="Q16" s="2632"/>
      <c r="R16" s="2632"/>
    </row>
    <row r="17" spans="1:28">
      <c r="A17" s="319" t="s">
        <v>2880</v>
      </c>
      <c r="B17" s="308" t="s">
        <v>2881</v>
      </c>
      <c r="C17" s="11">
        <f>'数据-汇总表'!E3</f>
        <v>70196.47</v>
      </c>
      <c r="D17" s="2512" t="s">
        <v>2882</v>
      </c>
      <c r="E17" s="3362"/>
      <c r="F17" s="3363"/>
      <c r="G17" s="3363"/>
      <c r="H17" s="3363"/>
      <c r="I17" s="3364"/>
      <c r="J17" s="2632"/>
      <c r="K17" s="2811"/>
      <c r="L17" s="2644"/>
      <c r="M17" s="2644"/>
      <c r="N17" s="2701"/>
      <c r="O17" s="2644"/>
      <c r="P17" s="2701"/>
      <c r="Q17" s="2632"/>
      <c r="R17" s="2632"/>
      <c r="S17" s="2632"/>
      <c r="T17" s="2632"/>
      <c r="U17" s="2632"/>
      <c r="V17" s="2632"/>
    </row>
    <row r="18" spans="1:28" ht="24.75" thickBot="1">
      <c r="A18" s="2607" t="s">
        <v>2883</v>
      </c>
      <c r="B18" s="1221" t="s">
        <v>2884</v>
      </c>
      <c r="C18" s="2608">
        <f>'数据-汇总表'!D3</f>
        <v>9552.52</v>
      </c>
      <c r="D18" s="1223" t="s">
        <v>2885</v>
      </c>
      <c r="E18" s="3365"/>
      <c r="F18" s="3366"/>
      <c r="G18" s="3366"/>
      <c r="H18" s="3366"/>
      <c r="I18" s="3367"/>
      <c r="J18" s="2632"/>
      <c r="K18" s="2811"/>
      <c r="L18" s="2644"/>
      <c r="M18" s="2644"/>
      <c r="N18" s="2701"/>
      <c r="O18" s="2644"/>
      <c r="P18" s="2701"/>
      <c r="Q18" s="2632"/>
      <c r="R18" s="2632"/>
      <c r="S18" s="2632"/>
      <c r="T18" s="2632"/>
      <c r="U18" s="2632"/>
      <c r="V18" s="2632"/>
    </row>
    <row r="19" spans="1:28" ht="37.5" thickTop="1" thickBot="1">
      <c r="A19" s="333" t="s">
        <v>1681</v>
      </c>
      <c r="B19" s="313" t="s">
        <v>2886</v>
      </c>
      <c r="C19" s="1716"/>
      <c r="D19" s="1717" t="s">
        <v>2887</v>
      </c>
      <c r="E19" s="1718"/>
      <c r="F19" s="1719" t="str">
        <f>IF(AND(C19="是",E19="否"),"是否提供他项权证或相关说明","")</f>
        <v/>
      </c>
      <c r="G19" s="1720"/>
      <c r="H19" s="2857"/>
      <c r="I19" s="2857"/>
      <c r="J19" s="2632"/>
      <c r="K19" s="2808"/>
      <c r="L19" s="2805"/>
      <c r="M19" s="2805"/>
      <c r="N19" s="2701"/>
      <c r="O19" s="2644"/>
      <c r="P19" s="2701"/>
      <c r="Q19" s="2632"/>
      <c r="R19" s="2632"/>
      <c r="S19" s="2632"/>
      <c r="T19" s="2632"/>
      <c r="U19" s="2632"/>
      <c r="V19" s="2632"/>
    </row>
    <row r="20" spans="1:28">
      <c r="A20" s="2825" t="s">
        <v>2888</v>
      </c>
      <c r="B20" s="3352" t="s">
        <v>2889</v>
      </c>
      <c r="C20" s="3353"/>
      <c r="D20" s="3354" t="s">
        <v>2890</v>
      </c>
      <c r="E20" s="3355"/>
      <c r="F20" s="2840" t="s">
        <v>1682</v>
      </c>
      <c r="G20" s="2857"/>
      <c r="H20" s="2857"/>
      <c r="I20" s="2857"/>
      <c r="J20" s="2632"/>
      <c r="K20" s="3351"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4.75" thickBot="1">
      <c r="A21" s="2825"/>
      <c r="B21" s="2826" t="s">
        <v>2892</v>
      </c>
      <c r="C21" s="2827" t="s">
        <v>1683</v>
      </c>
      <c r="D21" s="1721" t="s">
        <v>2893</v>
      </c>
      <c r="E21" s="2828" t="s">
        <v>1683</v>
      </c>
      <c r="F21" s="2841"/>
      <c r="G21" s="2857"/>
      <c r="H21" s="2857"/>
      <c r="I21" s="2857"/>
      <c r="J21" s="2632"/>
      <c r="K21" s="335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4.75" thickBot="1">
      <c r="A22" s="2825"/>
      <c r="B22" s="2829" t="s">
        <v>2894</v>
      </c>
      <c r="C22" s="2827" t="s">
        <v>1684</v>
      </c>
      <c r="D22" s="2856"/>
      <c r="E22" s="2856"/>
      <c r="F22" s="2856"/>
      <c r="G22" s="2857"/>
      <c r="H22" s="2857"/>
      <c r="I22" s="2857"/>
      <c r="J22" s="2632"/>
      <c r="K22" s="335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0" t="s">
        <v>2895</v>
      </c>
      <c r="B23" s="2694" t="s">
        <v>2896</v>
      </c>
      <c r="C23" s="2831"/>
      <c r="D23" s="2832" t="s">
        <v>2896</v>
      </c>
      <c r="E23" s="2833"/>
      <c r="F23" s="2856"/>
      <c r="G23" s="2857"/>
      <c r="H23" s="2857"/>
      <c r="I23" s="2857"/>
      <c r="J23" s="2632"/>
      <c r="K23" s="2812"/>
      <c r="L23" s="2668"/>
      <c r="M23" s="2805"/>
      <c r="N23" s="2701"/>
      <c r="O23" s="2644"/>
      <c r="P23" s="2701"/>
      <c r="Q23" s="2632"/>
      <c r="R23" s="2632"/>
      <c r="S23" s="2632"/>
      <c r="T23" s="2632"/>
      <c r="U23" s="2632"/>
      <c r="V23" s="2632"/>
    </row>
    <row r="24" spans="1:28">
      <c r="A24" s="2830"/>
      <c r="B24" s="2694" t="s">
        <v>1685</v>
      </c>
      <c r="C24" s="2834"/>
      <c r="D24" s="2830" t="s">
        <v>1685</v>
      </c>
      <c r="E24" s="2835"/>
      <c r="F24" s="2856"/>
      <c r="G24" s="2857"/>
      <c r="H24" s="2857"/>
      <c r="I24" s="2857"/>
      <c r="J24" s="2632"/>
      <c r="K24" s="2812"/>
      <c r="L24" s="2668"/>
      <c r="M24" s="2805"/>
      <c r="N24" s="2701"/>
      <c r="O24" s="2644"/>
      <c r="P24" s="2701"/>
      <c r="Q24" s="2632"/>
      <c r="R24" s="2632"/>
      <c r="S24" s="2632"/>
      <c r="T24" s="2632"/>
      <c r="U24" s="2632"/>
      <c r="V24" s="2632"/>
    </row>
    <row r="25" spans="1:28">
      <c r="A25" s="2830"/>
      <c r="B25" s="2694" t="s">
        <v>1686</v>
      </c>
      <c r="C25" s="2834"/>
      <c r="D25" s="2830" t="s">
        <v>1686</v>
      </c>
      <c r="E25" s="2835"/>
      <c r="F25" s="2856"/>
      <c r="G25" s="2857"/>
      <c r="H25" s="2857"/>
      <c r="I25" s="2857"/>
      <c r="J25" s="2632"/>
      <c r="K25" s="2808"/>
      <c r="L25" s="2805"/>
      <c r="M25" s="2805"/>
      <c r="N25" s="2701"/>
      <c r="O25" s="2644"/>
      <c r="P25" s="2701"/>
      <c r="Q25" s="2632"/>
      <c r="R25" s="2632"/>
      <c r="S25" s="2632"/>
      <c r="T25" s="2632"/>
      <c r="U25" s="2632"/>
      <c r="V25" s="2632"/>
    </row>
    <row r="26" spans="1:28" ht="13.5" thickBot="1">
      <c r="A26" s="2836"/>
      <c r="B26" s="2837" t="s">
        <v>1687</v>
      </c>
      <c r="C26" s="2838"/>
      <c r="D26" s="2836" t="s">
        <v>1687</v>
      </c>
      <c r="E26" s="2839"/>
      <c r="F26" s="2858"/>
      <c r="G26" s="2858"/>
      <c r="H26" s="2858"/>
      <c r="I26" s="2858"/>
      <c r="J26" s="2632"/>
      <c r="K26" s="2808"/>
      <c r="L26" s="2805"/>
      <c r="M26" s="2805"/>
      <c r="N26" s="2701"/>
      <c r="O26" s="2644"/>
      <c r="P26" s="2701"/>
      <c r="Q26" s="2632"/>
      <c r="R26" s="2632"/>
      <c r="S26" s="2632"/>
      <c r="T26" s="2632"/>
      <c r="U26" s="2632"/>
      <c r="V26" s="2632"/>
    </row>
    <row r="27" spans="1:28" ht="13.5" thickTop="1">
      <c r="A27" s="3339" t="s">
        <v>2897</v>
      </c>
      <c r="B27" s="326" t="s">
        <v>2898</v>
      </c>
      <c r="C27" s="2609"/>
      <c r="D27" s="2610"/>
      <c r="E27" s="2857"/>
      <c r="F27" s="2857"/>
      <c r="G27" s="2857"/>
      <c r="H27" s="2857"/>
      <c r="I27" s="2857"/>
      <c r="J27" s="2632"/>
      <c r="K27" s="2810"/>
      <c r="L27" s="2644"/>
      <c r="M27" s="2644"/>
      <c r="N27" s="2701"/>
      <c r="O27" s="2644"/>
      <c r="P27" s="2701"/>
      <c r="Q27" s="2632"/>
      <c r="R27" s="2632"/>
      <c r="S27" s="2632"/>
      <c r="T27" s="2632"/>
      <c r="U27" s="2632"/>
      <c r="V27" s="2632"/>
    </row>
    <row r="28" spans="1:28">
      <c r="A28" s="3339"/>
      <c r="B28" s="308" t="s">
        <v>2899</v>
      </c>
      <c r="C28" s="2611"/>
      <c r="D28" s="2612"/>
      <c r="E28" s="2857"/>
      <c r="F28" s="2857"/>
      <c r="G28" s="2857"/>
      <c r="H28" s="2857"/>
      <c r="I28" s="2857"/>
      <c r="J28" s="2632"/>
      <c r="K28" s="2808"/>
      <c r="L28" s="2805"/>
      <c r="M28" s="2805"/>
      <c r="N28" s="2632"/>
      <c r="O28" s="2643"/>
      <c r="P28" s="2632"/>
      <c r="Q28" s="2632"/>
      <c r="R28" s="2632"/>
      <c r="S28" s="2632"/>
      <c r="T28" s="2632"/>
      <c r="U28" s="2632"/>
      <c r="V28" s="2632"/>
    </row>
    <row r="29" spans="1:28">
      <c r="A29" s="3339"/>
      <c r="B29" s="308" t="s">
        <v>2900</v>
      </c>
      <c r="C29" s="2613"/>
      <c r="D29" s="2614"/>
      <c r="E29" s="2857"/>
      <c r="F29" s="2857"/>
      <c r="G29" s="2857"/>
      <c r="H29" s="2857"/>
      <c r="I29" s="2857"/>
      <c r="J29" s="2632"/>
      <c r="K29" s="2808"/>
      <c r="L29" s="2805"/>
      <c r="M29" s="2805"/>
      <c r="N29" s="2632"/>
      <c r="O29" s="2643"/>
      <c r="P29" s="2632"/>
      <c r="Q29" s="2632"/>
      <c r="R29" s="2632"/>
      <c r="S29" s="2632"/>
      <c r="T29" s="2632"/>
      <c r="U29" s="2632"/>
      <c r="V29" s="2632"/>
    </row>
    <row r="30" spans="1:28">
      <c r="A30" s="3340"/>
      <c r="B30" s="308" t="s">
        <v>2901</v>
      </c>
      <c r="C30" s="3341"/>
      <c r="D30" s="3342"/>
      <c r="E30" s="2857"/>
      <c r="F30" s="2857"/>
      <c r="G30" s="2857"/>
      <c r="H30" s="2857"/>
      <c r="I30" s="2857"/>
      <c r="J30" s="2632"/>
      <c r="K30" s="2808"/>
      <c r="L30" s="2805"/>
      <c r="M30" s="2805"/>
      <c r="N30" s="2632"/>
      <c r="O30" s="2643"/>
      <c r="P30" s="2632"/>
      <c r="Q30" s="2632"/>
      <c r="R30" s="2632"/>
      <c r="S30" s="2632"/>
      <c r="T30" s="2632"/>
      <c r="U30" s="2632"/>
      <c r="V30" s="2632"/>
    </row>
    <row r="31" spans="1:28">
      <c r="A31" s="3343" t="s">
        <v>2902</v>
      </c>
      <c r="B31" s="2615"/>
      <c r="C31" s="2513" t="str">
        <f>IF(B31="现房","成新及维护状况正常否",IF(B31="在建","工程状态是否正常",IF(B31="土地","是否闲置","-")))</f>
        <v>-</v>
      </c>
      <c r="D31" s="1525"/>
      <c r="E31" s="2616"/>
      <c r="F31" s="2857"/>
      <c r="G31" s="2857"/>
      <c r="H31" s="2857"/>
      <c r="I31" s="2857"/>
      <c r="J31" s="2632"/>
      <c r="K31" s="2807"/>
      <c r="L31" s="2805"/>
      <c r="M31" s="2805"/>
      <c r="N31" s="2632"/>
      <c r="O31" s="2643"/>
      <c r="P31" s="2632"/>
      <c r="Q31" s="2632"/>
      <c r="R31" s="2632"/>
      <c r="S31" s="2632"/>
      <c r="T31" s="2632"/>
      <c r="U31" s="2632"/>
      <c r="V31" s="2632"/>
    </row>
    <row r="32" spans="1:28">
      <c r="A32" s="3344"/>
      <c r="B32" s="2615"/>
      <c r="C32" s="2513" t="str">
        <f>IF(B32="现房","成新及维护状况是否正常",IF(B32="在建","工程状态是否正常",IF(B32="土地","是否闲置","-")))</f>
        <v>-</v>
      </c>
      <c r="D32" s="1525"/>
      <c r="E32" s="2616"/>
      <c r="F32" s="2857"/>
      <c r="G32" s="2857"/>
      <c r="H32" s="2857"/>
      <c r="I32" s="2857"/>
      <c r="J32" s="2632"/>
      <c r="K32" s="2808"/>
      <c r="L32" s="2805"/>
      <c r="M32" s="2805"/>
      <c r="N32" s="2632"/>
      <c r="O32" s="2643"/>
      <c r="P32" s="2632"/>
      <c r="Q32" s="2632"/>
      <c r="R32" s="2632"/>
      <c r="S32" s="2632"/>
      <c r="T32" s="2632"/>
      <c r="U32" s="2632"/>
      <c r="V32" s="2632"/>
    </row>
    <row r="33" spans="1:30">
      <c r="A33" s="3344"/>
      <c r="B33" s="2618"/>
      <c r="C33" s="1743" t="str">
        <f>IF(B33="现房","成新及维护状况是否正常",IF(B33="在建","工程状态是否正常",IF(B33="土地","是否闲置","-")))</f>
        <v>-</v>
      </c>
      <c r="D33" s="1517"/>
      <c r="E33" s="2619"/>
      <c r="F33" s="2857"/>
      <c r="G33" s="2857"/>
      <c r="H33" s="2857"/>
      <c r="I33" s="2857"/>
      <c r="J33" s="2632"/>
      <c r="K33" s="2808"/>
      <c r="L33" s="2805"/>
      <c r="M33" s="2805"/>
      <c r="N33" s="2632"/>
      <c r="O33" s="2643"/>
      <c r="P33" s="2632"/>
      <c r="Q33" s="2632"/>
      <c r="R33" s="2632"/>
      <c r="S33" s="2632"/>
      <c r="T33" s="2632"/>
      <c r="U33" s="2632"/>
      <c r="V33" s="2632"/>
    </row>
    <row r="34" spans="1:30">
      <c r="A34" s="308" t="s">
        <v>2903</v>
      </c>
      <c r="B34" s="2181"/>
      <c r="C34" s="2181"/>
      <c r="D34" s="2181"/>
      <c r="E34" s="2181"/>
      <c r="F34" s="2181"/>
      <c r="G34" s="2181"/>
      <c r="H34" s="2181"/>
      <c r="I34" s="2857"/>
      <c r="J34" s="2632"/>
      <c r="K34" s="2620">
        <f>COUNTIF(B34:H34,"——")</f>
        <v>0</v>
      </c>
      <c r="L34" s="329" t="s">
        <v>2904</v>
      </c>
      <c r="M34" s="329" t="s">
        <v>2905</v>
      </c>
      <c r="N34" s="329" t="s">
        <v>2906</v>
      </c>
      <c r="O34" s="329" t="s">
        <v>2907</v>
      </c>
      <c r="P34" s="329" t="s">
        <v>2908</v>
      </c>
      <c r="Q34" s="329" t="s">
        <v>2909</v>
      </c>
      <c r="R34" s="329" t="s">
        <v>2910</v>
      </c>
      <c r="S34" s="3338" t="s">
        <v>2911</v>
      </c>
      <c r="T34" s="2621" t="str">
        <f>NUMBERSTRING(7-K34,1)&amp;"通"</f>
        <v>七通</v>
      </c>
      <c r="U34" s="2632"/>
      <c r="V34" s="2632"/>
    </row>
    <row r="35" spans="1:30">
      <c r="A35" s="2622"/>
      <c r="B35" s="3345" t="s">
        <v>2912</v>
      </c>
      <c r="C35" s="3345"/>
      <c r="D35" s="3345"/>
      <c r="E35" s="3345"/>
      <c r="F35" s="673">
        <f>C10</f>
        <v>0</v>
      </c>
      <c r="G35" s="2857"/>
      <c r="H35" s="2857"/>
      <c r="I35" s="2857"/>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8"/>
      <c r="T35" s="335" t="str">
        <f>IF(T34="一通",L35,IF(T34="二通",M35,IF(T34="三通",N35,IF(T34="四通",O35,IF(T34="五通",P35,IF(T34="六通",Q35,R35))))))</f>
        <v>、、、、、、</v>
      </c>
      <c r="U35" s="2632"/>
      <c r="V35" s="2632"/>
    </row>
    <row r="36" spans="1:30">
      <c r="A36" s="2623"/>
      <c r="B36" s="673" t="s">
        <v>2870</v>
      </c>
      <c r="C36" s="673" t="s">
        <v>2871</v>
      </c>
      <c r="D36" s="673" t="s">
        <v>2869</v>
      </c>
      <c r="E36" s="673" t="s">
        <v>2874</v>
      </c>
      <c r="F36" s="2863"/>
      <c r="G36" s="2857"/>
      <c r="H36" s="2857"/>
      <c r="I36" s="2857"/>
      <c r="J36" s="2632"/>
      <c r="K36" s="2808"/>
      <c r="L36" s="2805"/>
      <c r="M36" s="2805"/>
      <c r="N36" s="2632"/>
      <c r="O36" s="2643"/>
      <c r="P36" s="2632"/>
      <c r="Q36" s="2632"/>
      <c r="R36" s="2632"/>
      <c r="S36" s="2632"/>
      <c r="T36" s="2632"/>
      <c r="U36" s="2632"/>
      <c r="V36" s="2632"/>
    </row>
    <row r="37" spans="1:30">
      <c r="A37" s="2823" t="s">
        <v>2913</v>
      </c>
      <c r="B37" s="2624"/>
      <c r="C37" s="2624" t="s">
        <v>269</v>
      </c>
      <c r="D37" s="2624"/>
      <c r="E37" s="2624"/>
      <c r="F37" s="2863"/>
      <c r="G37" s="2857"/>
      <c r="H37" s="2857"/>
      <c r="I37" s="2857"/>
      <c r="J37" s="2632"/>
      <c r="K37" s="2808"/>
      <c r="L37" s="2805"/>
      <c r="M37" s="2805"/>
      <c r="N37" s="2632"/>
      <c r="O37" s="2643"/>
      <c r="P37" s="2632"/>
      <c r="Q37" s="2632"/>
      <c r="R37" s="2632"/>
      <c r="S37" s="2632"/>
      <c r="T37" s="2632"/>
      <c r="U37" s="2632"/>
      <c r="V37" s="2632"/>
    </row>
    <row r="38" spans="1:30" ht="13.5" thickBot="1">
      <c r="A38" s="2824" t="s">
        <v>2914</v>
      </c>
      <c r="B38" s="2625"/>
      <c r="C38" s="2625"/>
      <c r="D38" s="2625"/>
      <c r="E38" s="2625"/>
      <c r="F38" s="2864"/>
      <c r="G38" s="2858"/>
      <c r="H38" s="2858"/>
      <c r="I38" s="2858"/>
      <c r="J38" s="2632"/>
      <c r="K38" s="2808"/>
      <c r="L38" s="2805"/>
      <c r="M38" s="2805"/>
      <c r="N38" s="2632"/>
      <c r="O38" s="2643"/>
      <c r="P38" s="2632"/>
      <c r="Q38" s="2632"/>
      <c r="R38" s="2632"/>
      <c r="S38" s="2632"/>
      <c r="T38" s="2632"/>
      <c r="U38" s="2632"/>
      <c r="V38" s="2632"/>
    </row>
    <row r="39" spans="1:30" s="2628" customFormat="1" ht="14.25" thickTop="1" thickBot="1">
      <c r="A39" s="2626" t="s">
        <v>2915</v>
      </c>
      <c r="B39" s="2627"/>
      <c r="C39" s="2627"/>
      <c r="D39" s="2627"/>
      <c r="E39" s="2627"/>
      <c r="F39" s="2627"/>
      <c r="G39" s="2627"/>
      <c r="H39" s="2627"/>
      <c r="I39" s="2627"/>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1"/>
      <c r="B40" s="2561"/>
      <c r="C40" s="2561"/>
      <c r="D40" s="2561"/>
      <c r="E40" s="2561"/>
      <c r="F40" s="2561"/>
      <c r="G40" s="2561"/>
      <c r="H40" s="2561"/>
      <c r="I40" s="1731"/>
      <c r="J40" s="2701"/>
      <c r="K40" s="2807"/>
      <c r="L40" s="2644"/>
      <c r="M40" s="2644"/>
      <c r="N40" s="2701"/>
      <c r="O40" s="2644"/>
      <c r="P40" s="2632"/>
      <c r="Q40" s="2632"/>
      <c r="R40" s="2632"/>
      <c r="S40" s="2632"/>
      <c r="T40" s="2632"/>
      <c r="U40" s="2632"/>
      <c r="V40" s="2632"/>
    </row>
    <row r="41" spans="1:30">
      <c r="A41" s="2629" t="s">
        <v>2916</v>
      </c>
      <c r="B41" s="1910"/>
      <c r="C41" s="1525"/>
      <c r="D41" s="2561"/>
      <c r="E41" s="2561"/>
      <c r="F41" s="2561"/>
      <c r="G41" s="2561"/>
      <c r="H41" s="2561"/>
      <c r="I41" s="1729"/>
      <c r="J41" s="2632"/>
      <c r="K41" s="2808"/>
      <c r="L41" s="2805"/>
      <c r="M41" s="2805"/>
      <c r="N41" s="2632"/>
      <c r="O41" s="2643"/>
      <c r="P41" s="2632"/>
      <c r="Q41" s="2632"/>
      <c r="R41" s="2632"/>
      <c r="S41" s="2632"/>
      <c r="T41" s="2632"/>
      <c r="U41" s="2632"/>
      <c r="V41" s="2632"/>
    </row>
    <row r="42" spans="1:30" ht="25.5">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2"/>
      <c r="T42" s="2632"/>
      <c r="U42" s="2632"/>
      <c r="V42" s="2632"/>
    </row>
    <row r="43" spans="1:30" s="1896" customFormat="1">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6" customFormat="1">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6" customFormat="1">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6" customFormat="1">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6" customFormat="1">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6" customFormat="1">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6" customFormat="1">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6" customFormat="1">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6" customFormat="1">
      <c r="A51" s="1723"/>
      <c r="B51" s="1723"/>
      <c r="C51" s="1181"/>
      <c r="D51" s="1181"/>
      <c r="E51" s="1181"/>
      <c r="F51" s="1181"/>
      <c r="G51" s="1181"/>
      <c r="H51" s="1181"/>
      <c r="I51" s="1181"/>
      <c r="J51" s="2630"/>
      <c r="K51" s="2631"/>
      <c r="L51" s="2631"/>
      <c r="M51" s="1181"/>
      <c r="N51" s="1181"/>
      <c r="O51" s="1181"/>
      <c r="P51" s="1181"/>
      <c r="Q51" s="1181"/>
      <c r="R51" s="1181"/>
    </row>
    <row r="52" spans="1:22" s="1896" customFormat="1">
      <c r="A52" s="1723"/>
      <c r="B52" s="1723"/>
      <c r="C52" s="1723"/>
      <c r="D52" s="1723"/>
      <c r="E52" s="1723"/>
      <c r="F52" s="1181"/>
      <c r="G52" s="1723"/>
      <c r="H52" s="1723"/>
      <c r="I52" s="1723"/>
      <c r="J52" s="2633"/>
      <c r="K52" s="2631"/>
      <c r="L52" s="2631"/>
      <c r="M52" s="2631"/>
      <c r="N52" s="1723"/>
      <c r="O52" s="1723"/>
      <c r="P52" s="1723"/>
      <c r="Q52" s="1723"/>
      <c r="R52" s="1723"/>
    </row>
    <row r="53" spans="1:22" s="1896" customFormat="1">
      <c r="A53" s="1723"/>
      <c r="B53" s="1723"/>
      <c r="C53" s="1723"/>
      <c r="D53" s="1723"/>
      <c r="E53" s="1723"/>
      <c r="F53" s="1181"/>
      <c r="G53" s="1723"/>
      <c r="H53" s="1723"/>
      <c r="I53" s="1723"/>
      <c r="J53" s="2633"/>
      <c r="K53" s="2631"/>
      <c r="L53" s="2631"/>
      <c r="M53" s="2631"/>
      <c r="N53" s="1723"/>
      <c r="O53" s="1723"/>
      <c r="P53" s="1723"/>
      <c r="Q53" s="1723"/>
      <c r="R53" s="1723"/>
    </row>
    <row r="54" spans="1:22" s="1896" customFormat="1">
      <c r="A54" s="1723"/>
      <c r="B54" s="1723"/>
      <c r="C54" s="1723"/>
      <c r="D54" s="1723"/>
      <c r="E54" s="1723"/>
      <c r="F54" s="1181"/>
      <c r="G54" s="1723"/>
      <c r="H54" s="1723"/>
      <c r="I54" s="1723"/>
      <c r="J54" s="2633"/>
      <c r="K54" s="2631"/>
      <c r="L54" s="2631"/>
      <c r="M54" s="2631"/>
      <c r="N54" s="1723"/>
      <c r="O54" s="1723"/>
      <c r="P54" s="1723"/>
      <c r="Q54" s="1723"/>
      <c r="R54" s="1723"/>
    </row>
    <row r="55" spans="1:22" s="1896" customFormat="1">
      <c r="A55" s="1723"/>
      <c r="B55" s="1723"/>
      <c r="C55" s="1723"/>
      <c r="D55" s="1723"/>
      <c r="E55" s="1723"/>
      <c r="F55" s="1181"/>
      <c r="G55" s="1723"/>
      <c r="H55" s="1723"/>
      <c r="I55" s="1723"/>
      <c r="J55" s="2633"/>
      <c r="K55" s="2631"/>
      <c r="L55" s="2631"/>
      <c r="M55" s="2631"/>
      <c r="N55" s="1723"/>
      <c r="O55" s="1723"/>
      <c r="P55" s="1723"/>
      <c r="Q55" s="1723"/>
      <c r="R55" s="1723"/>
    </row>
    <row r="56" spans="1:22" s="1896" customFormat="1">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6"/>
  <sheetViews>
    <sheetView topLeftCell="A16" workbookViewId="0">
      <selection activeCell="P37" sqref="P37"/>
    </sheetView>
  </sheetViews>
  <sheetFormatPr defaultRowHeight="13.5"/>
  <cols>
    <col min="1" max="1" width="11.125" bestFit="1" customWidth="1"/>
    <col min="2" max="2" width="13.625" customWidth="1"/>
    <col min="5" max="5" width="13.625" customWidth="1"/>
    <col min="8" max="8" width="17.375" customWidth="1"/>
    <col min="10" max="10" width="14.75" customWidth="1"/>
  </cols>
  <sheetData>
    <row r="1" spans="1:8">
      <c r="A1" s="3368" t="s">
        <v>3121</v>
      </c>
      <c r="B1" s="3368"/>
      <c r="C1" s="3368"/>
      <c r="D1" s="3368"/>
      <c r="E1" s="3368"/>
      <c r="F1" s="3368"/>
      <c r="G1" s="3368"/>
      <c r="H1" s="3368"/>
    </row>
    <row r="2" spans="1:8">
      <c r="A2" s="3373" t="s">
        <v>3139</v>
      </c>
      <c r="B2" s="3373" t="s">
        <v>3128</v>
      </c>
      <c r="C2" s="3373"/>
      <c r="D2" s="3373" t="s">
        <v>3124</v>
      </c>
      <c r="E2" s="3373"/>
      <c r="F2" s="3373" t="s">
        <v>3125</v>
      </c>
      <c r="G2" s="3373"/>
      <c r="H2" s="3218"/>
    </row>
    <row r="3" spans="1:8">
      <c r="A3" s="3373"/>
      <c r="B3" s="3219" t="s">
        <v>3122</v>
      </c>
      <c r="C3" s="3219" t="s">
        <v>3123</v>
      </c>
      <c r="D3" s="3219" t="s">
        <v>3122</v>
      </c>
      <c r="E3" s="3219" t="s">
        <v>3123</v>
      </c>
      <c r="F3" s="3219" t="s">
        <v>3122</v>
      </c>
      <c r="G3" s="3219" t="s">
        <v>3123</v>
      </c>
      <c r="H3" s="3219" t="s">
        <v>3126</v>
      </c>
    </row>
    <row r="4" spans="1:8">
      <c r="A4" s="3219" t="s">
        <v>3130</v>
      </c>
      <c r="B4" s="3218">
        <v>27373</v>
      </c>
      <c r="C4" s="3218">
        <v>0</v>
      </c>
      <c r="D4" s="3218">
        <v>20</v>
      </c>
      <c r="E4" s="3218">
        <v>4</v>
      </c>
      <c r="F4" s="3218">
        <v>86.3</v>
      </c>
      <c r="G4" s="3218">
        <v>15.9</v>
      </c>
      <c r="H4" s="3219" t="s">
        <v>3127</v>
      </c>
    </row>
    <row r="5" spans="1:8">
      <c r="A5" s="3219" t="s">
        <v>3131</v>
      </c>
      <c r="B5" s="3218">
        <v>37553</v>
      </c>
      <c r="C5" s="3218">
        <v>0</v>
      </c>
      <c r="D5" s="3218">
        <v>24</v>
      </c>
      <c r="E5" s="3218">
        <v>4</v>
      </c>
      <c r="F5" s="3218">
        <v>99.9</v>
      </c>
      <c r="G5" s="3218">
        <v>15.9</v>
      </c>
      <c r="H5" s="3219" t="s">
        <v>3129</v>
      </c>
    </row>
    <row r="6" spans="1:8">
      <c r="A6" s="3219" t="s">
        <v>3132</v>
      </c>
      <c r="B6" s="3218">
        <v>0</v>
      </c>
      <c r="C6" s="3218">
        <v>30741</v>
      </c>
      <c r="D6" s="3218">
        <v>0</v>
      </c>
      <c r="E6" s="3218">
        <v>4</v>
      </c>
      <c r="F6" s="3218">
        <v>0</v>
      </c>
      <c r="G6" s="3218">
        <v>15.9</v>
      </c>
      <c r="H6" s="3219" t="s">
        <v>3133</v>
      </c>
    </row>
    <row r="7" spans="1:8">
      <c r="A7" s="3219" t="s">
        <v>3134</v>
      </c>
      <c r="B7" s="3218">
        <v>51</v>
      </c>
      <c r="C7" s="3218">
        <v>0</v>
      </c>
      <c r="D7" s="3218">
        <v>1</v>
      </c>
      <c r="E7" s="3219" t="s">
        <v>3135</v>
      </c>
      <c r="F7" s="3219">
        <v>4</v>
      </c>
      <c r="G7" s="3219" t="s">
        <v>3135</v>
      </c>
      <c r="H7" s="3218"/>
    </row>
    <row r="8" spans="1:8">
      <c r="A8" s="3219" t="s">
        <v>3136</v>
      </c>
      <c r="B8" s="3218">
        <v>33</v>
      </c>
      <c r="C8" s="3218">
        <v>0</v>
      </c>
      <c r="D8" s="3218">
        <v>1</v>
      </c>
      <c r="E8" s="3219" t="s">
        <v>3135</v>
      </c>
      <c r="F8" s="3219">
        <v>4</v>
      </c>
      <c r="G8" s="3219" t="s">
        <v>3135</v>
      </c>
      <c r="H8" s="3218"/>
    </row>
    <row r="9" spans="1:8">
      <c r="A9" s="3220" t="s">
        <v>3140</v>
      </c>
      <c r="B9" s="3218">
        <f>SUM(B4:B8)</f>
        <v>65010</v>
      </c>
      <c r="C9" s="3218">
        <f>SUM(C4:C8)</f>
        <v>30741</v>
      </c>
      <c r="D9" s="3216"/>
      <c r="E9" s="3216"/>
      <c r="F9" s="3216"/>
      <c r="G9" s="3216"/>
      <c r="H9" s="3216"/>
    </row>
    <row r="11" spans="1:8">
      <c r="B11" s="3203" t="s">
        <v>3153</v>
      </c>
      <c r="E11" s="3203" t="s">
        <v>3154</v>
      </c>
    </row>
    <row r="12" spans="1:8">
      <c r="A12" s="3369" t="s">
        <v>3150</v>
      </c>
      <c r="B12" s="3370"/>
      <c r="D12" s="3371" t="s">
        <v>3150</v>
      </c>
      <c r="E12" s="3372"/>
    </row>
    <row r="13" spans="1:8" ht="40.5">
      <c r="A13" s="3220" t="s">
        <v>3147</v>
      </c>
      <c r="B13" s="3222" t="s">
        <v>3141</v>
      </c>
      <c r="D13" s="3222" t="s">
        <v>3147</v>
      </c>
      <c r="E13" s="3222" t="s">
        <v>3152</v>
      </c>
    </row>
    <row r="14" spans="1:8" ht="27">
      <c r="A14" s="3222" t="s">
        <v>3148</v>
      </c>
      <c r="B14" s="3222" t="s">
        <v>3142</v>
      </c>
      <c r="D14" s="3222" t="s">
        <v>3148</v>
      </c>
      <c r="E14" s="3222" t="s">
        <v>3142</v>
      </c>
    </row>
    <row r="15" spans="1:8" ht="27">
      <c r="A15" s="3220" t="s">
        <v>3149</v>
      </c>
      <c r="B15" s="3222" t="s">
        <v>3143</v>
      </c>
      <c r="D15" s="3222" t="s">
        <v>3149</v>
      </c>
      <c r="E15" s="3222" t="s">
        <v>3151</v>
      </c>
    </row>
    <row r="16" spans="1:8">
      <c r="A16" s="3220" t="s">
        <v>3146</v>
      </c>
      <c r="B16" s="3223">
        <v>8930.3189999999995</v>
      </c>
      <c r="D16" s="3222" t="s">
        <v>3146</v>
      </c>
      <c r="E16" s="3223">
        <v>11878.852699999999</v>
      </c>
    </row>
    <row r="17" spans="1:17">
      <c r="A17" s="3220" t="s">
        <v>3144</v>
      </c>
      <c r="B17" s="3224">
        <v>57783</v>
      </c>
      <c r="D17" s="3222" t="s">
        <v>3144</v>
      </c>
      <c r="E17" s="3224">
        <v>57779</v>
      </c>
    </row>
    <row r="18" spans="1:17">
      <c r="A18" s="3220" t="s">
        <v>3145</v>
      </c>
      <c r="B18" s="3223">
        <v>6699.63</v>
      </c>
      <c r="D18" s="3222" t="s">
        <v>3145</v>
      </c>
      <c r="E18" s="3223">
        <v>6301.84</v>
      </c>
    </row>
    <row r="19" spans="1:17">
      <c r="A19" s="3221" t="s">
        <v>3184</v>
      </c>
      <c r="B19" s="3246">
        <v>11407433</v>
      </c>
      <c r="D19" s="3247" t="s">
        <v>3184</v>
      </c>
      <c r="E19" s="3246">
        <v>13936754</v>
      </c>
    </row>
    <row r="20" spans="1:17">
      <c r="A20" s="3221" t="s">
        <v>3185</v>
      </c>
      <c r="B20" s="3246">
        <v>78323926</v>
      </c>
      <c r="D20" s="3247" t="s">
        <v>3185</v>
      </c>
      <c r="E20" s="3246">
        <v>92993625</v>
      </c>
    </row>
    <row r="21" spans="1:17">
      <c r="A21" s="3221"/>
      <c r="B21" s="3246">
        <v>-428169</v>
      </c>
      <c r="D21" s="3247"/>
      <c r="E21" s="3246">
        <v>11858148</v>
      </c>
    </row>
    <row r="22" spans="1:17">
      <c r="B22">
        <f>SUM(B19:B21)/10000</f>
        <v>8930.3189999999995</v>
      </c>
      <c r="E22">
        <f>SUM(E19:E21)/10000</f>
        <v>11878.852699999999</v>
      </c>
    </row>
    <row r="23" spans="1:17">
      <c r="A23" s="3221" t="s">
        <v>3155</v>
      </c>
      <c r="B23" s="3216"/>
      <c r="C23" s="3216"/>
      <c r="D23" s="3216"/>
      <c r="E23" s="3216"/>
      <c r="F23" s="3216"/>
      <c r="G23" s="3216"/>
    </row>
    <row r="24" spans="1:17">
      <c r="A24" s="3221" t="s">
        <v>3156</v>
      </c>
      <c r="B24" s="3215" t="s">
        <v>3163</v>
      </c>
      <c r="C24" s="3216"/>
      <c r="D24" s="3216"/>
      <c r="E24" s="3221" t="s">
        <v>3156</v>
      </c>
      <c r="F24" s="3215" t="s">
        <v>3164</v>
      </c>
      <c r="G24" s="3216"/>
      <c r="J24" s="3203" t="s">
        <v>3166</v>
      </c>
      <c r="K24" s="3203" t="s">
        <v>3167</v>
      </c>
      <c r="M24" s="3203" t="s">
        <v>3170</v>
      </c>
      <c r="N24" s="3203" t="s">
        <v>3171</v>
      </c>
      <c r="O24" s="3203" t="s">
        <v>3167</v>
      </c>
      <c r="Q24" s="3203" t="s">
        <v>3175</v>
      </c>
    </row>
    <row r="25" spans="1:17">
      <c r="A25" s="3221" t="s">
        <v>3157</v>
      </c>
      <c r="B25" s="3216">
        <v>18</v>
      </c>
      <c r="C25" s="3216">
        <v>28500.02</v>
      </c>
      <c r="D25" s="3216"/>
      <c r="E25" s="3221" t="s">
        <v>3157</v>
      </c>
      <c r="F25" s="3216">
        <v>26</v>
      </c>
      <c r="G25" s="3216">
        <v>38306.730000000003</v>
      </c>
      <c r="I25" s="3203" t="s">
        <v>3165</v>
      </c>
      <c r="J25">
        <v>175</v>
      </c>
      <c r="K25">
        <v>10390.25</v>
      </c>
      <c r="L25">
        <f>K25/J25</f>
        <v>59.372857142857143</v>
      </c>
      <c r="M25">
        <v>51.95</v>
      </c>
      <c r="N25">
        <v>103.91</v>
      </c>
      <c r="O25">
        <f>N25*25+M25*150</f>
        <v>10390.25</v>
      </c>
      <c r="P25" s="3203" t="s">
        <v>3174</v>
      </c>
      <c r="Q25">
        <v>8206.2000000000007</v>
      </c>
    </row>
    <row r="26" spans="1:17">
      <c r="A26" s="3221"/>
      <c r="B26" s="3216"/>
      <c r="C26" s="3216"/>
      <c r="D26" s="3216"/>
      <c r="E26" s="3221" t="s">
        <v>3158</v>
      </c>
      <c r="F26" s="3216">
        <v>1</v>
      </c>
      <c r="G26" s="3216">
        <v>206.19</v>
      </c>
      <c r="I26" s="3203" t="s">
        <v>3168</v>
      </c>
      <c r="J26">
        <v>50</v>
      </c>
      <c r="K26">
        <v>8093.83</v>
      </c>
      <c r="P26" s="3203" t="s">
        <v>3173</v>
      </c>
    </row>
    <row r="27" spans="1:17">
      <c r="A27" s="3221" t="s">
        <v>3140</v>
      </c>
      <c r="B27" s="3216">
        <f>SUM(B25:B26)</f>
        <v>18</v>
      </c>
      <c r="C27" s="3216">
        <f>SUM(C25:C26)</f>
        <v>28500.02</v>
      </c>
      <c r="D27" s="3216"/>
      <c r="E27" s="3221" t="s">
        <v>3140</v>
      </c>
      <c r="F27" s="3216">
        <f>SUM(F25:F26)</f>
        <v>27</v>
      </c>
      <c r="G27" s="3216">
        <f>SUM(G25:G26)</f>
        <v>38512.920000000006</v>
      </c>
      <c r="I27" s="3203" t="s">
        <v>3169</v>
      </c>
      <c r="J27">
        <v>1</v>
      </c>
      <c r="K27">
        <v>1837.75</v>
      </c>
      <c r="P27" s="3203" t="s">
        <v>3172</v>
      </c>
    </row>
    <row r="28" spans="1:17">
      <c r="A28" s="3221" t="s">
        <v>3159</v>
      </c>
      <c r="B28" s="3216"/>
      <c r="C28" s="3216"/>
      <c r="E28" s="3221" t="s">
        <v>3159</v>
      </c>
      <c r="I28" s="3203" t="s">
        <v>3176</v>
      </c>
      <c r="J28">
        <f>SUM(J25:J27)</f>
        <v>226</v>
      </c>
      <c r="K28">
        <f>SUM(K25:K27)</f>
        <v>20321.830000000002</v>
      </c>
    </row>
    <row r="29" spans="1:17">
      <c r="A29" s="3277" t="s">
        <v>3375</v>
      </c>
      <c r="B29" s="3216">
        <v>1714.22</v>
      </c>
      <c r="C29" s="3373" t="s">
        <v>3160</v>
      </c>
      <c r="E29" s="3203" t="s">
        <v>3373</v>
      </c>
      <c r="F29" s="3225">
        <v>206.19</v>
      </c>
      <c r="G29" s="3373" t="s">
        <v>3160</v>
      </c>
      <c r="J29" s="3203" t="s">
        <v>3366</v>
      </c>
      <c r="K29" s="3203" t="s">
        <v>3368</v>
      </c>
      <c r="L29" s="3203" t="s">
        <v>3369</v>
      </c>
      <c r="M29" s="3203" t="s">
        <v>3370</v>
      </c>
      <c r="N29" s="3203" t="s">
        <v>3372</v>
      </c>
      <c r="O29" s="3203" t="s">
        <v>3371</v>
      </c>
    </row>
    <row r="30" spans="1:17">
      <c r="A30" s="3277" t="s">
        <v>3376</v>
      </c>
      <c r="B30" s="3216">
        <v>1714.22</v>
      </c>
      <c r="C30" s="3373"/>
      <c r="E30" s="3203" t="s">
        <v>3383</v>
      </c>
      <c r="F30">
        <v>272.73</v>
      </c>
      <c r="G30" s="3374"/>
      <c r="I30" s="3203" t="s">
        <v>3197</v>
      </c>
      <c r="J30">
        <v>-201</v>
      </c>
      <c r="K30">
        <v>8.7899999999999991</v>
      </c>
    </row>
    <row r="31" spans="1:17">
      <c r="A31" s="3277" t="s">
        <v>3377</v>
      </c>
      <c r="B31" s="3216">
        <v>1714.22</v>
      </c>
      <c r="C31" s="3373"/>
      <c r="E31" s="3203" t="s">
        <v>3391</v>
      </c>
      <c r="F31">
        <v>1631.18</v>
      </c>
      <c r="G31" s="3374"/>
      <c r="J31">
        <v>-202</v>
      </c>
      <c r="K31">
        <v>34.49</v>
      </c>
    </row>
    <row r="32" spans="1:17">
      <c r="A32" s="3277" t="s">
        <v>3378</v>
      </c>
      <c r="B32" s="3216">
        <v>1714.22</v>
      </c>
      <c r="C32" s="3373"/>
      <c r="E32" s="3203" t="s">
        <v>3392</v>
      </c>
      <c r="F32" s="3284">
        <v>450.05</v>
      </c>
      <c r="G32" s="3374"/>
      <c r="J32">
        <v>-203</v>
      </c>
      <c r="K32">
        <v>17.579999999999998</v>
      </c>
    </row>
    <row r="33" spans="1:16">
      <c r="A33" s="3277" t="s">
        <v>3379</v>
      </c>
      <c r="B33" s="3216">
        <v>1714.22</v>
      </c>
      <c r="C33" s="3373"/>
      <c r="E33" s="3203" t="s">
        <v>3393</v>
      </c>
      <c r="F33" s="3284">
        <v>1090.3699999999999</v>
      </c>
      <c r="G33" s="3374"/>
      <c r="J33">
        <v>-204</v>
      </c>
      <c r="K33">
        <v>18.2</v>
      </c>
      <c r="L33">
        <f>SUM(K30:K33)</f>
        <v>79.06</v>
      </c>
      <c r="M33">
        <v>0</v>
      </c>
      <c r="N33">
        <v>79.06</v>
      </c>
      <c r="O33">
        <f>L33-M33-N33</f>
        <v>0</v>
      </c>
    </row>
    <row r="34" spans="1:16">
      <c r="A34" s="3277" t="s">
        <v>3384</v>
      </c>
      <c r="B34" s="3216">
        <v>1714.22</v>
      </c>
      <c r="C34" s="3373" t="s">
        <v>3161</v>
      </c>
      <c r="E34" s="3203" t="s">
        <v>3394</v>
      </c>
      <c r="F34" s="3284">
        <v>683.12</v>
      </c>
      <c r="G34" s="3374"/>
      <c r="I34" s="3203" t="s">
        <v>3198</v>
      </c>
      <c r="J34" s="3203" t="s">
        <v>3199</v>
      </c>
      <c r="K34">
        <v>6194.66</v>
      </c>
      <c r="O34">
        <f t="shared" ref="O34:O36" si="0">L34-M34-N34</f>
        <v>0</v>
      </c>
    </row>
    <row r="35" spans="1:16">
      <c r="A35" s="3277" t="s">
        <v>3385</v>
      </c>
      <c r="B35" s="3216">
        <v>1714.22</v>
      </c>
      <c r="C35" s="3374"/>
      <c r="E35" s="3203" t="s">
        <v>3395</v>
      </c>
      <c r="F35">
        <v>1538.28</v>
      </c>
      <c r="G35" s="3374"/>
      <c r="J35" s="3203" t="s">
        <v>3200</v>
      </c>
      <c r="K35">
        <v>514.09</v>
      </c>
      <c r="L35">
        <f>SUM(K34:K35)</f>
        <v>6708.75</v>
      </c>
      <c r="M35">
        <f>6194.66-152.3-117.37-112.76-968.59-113.66</f>
        <v>4729.9799999999996</v>
      </c>
      <c r="N35">
        <v>0</v>
      </c>
      <c r="O35">
        <f>L35-M35-N35</f>
        <v>1978.7700000000004</v>
      </c>
      <c r="P35">
        <v>3</v>
      </c>
    </row>
    <row r="36" spans="1:16">
      <c r="A36" s="3245">
        <v>1001</v>
      </c>
      <c r="B36" s="3216">
        <v>1714.22</v>
      </c>
      <c r="C36" s="3374"/>
      <c r="D36">
        <f>SUM(B36:B40)+1428.9</f>
        <v>10000</v>
      </c>
      <c r="E36" s="3203" t="s">
        <v>3396</v>
      </c>
      <c r="F36">
        <v>1629.86</v>
      </c>
      <c r="G36" s="3374"/>
      <c r="I36" s="3203" t="s">
        <v>3201</v>
      </c>
      <c r="J36" s="3203" t="s">
        <v>3202</v>
      </c>
      <c r="K36">
        <f>1820.11-514.09</f>
        <v>1306.02</v>
      </c>
      <c r="L36">
        <f>K36</f>
        <v>1306.02</v>
      </c>
      <c r="M36">
        <v>0</v>
      </c>
      <c r="N36">
        <v>0</v>
      </c>
      <c r="O36">
        <f t="shared" si="0"/>
        <v>1306.02</v>
      </c>
      <c r="P36">
        <v>5</v>
      </c>
    </row>
    <row r="37" spans="1:16">
      <c r="A37" s="3245">
        <v>1101</v>
      </c>
      <c r="B37" s="3216">
        <v>1714.22</v>
      </c>
      <c r="C37" s="3374"/>
      <c r="E37" s="3203" t="s">
        <v>3397</v>
      </c>
      <c r="F37">
        <v>1629.86</v>
      </c>
      <c r="G37" s="3374"/>
      <c r="K37">
        <f>SUM(K30:K36)</f>
        <v>8093.83</v>
      </c>
      <c r="L37">
        <f t="shared" ref="L37" si="1">SUM(L33:L36)</f>
        <v>8093.83</v>
      </c>
      <c r="M37">
        <f>SUM(M33:M36)</f>
        <v>4729.9799999999996</v>
      </c>
      <c r="N37">
        <f>SUM(N33:N36)</f>
        <v>79.06</v>
      </c>
      <c r="O37">
        <f>L37-M37-N37</f>
        <v>3284.7900000000004</v>
      </c>
      <c r="P37">
        <f>ROUND((P35*O35+P36*O36)/O37,2)</f>
        <v>3.8</v>
      </c>
    </row>
    <row r="38" spans="1:16">
      <c r="A38" s="3245">
        <v>1201</v>
      </c>
      <c r="B38" s="3216">
        <v>1714.22</v>
      </c>
      <c r="C38" s="3374"/>
      <c r="E38" s="3203" t="s">
        <v>3398</v>
      </c>
      <c r="F38">
        <v>1629.86</v>
      </c>
      <c r="G38" s="3374"/>
    </row>
    <row r="39" spans="1:16">
      <c r="A39" s="3245">
        <v>1301</v>
      </c>
      <c r="B39" s="3216">
        <v>1714.22</v>
      </c>
      <c r="C39" s="3374"/>
      <c r="E39" s="3203" t="s">
        <v>3399</v>
      </c>
      <c r="F39">
        <v>1629.86</v>
      </c>
      <c r="G39" s="3374"/>
    </row>
    <row r="40" spans="1:16">
      <c r="A40" s="3245">
        <v>1401</v>
      </c>
      <c r="B40" s="3216">
        <v>1714.22</v>
      </c>
      <c r="C40" s="3373" t="s">
        <v>3162</v>
      </c>
      <c r="E40" s="3203" t="s">
        <v>3400</v>
      </c>
      <c r="F40">
        <v>1629.86</v>
      </c>
      <c r="G40" s="3373" t="s">
        <v>3161</v>
      </c>
      <c r="I40" s="3203"/>
    </row>
    <row r="41" spans="1:16">
      <c r="A41" s="3245">
        <v>1501</v>
      </c>
      <c r="B41" s="3216">
        <v>1714.22</v>
      </c>
      <c r="C41" s="3373"/>
      <c r="E41" s="3282" t="s">
        <v>3401</v>
      </c>
      <c r="F41">
        <v>1629.86</v>
      </c>
      <c r="G41" s="3373"/>
    </row>
    <row r="42" spans="1:16">
      <c r="A42" s="3277" t="s">
        <v>3386</v>
      </c>
      <c r="B42" s="3216">
        <v>1714.22</v>
      </c>
      <c r="C42" s="3373"/>
      <c r="E42" s="3203" t="s">
        <v>3402</v>
      </c>
      <c r="F42">
        <v>1629.86</v>
      </c>
      <c r="G42" s="3373"/>
    </row>
    <row r="43" spans="1:16">
      <c r="A43" s="3277" t="s">
        <v>3387</v>
      </c>
      <c r="B43" s="3283">
        <v>861.97</v>
      </c>
      <c r="C43" s="3373"/>
      <c r="E43" s="3203" t="s">
        <v>3403</v>
      </c>
      <c r="F43">
        <v>1629.86</v>
      </c>
      <c r="G43" s="3373"/>
    </row>
    <row r="44" spans="1:16">
      <c r="A44" s="3277" t="s">
        <v>3388</v>
      </c>
      <c r="B44" s="3216">
        <v>1212.99</v>
      </c>
      <c r="C44" s="3373"/>
      <c r="E44" s="3203" t="s">
        <v>3404</v>
      </c>
      <c r="F44">
        <v>1629.86</v>
      </c>
      <c r="G44" s="3373"/>
    </row>
    <row r="45" spans="1:16">
      <c r="A45" s="3277" t="s">
        <v>3389</v>
      </c>
      <c r="B45" s="3216">
        <v>1212.99</v>
      </c>
      <c r="C45" s="3373"/>
      <c r="E45" s="3203" t="s">
        <v>3405</v>
      </c>
      <c r="F45">
        <v>1629.86</v>
      </c>
      <c r="G45" s="3373"/>
    </row>
    <row r="46" spans="1:16">
      <c r="A46" s="3277" t="s">
        <v>3390</v>
      </c>
      <c r="B46" s="3216">
        <v>1212.99</v>
      </c>
      <c r="C46" s="3373"/>
      <c r="E46" s="3203" t="s">
        <v>3406</v>
      </c>
      <c r="F46">
        <v>1634.24</v>
      </c>
      <c r="G46" s="3373"/>
    </row>
    <row r="47" spans="1:16">
      <c r="A47" s="3215" t="s">
        <v>3140</v>
      </c>
      <c r="B47" s="3216">
        <f>SUM(B29:B46)</f>
        <v>28500.020000000008</v>
      </c>
      <c r="C47" s="3215"/>
      <c r="E47" s="3203" t="s">
        <v>3407</v>
      </c>
      <c r="F47">
        <v>1634.24</v>
      </c>
      <c r="G47" s="3373"/>
    </row>
    <row r="48" spans="1:16">
      <c r="A48" s="3203" t="s">
        <v>3187</v>
      </c>
      <c r="B48" s="3227" t="s">
        <v>3189</v>
      </c>
      <c r="C48" s="3203" t="s">
        <v>3191</v>
      </c>
      <c r="D48" s="3203" t="s">
        <v>3192</v>
      </c>
      <c r="E48" s="3203" t="s">
        <v>3408</v>
      </c>
      <c r="F48">
        <v>1634.24</v>
      </c>
      <c r="G48" s="3373" t="s">
        <v>3162</v>
      </c>
    </row>
    <row r="49" spans="1:7">
      <c r="A49" s="3226">
        <v>27373</v>
      </c>
      <c r="B49" s="3217">
        <v>15439</v>
      </c>
      <c r="C49">
        <v>4814</v>
      </c>
      <c r="D49">
        <f>B49-C49</f>
        <v>10625</v>
      </c>
      <c r="E49" s="3203" t="s">
        <v>3409</v>
      </c>
      <c r="F49">
        <v>1634.24</v>
      </c>
      <c r="G49" s="3374"/>
    </row>
    <row r="50" spans="1:7">
      <c r="A50" s="3226">
        <f>37437+200</f>
        <v>37637</v>
      </c>
      <c r="B50" s="3217">
        <v>15302</v>
      </c>
      <c r="C50">
        <v>3250</v>
      </c>
      <c r="D50">
        <f>B50-C50</f>
        <v>12052</v>
      </c>
      <c r="E50" s="3203" t="s">
        <v>3410</v>
      </c>
      <c r="F50">
        <v>1634.24</v>
      </c>
      <c r="G50" s="3374"/>
    </row>
    <row r="51" spans="1:7">
      <c r="A51">
        <f>SUM(A49:A50)</f>
        <v>65010</v>
      </c>
      <c r="B51">
        <f t="shared" ref="B51:C51" si="2">SUM(B49:B50)</f>
        <v>30741</v>
      </c>
      <c r="C51">
        <f t="shared" si="2"/>
        <v>8064</v>
      </c>
      <c r="D51">
        <f>SUM(D49:D50)</f>
        <v>22677</v>
      </c>
      <c r="E51" s="3203" t="s">
        <v>3411</v>
      </c>
      <c r="F51">
        <v>1634.24</v>
      </c>
      <c r="G51" s="3374"/>
    </row>
    <row r="52" spans="1:7">
      <c r="C52" s="3217"/>
      <c r="D52" s="3203" t="s">
        <v>3193</v>
      </c>
      <c r="E52" s="3203" t="s">
        <v>3412</v>
      </c>
      <c r="F52">
        <v>1634.24</v>
      </c>
      <c r="G52" s="3374"/>
    </row>
    <row r="53" spans="1:7">
      <c r="C53" s="3217"/>
      <c r="E53" s="3203" t="s">
        <v>3413</v>
      </c>
      <c r="F53">
        <v>1634.24</v>
      </c>
      <c r="G53" s="3374"/>
    </row>
    <row r="54" spans="1:7">
      <c r="C54" s="3217"/>
      <c r="E54" s="3203" t="s">
        <v>3414</v>
      </c>
      <c r="F54">
        <v>1634.24</v>
      </c>
      <c r="G54" s="3374"/>
    </row>
    <row r="55" spans="1:7">
      <c r="C55" s="3217"/>
      <c r="E55" s="3203" t="s">
        <v>3415</v>
      </c>
      <c r="F55">
        <v>1634.24</v>
      </c>
      <c r="G55" s="3374"/>
    </row>
    <row r="56" spans="1:7">
      <c r="A56" s="3203"/>
      <c r="E56" s="3203" t="s">
        <v>3140</v>
      </c>
      <c r="F56">
        <f>SUM(F29:F55)</f>
        <v>38512.920000000006</v>
      </c>
    </row>
  </sheetData>
  <mergeCells count="13">
    <mergeCell ref="A1:H1"/>
    <mergeCell ref="A12:B12"/>
    <mergeCell ref="D12:E12"/>
    <mergeCell ref="G48:G55"/>
    <mergeCell ref="B2:C2"/>
    <mergeCell ref="D2:E2"/>
    <mergeCell ref="F2:G2"/>
    <mergeCell ref="A2:A3"/>
    <mergeCell ref="C29:C33"/>
    <mergeCell ref="C40:C46"/>
    <mergeCell ref="C34:C39"/>
    <mergeCell ref="G29:G39"/>
    <mergeCell ref="G40:G47"/>
  </mergeCells>
  <phoneticPr fontId="14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hidden="1" customWidth="1"/>
    <col min="19" max="19" width="10.875" style="1726" hidden="1" customWidth="1"/>
    <col min="20" max="21" width="10.75" style="1726" hidden="1" customWidth="1"/>
    <col min="22" max="22" width="10.875" style="1726" hidden="1" customWidth="1"/>
    <col min="23" max="27" width="10.75" style="1726" hidden="1" customWidth="1"/>
    <col min="28" max="28" width="10.875" style="1726" hidden="1" customWidth="1"/>
    <col min="29" max="29" width="11" style="1726" bestFit="1" customWidth="1"/>
    <col min="30" max="30" width="10" style="1726" hidden="1" customWidth="1"/>
    <col min="31" max="31" width="9.75" style="1726" hidden="1" customWidth="1"/>
    <col min="32" max="37" width="9.5" style="1726" hidden="1" customWidth="1"/>
    <col min="38"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信息!B18+信息!E18</f>
        <v>13001.470000000001</v>
      </c>
      <c r="B3" s="14">
        <f>IF(C3="否",G5-AT5,G5)</f>
        <v>95540.97</v>
      </c>
      <c r="C3" s="1733" t="s">
        <v>3194</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1696</v>
      </c>
      <c r="B5" s="1499"/>
      <c r="C5" s="1499"/>
      <c r="D5" s="1501"/>
      <c r="E5" s="16" t="s">
        <v>1</v>
      </c>
      <c r="F5" s="16">
        <f>SUM(F13:F587)</f>
        <v>0</v>
      </c>
      <c r="G5" s="16">
        <f>SUM(G13:G587)</f>
        <v>95540.97</v>
      </c>
      <c r="H5" s="16">
        <f t="shared" ref="H5:AT5" si="0">SUM(H13:H656)</f>
        <v>85211.77</v>
      </c>
      <c r="I5" s="16">
        <f t="shared" si="0"/>
        <v>18214.700000000008</v>
      </c>
      <c r="J5" s="16">
        <f t="shared" si="0"/>
        <v>0</v>
      </c>
      <c r="K5" s="16">
        <f t="shared" si="0"/>
        <v>10285.32</v>
      </c>
      <c r="L5" s="16">
        <f t="shared" si="0"/>
        <v>0</v>
      </c>
      <c r="M5" s="16">
        <f t="shared" si="0"/>
        <v>38306.730000000003</v>
      </c>
      <c r="N5" s="16">
        <f t="shared" si="0"/>
        <v>0</v>
      </c>
      <c r="O5" s="16">
        <f t="shared" si="0"/>
        <v>8014.77</v>
      </c>
      <c r="P5" s="16">
        <f t="shared" si="0"/>
        <v>0</v>
      </c>
      <c r="Q5" s="16">
        <f t="shared" si="0"/>
        <v>10390.25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206.19</v>
      </c>
      <c r="AM5" s="16">
        <f t="shared" si="0"/>
        <v>0</v>
      </c>
      <c r="AN5" s="16">
        <f t="shared" si="0"/>
        <v>1916.81</v>
      </c>
      <c r="AO5" s="16">
        <f t="shared" si="0"/>
        <v>0</v>
      </c>
      <c r="AP5" s="16">
        <f t="shared" si="0"/>
        <v>0</v>
      </c>
      <c r="AQ5" s="16">
        <f t="shared" si="0"/>
        <v>0</v>
      </c>
      <c r="AR5" s="16">
        <f t="shared" si="0"/>
        <v>0</v>
      </c>
      <c r="AS5" s="16">
        <f t="shared" si="0"/>
        <v>0</v>
      </c>
      <c r="AT5" s="16">
        <f t="shared" si="0"/>
        <v>8206.2000000000007</v>
      </c>
      <c r="AU5" s="1498"/>
      <c r="AV5" s="15" t="s">
        <v>1696</v>
      </c>
      <c r="AW5" s="1499"/>
      <c r="AX5" s="1499"/>
      <c r="AY5" s="17" t="s">
        <v>3</v>
      </c>
      <c r="AZ5" s="18">
        <f t="shared" ref="AZ5:BT5" si="1">SUM(AZ13:AZ656)</f>
        <v>70196.47</v>
      </c>
      <c r="BA5" s="18">
        <f t="shared" si="1"/>
        <v>70196.47</v>
      </c>
      <c r="BB5" s="18">
        <f t="shared" si="1"/>
        <v>18214.700000000008</v>
      </c>
      <c r="BC5" s="18">
        <f t="shared" si="1"/>
        <v>0</v>
      </c>
      <c r="BD5" s="18">
        <f t="shared" si="1"/>
        <v>38306.730000000003</v>
      </c>
      <c r="BE5" s="18">
        <f t="shared" si="1"/>
        <v>3284.7900000000004</v>
      </c>
      <c r="BF5" s="18">
        <f t="shared" si="1"/>
        <v>10390.25</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1697</v>
      </c>
      <c r="B6" s="1739"/>
      <c r="C6" s="1739"/>
      <c r="D6" s="1740"/>
      <c r="E6" s="16">
        <f>H6+AC6+AT6</f>
        <v>13001.449999999999</v>
      </c>
      <c r="F6" s="16" t="s">
        <v>1</v>
      </c>
      <c r="G6" s="16" t="s">
        <v>2</v>
      </c>
      <c r="H6" s="20">
        <f>SUMIF(I$12:AB$12,"总值",I6:AB6)</f>
        <v>11595.83</v>
      </c>
      <c r="I6" s="16">
        <f t="shared" ref="I6:AB6" si="2">ROUND($A$3*I5/$B$3,2)</f>
        <v>2478.6999999999998</v>
      </c>
      <c r="J6" s="16">
        <f t="shared" si="2"/>
        <v>0</v>
      </c>
      <c r="K6" s="16">
        <f t="shared" si="2"/>
        <v>1399.65</v>
      </c>
      <c r="L6" s="16">
        <f t="shared" si="2"/>
        <v>0</v>
      </c>
      <c r="M6" s="16">
        <f t="shared" si="2"/>
        <v>5212.88</v>
      </c>
      <c r="N6" s="16">
        <f t="shared" si="2"/>
        <v>0</v>
      </c>
      <c r="O6" s="16">
        <f t="shared" si="2"/>
        <v>1090.67</v>
      </c>
      <c r="P6" s="16">
        <f t="shared" si="2"/>
        <v>0</v>
      </c>
      <c r="Q6" s="16">
        <f t="shared" si="2"/>
        <v>1413.93</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288.89999999999998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28.06</v>
      </c>
      <c r="AM6" s="16">
        <f t="shared" si="3"/>
        <v>0</v>
      </c>
      <c r="AN6" s="16">
        <f t="shared" si="3"/>
        <v>260.83999999999997</v>
      </c>
      <c r="AO6" s="16">
        <f t="shared" si="3"/>
        <v>0</v>
      </c>
      <c r="AP6" s="16">
        <f t="shared" si="3"/>
        <v>0</v>
      </c>
      <c r="AQ6" s="16">
        <f t="shared" si="3"/>
        <v>0</v>
      </c>
      <c r="AR6" s="16">
        <f t="shared" si="3"/>
        <v>0</v>
      </c>
      <c r="AS6" s="16">
        <f t="shared" si="3"/>
        <v>0</v>
      </c>
      <c r="AT6" s="20">
        <f>IF(C3="是",ROUND($A$3*AT5/$B$3,2),0)</f>
        <v>1116.72</v>
      </c>
      <c r="AU6" s="1741"/>
      <c r="AV6" s="15" t="s">
        <v>1697</v>
      </c>
      <c r="AW6" s="1739"/>
      <c r="AX6" s="1739"/>
      <c r="AY6" s="21">
        <f>IF(AY3&gt;0,AY3,ROUND($A$3*AZ5/$B$3,2))</f>
        <v>9552.52</v>
      </c>
      <c r="AZ6" s="16" t="s">
        <v>3</v>
      </c>
      <c r="BA6" s="16">
        <f>ROUND($AY$6*BA5/$AZ$5,2)</f>
        <v>9552.52</v>
      </c>
      <c r="BB6" s="16">
        <f>ROUND($AY$6*BB5/$AZ$5,2)</f>
        <v>2478.6999999999998</v>
      </c>
      <c r="BC6" s="16">
        <f t="shared" ref="BC6:BH6" si="4">ROUND($AY$6*BC5/$AZ$5,2)</f>
        <v>0</v>
      </c>
      <c r="BD6" s="16">
        <f t="shared" si="4"/>
        <v>5212.88</v>
      </c>
      <c r="BE6" s="16">
        <f t="shared" si="4"/>
        <v>447</v>
      </c>
      <c r="BF6" s="16">
        <f t="shared" si="4"/>
        <v>1413.93</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1698</v>
      </c>
      <c r="B7" s="1722" t="s">
        <v>1699</v>
      </c>
      <c r="C7" s="1722" t="s">
        <v>1700</v>
      </c>
      <c r="D7" s="1722" t="s">
        <v>1701</v>
      </c>
      <c r="E7" s="1722" t="s">
        <v>1702</v>
      </c>
      <c r="F7" s="1722" t="s">
        <v>1703</v>
      </c>
      <c r="G7" s="1743" t="s">
        <v>1704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1705</v>
      </c>
      <c r="AV7" s="23" t="s">
        <v>1706</v>
      </c>
      <c r="AW7" s="1731" t="s">
        <v>1707</v>
      </c>
      <c r="AX7" s="23" t="s">
        <v>1700</v>
      </c>
      <c r="AY7" s="1499" t="s">
        <v>1708</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1709</v>
      </c>
      <c r="H8" s="1749" t="s">
        <v>1710</v>
      </c>
      <c r="I8" s="1750"/>
      <c r="J8" s="1512"/>
      <c r="K8" s="1512"/>
      <c r="L8" s="1512"/>
      <c r="M8" s="1512"/>
      <c r="N8" s="1512"/>
      <c r="O8" s="1512"/>
      <c r="P8" s="1512"/>
      <c r="Q8" s="1512"/>
      <c r="R8" s="1512"/>
      <c r="S8" s="1512"/>
      <c r="T8" s="1512"/>
      <c r="U8" s="1512"/>
      <c r="V8" s="1751"/>
      <c r="W8" s="1512"/>
      <c r="X8" s="1512"/>
      <c r="Y8" s="1512"/>
      <c r="Z8" s="1512"/>
      <c r="AA8" s="1751"/>
      <c r="AB8" s="1752"/>
      <c r="AC8" s="917" t="s">
        <v>1711</v>
      </c>
      <c r="AD8" s="1753"/>
      <c r="AE8" s="1745"/>
      <c r="AF8" s="1512"/>
      <c r="AG8" s="1512"/>
      <c r="AH8" s="1512"/>
      <c r="AI8" s="1512"/>
      <c r="AJ8" s="1512"/>
      <c r="AK8" s="1512"/>
      <c r="AL8" s="1512"/>
      <c r="AM8" s="1512"/>
      <c r="AN8" s="1512"/>
      <c r="AO8" s="1512"/>
      <c r="AP8" s="1512"/>
      <c r="AQ8" s="1512"/>
      <c r="AR8" s="1512"/>
      <c r="AS8" s="1512"/>
      <c r="AT8" s="1201" t="s">
        <v>1712</v>
      </c>
      <c r="AU8" s="1747" t="s">
        <v>1713</v>
      </c>
      <c r="AV8" s="1201"/>
      <c r="AW8" s="1730"/>
      <c r="AX8" s="1201"/>
      <c r="AY8" s="1731" t="s">
        <v>1714</v>
      </c>
      <c r="AZ8" s="1511" t="s">
        <v>1715</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1"/>
      <c r="H9" s="1755" t="s">
        <v>1716</v>
      </c>
      <c r="I9" s="1756" t="s">
        <v>3186</v>
      </c>
      <c r="J9" s="917"/>
      <c r="K9" s="1756" t="s">
        <v>3186</v>
      </c>
      <c r="L9" s="917"/>
      <c r="M9" s="1756" t="s">
        <v>3186</v>
      </c>
      <c r="N9" s="917"/>
      <c r="O9" s="1756" t="s">
        <v>3188</v>
      </c>
      <c r="P9" s="917"/>
      <c r="Q9" s="1756" t="s">
        <v>3188</v>
      </c>
      <c r="R9" s="917"/>
      <c r="S9" s="1756"/>
      <c r="T9" s="917"/>
      <c r="U9" s="1756"/>
      <c r="V9" s="917"/>
      <c r="W9" s="1756"/>
      <c r="X9" s="1757"/>
      <c r="Y9" s="1756"/>
      <c r="Z9" s="917"/>
      <c r="AA9" s="1756"/>
      <c r="AB9" s="917"/>
      <c r="AC9" s="1748"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8"/>
      <c r="AT9" s="1747"/>
      <c r="AU9" s="1747" t="s">
        <v>1719</v>
      </c>
      <c r="AV9" s="1201"/>
      <c r="AW9" s="1730"/>
      <c r="AX9" s="1201"/>
      <c r="AY9" s="28"/>
      <c r="AZ9" s="28" t="s">
        <v>1709</v>
      </c>
      <c r="BA9" s="1759" t="s">
        <v>1720</v>
      </c>
      <c r="BB9" s="1760"/>
      <c r="BC9" s="1219"/>
      <c r="BD9" s="1219"/>
      <c r="BE9" s="1219"/>
      <c r="BF9" s="1219"/>
      <c r="BG9" s="1219"/>
      <c r="BH9" s="1219"/>
      <c r="BI9" s="1219"/>
      <c r="BJ9" s="1219"/>
      <c r="BK9" s="1761"/>
      <c r="BL9" s="15" t="s">
        <v>1721</v>
      </c>
      <c r="BM9" s="1512"/>
      <c r="BN9" s="1750"/>
      <c r="BO9" s="1512"/>
      <c r="BP9" s="1512"/>
      <c r="BQ9" s="1512"/>
      <c r="BR9" s="1512"/>
      <c r="BS9" s="1512"/>
      <c r="BT9" s="26"/>
    </row>
    <row r="10" spans="1:72" s="1754" customFormat="1" ht="12.75">
      <c r="A10" s="1747"/>
      <c r="B10" s="1747"/>
      <c r="C10" s="1747"/>
      <c r="D10" s="1747"/>
      <c r="E10" s="1747"/>
      <c r="F10" s="1747"/>
      <c r="G10" s="1201"/>
      <c r="H10" s="28"/>
      <c r="I10" s="1756" t="s">
        <v>27</v>
      </c>
      <c r="J10" s="917"/>
      <c r="K10" s="1762" t="s">
        <v>27</v>
      </c>
      <c r="L10" s="917"/>
      <c r="M10" s="1762" t="s">
        <v>27</v>
      </c>
      <c r="N10" s="917"/>
      <c r="O10" s="1762" t="s">
        <v>27</v>
      </c>
      <c r="P10" s="917"/>
      <c r="Q10" s="1762" t="s">
        <v>3203</v>
      </c>
      <c r="R10" s="917"/>
      <c r="S10" s="1762"/>
      <c r="T10" s="917"/>
      <c r="U10" s="1762"/>
      <c r="V10" s="917"/>
      <c r="W10" s="1762"/>
      <c r="X10" s="917"/>
      <c r="Y10" s="1762"/>
      <c r="Z10" s="917"/>
      <c r="AA10" s="1762"/>
      <c r="AB10" s="917"/>
      <c r="AC10" s="1201"/>
      <c r="AD10" s="15" t="s">
        <v>1722</v>
      </c>
      <c r="AE10" s="1763"/>
      <c r="AF10" s="15" t="s">
        <v>1722</v>
      </c>
      <c r="AG10" s="1763"/>
      <c r="AH10" s="15" t="s">
        <v>1723</v>
      </c>
      <c r="AI10" s="1763"/>
      <c r="AJ10" s="15" t="s">
        <v>1723</v>
      </c>
      <c r="AK10" s="1763"/>
      <c r="AL10" s="15" t="s">
        <v>1724</v>
      </c>
      <c r="AM10" s="1207"/>
      <c r="AN10" s="15" t="s">
        <v>1724</v>
      </c>
      <c r="AO10" s="1207"/>
      <c r="AP10" s="15" t="s">
        <v>1725</v>
      </c>
      <c r="AQ10" s="1207"/>
      <c r="AR10" s="15" t="s">
        <v>1725</v>
      </c>
      <c r="AS10" s="1207"/>
      <c r="AT10" s="1747"/>
      <c r="AU10" s="1747"/>
      <c r="AV10" s="1201"/>
      <c r="AW10" s="1730"/>
      <c r="AX10" s="1201"/>
      <c r="AY10" s="28"/>
      <c r="AZ10" s="28"/>
      <c r="BA10" s="1764" t="s">
        <v>1716</v>
      </c>
      <c r="BB10" s="176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1716</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1"/>
      <c r="H11" s="1764"/>
      <c r="I11" s="1767" t="s">
        <v>3195</v>
      </c>
      <c r="J11" s="1768"/>
      <c r="K11" s="1767" t="s">
        <v>3195</v>
      </c>
      <c r="L11" s="1768"/>
      <c r="M11" s="1767" t="s">
        <v>3195</v>
      </c>
      <c r="N11" s="1768"/>
      <c r="O11" s="1767"/>
      <c r="P11" s="1768"/>
      <c r="Q11" s="1767" t="s">
        <v>3190</v>
      </c>
      <c r="R11" s="1768"/>
      <c r="S11" s="1767"/>
      <c r="T11" s="1768"/>
      <c r="U11" s="1767"/>
      <c r="V11" s="1768"/>
      <c r="W11" s="1767"/>
      <c r="X11" s="1768"/>
      <c r="Y11" s="1767"/>
      <c r="Z11" s="1768"/>
      <c r="AA11" s="1767"/>
      <c r="AB11" s="1768"/>
      <c r="AC11" s="1201"/>
      <c r="AD11" s="1769" t="s">
        <v>1726</v>
      </c>
      <c r="AE11" s="1513"/>
      <c r="AF11" s="1769" t="s">
        <v>1726</v>
      </c>
      <c r="AG11" s="1513"/>
      <c r="AH11" s="1769" t="s">
        <v>1727</v>
      </c>
      <c r="AI11" s="1770"/>
      <c r="AJ11" s="1769" t="s">
        <v>1727</v>
      </c>
      <c r="AK11" s="1513"/>
      <c r="AL11" s="1511"/>
      <c r="AM11" s="1513"/>
      <c r="AN11" s="1511"/>
      <c r="AO11" s="1513"/>
      <c r="AP11" s="1511"/>
      <c r="AQ11" s="1513"/>
      <c r="AR11" s="1511"/>
      <c r="AS11" s="1513"/>
      <c r="AT11" s="1730"/>
      <c r="AU11" s="1747"/>
      <c r="AV11" s="1201"/>
      <c r="AW11" s="1730"/>
      <c r="AX11" s="1201"/>
      <c r="AY11" s="28"/>
      <c r="AZ11" s="28"/>
      <c r="BA11" s="28"/>
      <c r="BB11" s="1752" t="str">
        <f>I10</f>
        <v>办公</v>
      </c>
      <c r="BC11" s="1752" t="str">
        <f>K10</f>
        <v>办公</v>
      </c>
      <c r="BD11" s="1752" t="str">
        <f>M10</f>
        <v>办公</v>
      </c>
      <c r="BE11" s="1752" t="str">
        <f>O10</f>
        <v>办公</v>
      </c>
      <c r="BF11" s="1752" t="str">
        <f>Q10</f>
        <v>车库—办公</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8" t="s">
        <v>1729</v>
      </c>
      <c r="W12" s="11" t="s">
        <v>1728</v>
      </c>
      <c r="X12" s="11" t="s">
        <v>1729</v>
      </c>
      <c r="Y12" s="11" t="s">
        <v>1728</v>
      </c>
      <c r="Z12" s="11" t="s">
        <v>1729</v>
      </c>
      <c r="AA12" s="11" t="s">
        <v>1728</v>
      </c>
      <c r="AB12" s="11" t="s">
        <v>1729</v>
      </c>
      <c r="AC12" s="1774"/>
      <c r="AD12" s="1501"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2" t="s">
        <v>1729</v>
      </c>
      <c r="AT12" s="1775"/>
      <c r="AU12" s="1772"/>
      <c r="AV12" s="31"/>
      <c r="AW12" s="1731"/>
      <c r="AX12" s="31"/>
      <c r="AY12" s="1776"/>
      <c r="AZ12" s="28"/>
      <c r="BA12" s="1764"/>
      <c r="BB12" s="24" t="str">
        <f>I11</f>
        <v>办公楼</v>
      </c>
      <c r="BC12" s="1777" t="str">
        <f>K11</f>
        <v>办公楼</v>
      </c>
      <c r="BD12" s="1777" t="str">
        <f>M11</f>
        <v>办公楼</v>
      </c>
      <c r="BE12" s="1752">
        <f>O11</f>
        <v>0</v>
      </c>
      <c r="BF12" s="1752" t="str">
        <f>Q11</f>
        <v>车库</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1"/>
      <c r="B13" s="1181"/>
      <c r="C13" s="1181"/>
      <c r="D13" s="1778" t="s">
        <v>3194</v>
      </c>
      <c r="E13" s="16">
        <f>IF($C$3="是",ROUND($A$3*G13/$B$3,2),ROUND($A$3*(G13-AT13)/$B$3,2))</f>
        <v>10669.24</v>
      </c>
      <c r="F13" s="32"/>
      <c r="G13" s="33">
        <f>H13+AC13+AT13</f>
        <v>78402.67</v>
      </c>
      <c r="H13" s="20">
        <f>SUMIF(I$12:AB$12,"总值",I13:AB13)</f>
        <v>70196.47</v>
      </c>
      <c r="I13" s="1779">
        <f>信息!B47-K14</f>
        <v>18214.700000000008</v>
      </c>
      <c r="J13" s="1779"/>
      <c r="K13" s="1779"/>
      <c r="L13" s="1779"/>
      <c r="M13" s="1779">
        <f>信息!F56-信息!F29</f>
        <v>38306.730000000003</v>
      </c>
      <c r="N13" s="1779"/>
      <c r="O13" s="1779">
        <f>信息!O37</f>
        <v>3284.7900000000004</v>
      </c>
      <c r="P13" s="1779"/>
      <c r="Q13" s="1779">
        <f>信息!K25</f>
        <v>10390.25</v>
      </c>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v>0</v>
      </c>
      <c r="AM13" s="1780"/>
      <c r="AN13" s="1780">
        <v>0</v>
      </c>
      <c r="AO13" s="1780"/>
      <c r="AP13" s="1780"/>
      <c r="AQ13" s="1780"/>
      <c r="AR13" s="1780"/>
      <c r="AS13" s="1780"/>
      <c r="AT13" s="1781">
        <f>信息!Q25</f>
        <v>8206.2000000000007</v>
      </c>
      <c r="AU13" s="1782"/>
      <c r="AV13" s="11">
        <f t="shared" ref="AV13:AX17" si="6">A13</f>
        <v>0</v>
      </c>
      <c r="AW13" s="11">
        <f t="shared" si="6"/>
        <v>0</v>
      </c>
      <c r="AX13" s="11">
        <f t="shared" si="6"/>
        <v>0</v>
      </c>
      <c r="AY13" s="1501">
        <f>ROUND($AY$6*AZ13/$AZ$5,2)</f>
        <v>9552.52</v>
      </c>
      <c r="AZ13" s="16">
        <f>BA13+BL13</f>
        <v>70196.47</v>
      </c>
      <c r="BA13" s="16">
        <f>SUM(BB13:BK13)</f>
        <v>70196.47</v>
      </c>
      <c r="BB13" s="16">
        <f>IF($D13="是",I13-J13,0)</f>
        <v>18214.700000000008</v>
      </c>
      <c r="BC13" s="16">
        <f>IF($D13="是",K13-L13,0)</f>
        <v>0</v>
      </c>
      <c r="BD13" s="16">
        <f>IF($D13="是",M13-N13,0)</f>
        <v>38306.730000000003</v>
      </c>
      <c r="BE13" s="16">
        <f>IF($D13="是",O13-P13,0)</f>
        <v>3284.7900000000004</v>
      </c>
      <c r="BF13" s="16">
        <f>IF($D13="是",Q13-R13,0)</f>
        <v>10390.25</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1"/>
      <c r="B14" s="1181"/>
      <c r="C14" s="1723"/>
      <c r="D14" s="1778" t="s">
        <v>3196</v>
      </c>
      <c r="E14" s="16">
        <f>IF($C$3="是",ROUND($A$3*G14/$B$3,2),ROUND($A$3*(G14-AT14)/$B$3,2))</f>
        <v>2332.23</v>
      </c>
      <c r="F14" s="32"/>
      <c r="G14" s="33">
        <f>H14+AC14+AT14</f>
        <v>17138.3</v>
      </c>
      <c r="H14" s="20">
        <f>SUMIF(I$12:AB$12,"总值",I14:AB14)</f>
        <v>15015.3</v>
      </c>
      <c r="I14" s="1779"/>
      <c r="J14" s="1779"/>
      <c r="K14" s="1779">
        <f>SUM(信息!B36:B41)</f>
        <v>10285.32</v>
      </c>
      <c r="L14" s="1779"/>
      <c r="M14" s="1779"/>
      <c r="N14" s="1779"/>
      <c r="O14" s="1779">
        <v>4729.9799999999996</v>
      </c>
      <c r="P14" s="1779"/>
      <c r="Q14" s="1779"/>
      <c r="R14" s="1779"/>
      <c r="S14" s="1779"/>
      <c r="T14" s="1779"/>
      <c r="U14" s="1779"/>
      <c r="V14" s="1779"/>
      <c r="W14" s="1779"/>
      <c r="X14" s="1779"/>
      <c r="Y14" s="1779"/>
      <c r="Z14" s="1779"/>
      <c r="AA14" s="1779"/>
      <c r="AB14" s="1779"/>
      <c r="AC14" s="16">
        <f>SUMIF(AD$12:AS$12,"总值",AD14:AS14)</f>
        <v>2123</v>
      </c>
      <c r="AD14" s="1780"/>
      <c r="AE14" s="1780"/>
      <c r="AF14" s="1780"/>
      <c r="AG14" s="1780"/>
      <c r="AH14" s="1780"/>
      <c r="AI14" s="1780"/>
      <c r="AJ14" s="1780"/>
      <c r="AK14" s="1780"/>
      <c r="AL14" s="1780">
        <v>206.19</v>
      </c>
      <c r="AM14" s="1780"/>
      <c r="AN14" s="1780">
        <f>1837.75+信息!N33</f>
        <v>1916.81</v>
      </c>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5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5" t="s">
        <v>0</v>
      </c>
      <c r="B1" s="3375" t="s">
        <v>4</v>
      </c>
      <c r="C1" s="3375" t="s">
        <v>5</v>
      </c>
      <c r="D1" s="3376" t="s">
        <v>53</v>
      </c>
      <c r="E1" s="3376" t="s">
        <v>54</v>
      </c>
      <c r="F1" s="3376"/>
      <c r="G1" s="3376"/>
      <c r="H1" s="3376"/>
      <c r="I1" s="3376"/>
      <c r="J1" s="3376"/>
      <c r="K1" s="3376"/>
      <c r="L1" s="3376"/>
      <c r="M1" s="3376"/>
    </row>
    <row r="2" spans="1:13" ht="27" customHeight="1">
      <c r="A2" s="3375"/>
      <c r="B2" s="3375"/>
      <c r="C2" s="3375"/>
      <c r="D2" s="3376"/>
      <c r="E2" s="3376" t="s">
        <v>37</v>
      </c>
      <c r="F2" s="3376" t="s">
        <v>38</v>
      </c>
      <c r="G2" s="3376"/>
      <c r="H2" s="3376"/>
      <c r="I2" s="3376"/>
      <c r="J2" s="3376" t="s">
        <v>39</v>
      </c>
      <c r="K2" s="3376"/>
      <c r="L2" s="3376"/>
      <c r="M2" s="3376"/>
    </row>
    <row r="3" spans="1:13" ht="28.5">
      <c r="A3" s="3375"/>
      <c r="B3" s="3375"/>
      <c r="C3" s="3375"/>
      <c r="D3" s="3376"/>
      <c r="E3" s="33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6" t="s">
        <v>55</v>
      </c>
      <c r="B9" s="3376"/>
      <c r="C9" s="33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2"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1755</v>
      </c>
      <c r="B1" s="1271"/>
      <c r="C1" s="1271"/>
      <c r="D1" s="1271"/>
      <c r="E1" s="1271"/>
      <c r="F1" s="1271"/>
      <c r="G1" s="1271"/>
      <c r="H1" s="1271"/>
      <c r="I1" s="1271"/>
      <c r="J1" s="1271"/>
      <c r="K1" s="1271"/>
      <c r="L1" s="1271"/>
      <c r="M1" s="1271"/>
      <c r="N1" s="1271"/>
      <c r="O1" s="1271"/>
      <c r="P1" s="1271"/>
    </row>
    <row r="2" spans="1:16" ht="15">
      <c r="A2" s="3386" t="s">
        <v>1756</v>
      </c>
      <c r="B2" s="3386"/>
      <c r="C2" s="3386"/>
      <c r="D2" s="903" t="s">
        <v>1732</v>
      </c>
      <c r="E2" s="1792" t="s">
        <v>1733</v>
      </c>
      <c r="F2" s="2852"/>
      <c r="G2" s="2843"/>
      <c r="H2" s="2844"/>
      <c r="I2" s="2515" t="s">
        <v>1757</v>
      </c>
      <c r="J2" s="2852"/>
      <c r="K2" s="2852"/>
      <c r="L2" s="2852"/>
      <c r="M2" s="2852"/>
      <c r="N2" s="2854"/>
      <c r="O2" s="2852"/>
      <c r="P2" s="2852"/>
    </row>
    <row r="3" spans="1:16" ht="15.75" thickBot="1">
      <c r="A3" s="3387" t="s">
        <v>1730</v>
      </c>
      <c r="B3" s="3387"/>
      <c r="C3" s="3387"/>
      <c r="D3" s="46">
        <f>'数据-基础表'!AY6</f>
        <v>9552.52</v>
      </c>
      <c r="E3" s="46">
        <f>'数据-基础表'!AZ5</f>
        <v>70196.47</v>
      </c>
      <c r="F3" s="2852"/>
      <c r="G3" s="1277"/>
      <c r="H3" s="1156" t="s">
        <v>1731</v>
      </c>
      <c r="I3" s="963">
        <f>ROUND('数据-基础表'!B3/'数据-基础表'!A3,2)</f>
        <v>7.35</v>
      </c>
      <c r="J3" s="2852"/>
      <c r="K3" s="2852"/>
      <c r="L3" s="2852"/>
      <c r="M3" s="2852"/>
      <c r="N3" s="2854"/>
      <c r="O3" s="2852"/>
      <c r="P3" s="2852"/>
    </row>
    <row r="4" spans="1:16" ht="15">
      <c r="A4" s="3388"/>
      <c r="B4" s="3389"/>
      <c r="C4" s="3390"/>
      <c r="D4" s="1794" t="s">
        <v>1732</v>
      </c>
      <c r="E4" s="1795" t="s">
        <v>1733</v>
      </c>
      <c r="F4" s="2852"/>
      <c r="G4" s="2845" t="s">
        <v>1758</v>
      </c>
      <c r="H4" s="1156" t="s">
        <v>1738</v>
      </c>
      <c r="I4" s="963">
        <f>ROUND(SUMIF('数据-基础表'!I9:AS9,"地上",'数据-基础表'!I5:AS5)/'数据-基础表'!A3,2)</f>
        <v>5.15</v>
      </c>
      <c r="J4" s="2852"/>
      <c r="K4" s="2852"/>
      <c r="L4" s="2852"/>
      <c r="M4" s="2852"/>
      <c r="N4" s="2854"/>
      <c r="O4" s="2852"/>
      <c r="P4" s="2852"/>
    </row>
    <row r="5" spans="1:16">
      <c r="A5" s="47" t="s">
        <v>1734</v>
      </c>
      <c r="B5" s="3391" t="s">
        <v>1735</v>
      </c>
      <c r="C5" s="3391"/>
      <c r="D5" s="48">
        <f>ROUND($D$3*E5/$E$3,2)</f>
        <v>0</v>
      </c>
      <c r="E5" s="49">
        <f>SUMIF('数据-基础表'!$11:$11,"住宅",'数据-基础表'!$5:$5)</f>
        <v>0</v>
      </c>
      <c r="F5" s="2852"/>
      <c r="G5" s="1277"/>
      <c r="H5" s="1156" t="s">
        <v>1731</v>
      </c>
      <c r="I5" s="963">
        <f>ROUND(E31/D31,2)</f>
        <v>7.35</v>
      </c>
      <c r="J5" s="2852"/>
      <c r="K5" s="2852"/>
      <c r="L5" s="2852"/>
      <c r="M5" s="2852"/>
      <c r="N5" s="2852"/>
      <c r="O5" s="2852"/>
      <c r="P5" s="2852"/>
    </row>
    <row r="6" spans="1:16" ht="15" thickBot="1">
      <c r="A6" s="1797"/>
      <c r="B6" s="3391" t="s">
        <v>1736</v>
      </c>
      <c r="C6" s="3391"/>
      <c r="D6" s="48">
        <f>ROUND($D$3*E6/$E$3,2)</f>
        <v>9552.52</v>
      </c>
      <c r="E6" s="49">
        <f>E3-E5</f>
        <v>70196.47</v>
      </c>
      <c r="F6" s="2852"/>
      <c r="G6" s="2846" t="s">
        <v>1737</v>
      </c>
      <c r="H6" s="1278" t="s">
        <v>1738</v>
      </c>
      <c r="I6" s="2847">
        <f>ROUND(F31/D31,2)</f>
        <v>5.92</v>
      </c>
      <c r="J6" s="2852"/>
      <c r="K6" s="2852"/>
      <c r="L6" s="2852"/>
      <c r="M6" s="2852"/>
      <c r="N6" s="2852"/>
      <c r="O6" s="2852"/>
      <c r="P6" s="2852"/>
    </row>
    <row r="7" spans="1:16" ht="15.75" thickBot="1">
      <c r="A7" s="3383"/>
      <c r="B7" s="3384"/>
      <c r="C7" s="3385"/>
      <c r="D7" s="1794" t="s">
        <v>1732</v>
      </c>
      <c r="E7" s="1798" t="s">
        <v>1739</v>
      </c>
      <c r="F7" s="2852"/>
      <c r="G7" s="2848" t="s">
        <v>1740</v>
      </c>
      <c r="H7" s="2849"/>
      <c r="I7" s="2850">
        <v>5</v>
      </c>
      <c r="J7" s="2852"/>
      <c r="K7" s="2852"/>
      <c r="L7" s="2852"/>
      <c r="M7" s="2852"/>
      <c r="N7" s="2852"/>
      <c r="O7" s="2852"/>
      <c r="P7" s="2852"/>
    </row>
    <row r="8" spans="1:16">
      <c r="A8" s="47" t="s">
        <v>1741</v>
      </c>
      <c r="B8" s="50" t="s">
        <v>1742</v>
      </c>
      <c r="C8" s="48" t="s">
        <v>1743</v>
      </c>
      <c r="D8" s="48">
        <f t="shared" ref="D8:D15" si="0">ROUND($D$3*E8/$E$3,2)</f>
        <v>7691.58</v>
      </c>
      <c r="E8" s="51">
        <f>SUMIF('数据-基础表'!BB10:BK10,"地上",'数据-基础表'!BB5:BK5)</f>
        <v>56521.430000000008</v>
      </c>
      <c r="F8" s="2852"/>
      <c r="G8" s="2853"/>
      <c r="H8" s="2853"/>
      <c r="I8" s="2852"/>
      <c r="J8" s="2852"/>
      <c r="K8" s="2852"/>
      <c r="L8" s="2852"/>
      <c r="M8" s="2852"/>
      <c r="N8" s="2852"/>
      <c r="O8" s="2852"/>
      <c r="P8" s="2852"/>
    </row>
    <row r="9" spans="1:16">
      <c r="A9" s="1799"/>
      <c r="B9" s="1800"/>
      <c r="C9" s="48" t="s">
        <v>1744</v>
      </c>
      <c r="D9" s="48">
        <f t="shared" si="0"/>
        <v>0</v>
      </c>
      <c r="E9" s="52">
        <v>0</v>
      </c>
      <c r="F9" s="2852"/>
      <c r="G9" s="2853"/>
      <c r="H9" s="2853"/>
      <c r="I9" s="2852"/>
      <c r="J9" s="2852"/>
      <c r="K9" s="2852"/>
      <c r="L9" s="2852"/>
      <c r="M9" s="2852"/>
      <c r="N9" s="2852"/>
      <c r="O9" s="2852"/>
      <c r="P9" s="2852"/>
    </row>
    <row r="10" spans="1:16">
      <c r="A10" s="1799"/>
      <c r="B10" s="1800"/>
      <c r="C10" s="48" t="s">
        <v>1753</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9"/>
      <c r="B11" s="1800"/>
      <c r="C11" s="48" t="s">
        <v>1745</v>
      </c>
      <c r="D11" s="48">
        <f t="shared" si="0"/>
        <v>447</v>
      </c>
      <c r="E11" s="51">
        <f>SUMPRODUCT(('数据-基础表'!BB10:BK10="地下")*('数据-基础表'!BB11:BK11="办公")*('数据-基础表'!BB5:BK5))+'数据-基础表'!BP5</f>
        <v>3284.7900000000004</v>
      </c>
      <c r="F11" s="2852"/>
      <c r="G11" s="2853"/>
      <c r="H11" s="2853"/>
      <c r="I11" s="2852"/>
      <c r="J11" s="2852"/>
      <c r="K11" s="2852"/>
      <c r="L11" s="2852"/>
      <c r="M11" s="2852"/>
      <c r="N11" s="2852"/>
      <c r="O11" s="2852"/>
      <c r="P11" s="2852"/>
    </row>
    <row r="12" spans="1:16">
      <c r="A12" s="1799"/>
      <c r="B12" s="1800"/>
      <c r="C12" s="48" t="s">
        <v>1746</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9"/>
      <c r="B13" s="1800"/>
      <c r="C13" s="48" t="s">
        <v>1747</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9"/>
      <c r="B14" s="1800"/>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9"/>
      <c r="B15" s="1800"/>
      <c r="C15" s="48" t="s">
        <v>1754</v>
      </c>
      <c r="D15" s="48">
        <f t="shared" si="0"/>
        <v>1413.93</v>
      </c>
      <c r="E15" s="51">
        <f>SUMPRODUCT(('数据-基础表'!BB10:BK10="地下")*('数据-基础表'!BB11:BK11="车库—办公")*('数据-基础表'!BB5:BK5))</f>
        <v>10390.25</v>
      </c>
      <c r="F15" s="2852"/>
      <c r="G15" s="2853"/>
      <c r="H15" s="2853"/>
      <c r="I15" s="2852"/>
      <c r="J15" s="2852"/>
      <c r="K15" s="2852"/>
      <c r="L15" s="2852"/>
      <c r="M15" s="2852"/>
      <c r="N15" s="2852"/>
      <c r="O15" s="2852"/>
      <c r="P15" s="2852"/>
    </row>
    <row r="16" spans="1:16" ht="15.75" thickBot="1">
      <c r="A16" s="1797"/>
      <c r="B16" s="1800"/>
      <c r="C16" s="50" t="s">
        <v>1748</v>
      </c>
      <c r="D16" s="50">
        <f>SUM(D8:D15)</f>
        <v>9552.51</v>
      </c>
      <c r="E16" s="53">
        <f>SUM(E8:E15)</f>
        <v>70196.47</v>
      </c>
      <c r="F16" s="2852"/>
      <c r="G16" s="2853"/>
      <c r="H16" s="1801" t="s">
        <v>1760</v>
      </c>
      <c r="I16" s="1802"/>
      <c r="J16" s="1271"/>
      <c r="K16" s="3380" t="s">
        <v>1760</v>
      </c>
      <c r="L16" s="3381"/>
      <c r="M16" s="3381"/>
      <c r="N16" s="3381"/>
      <c r="O16" s="3381"/>
      <c r="P16" s="3382"/>
    </row>
    <row r="17" spans="1:19" ht="15">
      <c r="A17" s="1803" t="s">
        <v>1761</v>
      </c>
      <c r="B17" s="1804" t="s">
        <v>1762</v>
      </c>
      <c r="C17" s="1805" t="s">
        <v>1763</v>
      </c>
      <c r="D17" s="1806" t="s">
        <v>1751</v>
      </c>
      <c r="E17" s="1807" t="s">
        <v>1752</v>
      </c>
      <c r="F17" s="1808"/>
      <c r="G17" s="1809"/>
      <c r="H17" s="1810" t="s">
        <v>1764</v>
      </c>
      <c r="I17" s="1811" t="s">
        <v>1749</v>
      </c>
      <c r="J17" s="1271"/>
      <c r="K17" s="3377" t="s">
        <v>1765</v>
      </c>
      <c r="L17" s="3378"/>
      <c r="M17" s="3379"/>
      <c r="N17" s="3377" t="s">
        <v>1766</v>
      </c>
      <c r="O17" s="3378"/>
      <c r="P17" s="3379"/>
      <c r="R17" s="1793" t="s">
        <v>1767</v>
      </c>
      <c r="S17" s="60"/>
    </row>
    <row r="18" spans="1:19" ht="15">
      <c r="A18" s="1799"/>
      <c r="B18" s="1812"/>
      <c r="C18" s="1813"/>
      <c r="D18" s="1814"/>
      <c r="E18" s="1815" t="s">
        <v>1768</v>
      </c>
      <c r="F18" s="1816" t="s">
        <v>1769</v>
      </c>
      <c r="G18" s="1817" t="s">
        <v>1770</v>
      </c>
      <c r="H18" s="1171" t="s">
        <v>1771</v>
      </c>
      <c r="I18" s="1818" t="s">
        <v>1772</v>
      </c>
      <c r="J18" s="1271"/>
      <c r="K18" s="1171" t="s">
        <v>1773</v>
      </c>
      <c r="L18" s="1819" t="s">
        <v>1774</v>
      </c>
      <c r="M18" s="963" t="s">
        <v>1775</v>
      </c>
      <c r="N18" s="1171" t="s">
        <v>1773</v>
      </c>
      <c r="O18" s="1819" t="s">
        <v>1774</v>
      </c>
      <c r="P18" s="963" t="s">
        <v>1775</v>
      </c>
      <c r="R18" s="1156" t="s">
        <v>1776</v>
      </c>
      <c r="S18" s="1156" t="s">
        <v>1777</v>
      </c>
    </row>
    <row r="19" spans="1:19">
      <c r="A19" s="1820"/>
      <c r="B19" s="50" t="s">
        <v>1750</v>
      </c>
      <c r="C19" s="3248" t="s">
        <v>3417</v>
      </c>
      <c r="D19" s="48">
        <f>ROUND($D$3*E19/$E$3,2)</f>
        <v>7691.58</v>
      </c>
      <c r="E19" s="56">
        <f t="shared" ref="E19:E26" si="1">SUM(F19:G19)</f>
        <v>56521.430000000008</v>
      </c>
      <c r="F19" s="2992">
        <f>'数据-基础表'!I13+'数据-基础表'!M13</f>
        <v>56521.430000000008</v>
      </c>
      <c r="G19" s="2993"/>
      <c r="H19" s="679">
        <f>ROUND($D$3*I19/$E$3,2)</f>
        <v>0</v>
      </c>
      <c r="I19" s="51">
        <f t="shared" ref="I19:I26" si="2">IF($I$17="自定义",P19,M19)</f>
        <v>0</v>
      </c>
      <c r="J19" s="1271"/>
      <c r="K19" s="1270">
        <f t="shared" ref="K19:K26" si="3">ROUND(E$28*E19/E$27,2)</f>
        <v>0</v>
      </c>
      <c r="L19" s="1156">
        <f t="shared" ref="L19:L26" si="4">ROUND(IF(COUNTIF(C19,"*住宅*")&gt;0,E$29*E19/E$32,0),2)</f>
        <v>0</v>
      </c>
      <c r="M19" s="1282">
        <f>K19+L19</f>
        <v>0</v>
      </c>
      <c r="N19" s="1821"/>
      <c r="O19" s="1822"/>
      <c r="P19" s="1282">
        <f>N19+O19</f>
        <v>0</v>
      </c>
      <c r="R19" s="1156">
        <f t="shared" ref="R19:S26" si="5">D19+H19</f>
        <v>7691.58</v>
      </c>
      <c r="S19" s="1157">
        <f t="shared" si="5"/>
        <v>56521.430000000008</v>
      </c>
    </row>
    <row r="20" spans="1:19">
      <c r="A20" s="1823"/>
      <c r="B20" s="50" t="s">
        <v>1778</v>
      </c>
      <c r="C20" s="3248" t="s">
        <v>3205</v>
      </c>
      <c r="D20" s="48">
        <f t="shared" ref="D20:D26" si="6">ROUND($D$3*E20/$E$3,2)</f>
        <v>447</v>
      </c>
      <c r="E20" s="56">
        <f t="shared" si="1"/>
        <v>3284.7900000000004</v>
      </c>
      <c r="F20" s="2992"/>
      <c r="G20" s="2993">
        <f>'数据-基础表'!O13</f>
        <v>3284.7900000000004</v>
      </c>
      <c r="H20" s="679">
        <f t="shared" ref="H20:H26" si="7">ROUND($D$3*I20/$E$3,2)</f>
        <v>0</v>
      </c>
      <c r="I20" s="51">
        <f t="shared" si="2"/>
        <v>0</v>
      </c>
      <c r="J20" s="1271"/>
      <c r="K20" s="1270">
        <f t="shared" si="3"/>
        <v>0</v>
      </c>
      <c r="L20" s="1156">
        <f t="shared" si="4"/>
        <v>0</v>
      </c>
      <c r="M20" s="1282">
        <f t="shared" ref="M20:M26" si="8">K20+L20</f>
        <v>0</v>
      </c>
      <c r="N20" s="1821"/>
      <c r="O20" s="1822"/>
      <c r="P20" s="1282">
        <f t="shared" ref="P20:P26" si="9">N20+O20</f>
        <v>0</v>
      </c>
      <c r="R20" s="1156">
        <f t="shared" si="5"/>
        <v>447</v>
      </c>
      <c r="S20" s="1157">
        <f t="shared" si="5"/>
        <v>3284.7900000000004</v>
      </c>
    </row>
    <row r="21" spans="1:19">
      <c r="A21" s="1823"/>
      <c r="B21" s="50" t="s">
        <v>1778</v>
      </c>
      <c r="C21" s="3248" t="s">
        <v>3206</v>
      </c>
      <c r="D21" s="48">
        <f t="shared" si="6"/>
        <v>1413.93</v>
      </c>
      <c r="E21" s="56">
        <f t="shared" si="1"/>
        <v>10390.25</v>
      </c>
      <c r="F21" s="2992"/>
      <c r="G21" s="2993">
        <f>'数据-基础表'!Q13</f>
        <v>10390.25</v>
      </c>
      <c r="H21" s="679">
        <f t="shared" si="7"/>
        <v>0</v>
      </c>
      <c r="I21" s="51">
        <f t="shared" si="2"/>
        <v>0</v>
      </c>
      <c r="J21" s="1271"/>
      <c r="K21" s="1270">
        <f t="shared" si="3"/>
        <v>0</v>
      </c>
      <c r="L21" s="1156">
        <f t="shared" si="4"/>
        <v>0</v>
      </c>
      <c r="M21" s="1282">
        <f t="shared" si="8"/>
        <v>0</v>
      </c>
      <c r="N21" s="1821"/>
      <c r="O21" s="1822"/>
      <c r="P21" s="1282">
        <f t="shared" si="9"/>
        <v>0</v>
      </c>
      <c r="R21" s="1156">
        <f t="shared" si="5"/>
        <v>1413.93</v>
      </c>
      <c r="S21" s="1157">
        <f t="shared" si="5"/>
        <v>10390.25</v>
      </c>
    </row>
    <row r="22" spans="1:19">
      <c r="A22" s="1823"/>
      <c r="B22" s="50" t="s">
        <v>1778</v>
      </c>
      <c r="C22" s="3285"/>
      <c r="D22" s="48">
        <f t="shared" si="6"/>
        <v>0</v>
      </c>
      <c r="E22" s="56">
        <f t="shared" si="1"/>
        <v>0</v>
      </c>
      <c r="F22" s="2994"/>
      <c r="G22" s="2995"/>
      <c r="H22" s="679">
        <f t="shared" si="7"/>
        <v>0</v>
      </c>
      <c r="I22" s="51">
        <f t="shared" si="2"/>
        <v>0</v>
      </c>
      <c r="J22" s="1271"/>
      <c r="K22" s="1270">
        <f t="shared" si="3"/>
        <v>0</v>
      </c>
      <c r="L22" s="1156">
        <f t="shared" si="4"/>
        <v>0</v>
      </c>
      <c r="M22" s="1282">
        <f t="shared" si="8"/>
        <v>0</v>
      </c>
      <c r="N22" s="1821"/>
      <c r="O22" s="1822"/>
      <c r="P22" s="1282">
        <f t="shared" si="9"/>
        <v>0</v>
      </c>
      <c r="R22" s="1156">
        <f t="shared" si="5"/>
        <v>0</v>
      </c>
      <c r="S22" s="1157">
        <f t="shared" si="5"/>
        <v>0</v>
      </c>
    </row>
    <row r="23" spans="1:19">
      <c r="A23" s="1823"/>
      <c r="B23" s="50" t="s">
        <v>1778</v>
      </c>
      <c r="C23" s="58"/>
      <c r="D23" s="48">
        <f>ROUND($D$3*E23/$E$3,2)</f>
        <v>0</v>
      </c>
      <c r="E23" s="56">
        <f>SUM(F23:G23)</f>
        <v>0</v>
      </c>
      <c r="F23" s="2994"/>
      <c r="G23" s="2995"/>
      <c r="H23" s="679">
        <f>ROUND($D$3*I23/$E$3,2)</f>
        <v>0</v>
      </c>
      <c r="I23" s="51">
        <f t="shared" si="2"/>
        <v>0</v>
      </c>
      <c r="J23" s="1271"/>
      <c r="K23" s="1270">
        <f t="shared" si="3"/>
        <v>0</v>
      </c>
      <c r="L23" s="1156">
        <f t="shared" si="4"/>
        <v>0</v>
      </c>
      <c r="M23" s="1282">
        <f t="shared" si="8"/>
        <v>0</v>
      </c>
      <c r="N23" s="1821"/>
      <c r="O23" s="1822"/>
      <c r="P23" s="1282">
        <f t="shared" si="9"/>
        <v>0</v>
      </c>
      <c r="R23" s="1156">
        <f t="shared" si="5"/>
        <v>0</v>
      </c>
      <c r="S23" s="1157">
        <f t="shared" si="5"/>
        <v>0</v>
      </c>
    </row>
    <row r="24" spans="1:19">
      <c r="A24" s="1823"/>
      <c r="B24" s="50" t="s">
        <v>1778</v>
      </c>
      <c r="C24" s="58"/>
      <c r="D24" s="48">
        <f>ROUND($D$3*E24/$E$3,2)</f>
        <v>0</v>
      </c>
      <c r="E24" s="56">
        <f>SUM(F24:G24)</f>
        <v>0</v>
      </c>
      <c r="F24" s="2994"/>
      <c r="G24" s="2995"/>
      <c r="H24" s="679">
        <f>ROUND($D$3*I24/$E$3,2)</f>
        <v>0</v>
      </c>
      <c r="I24" s="51">
        <f t="shared" si="2"/>
        <v>0</v>
      </c>
      <c r="J24" s="1271"/>
      <c r="K24" s="1270">
        <f t="shared" si="3"/>
        <v>0</v>
      </c>
      <c r="L24" s="1156">
        <f t="shared" si="4"/>
        <v>0</v>
      </c>
      <c r="M24" s="1282">
        <f t="shared" si="8"/>
        <v>0</v>
      </c>
      <c r="N24" s="1821"/>
      <c r="O24" s="1822"/>
      <c r="P24" s="1282">
        <f t="shared" si="9"/>
        <v>0</v>
      </c>
      <c r="R24" s="1156">
        <f t="shared" si="5"/>
        <v>0</v>
      </c>
      <c r="S24" s="1157">
        <f t="shared" si="5"/>
        <v>0</v>
      </c>
    </row>
    <row r="25" spans="1:19">
      <c r="A25" s="1823"/>
      <c r="B25" s="50" t="s">
        <v>1778</v>
      </c>
      <c r="C25" s="58"/>
      <c r="D25" s="48">
        <f t="shared" si="6"/>
        <v>0</v>
      </c>
      <c r="E25" s="56">
        <f t="shared" si="1"/>
        <v>0</v>
      </c>
      <c r="F25" s="2994"/>
      <c r="G25" s="2995"/>
      <c r="H25" s="47">
        <f t="shared" si="7"/>
        <v>0</v>
      </c>
      <c r="I25" s="51">
        <f t="shared" si="2"/>
        <v>0</v>
      </c>
      <c r="J25" s="1271"/>
      <c r="K25" s="1270">
        <f t="shared" si="3"/>
        <v>0</v>
      </c>
      <c r="L25" s="1156">
        <f t="shared" si="4"/>
        <v>0</v>
      </c>
      <c r="M25" s="1282">
        <f t="shared" si="8"/>
        <v>0</v>
      </c>
      <c r="N25" s="1821"/>
      <c r="O25" s="1822"/>
      <c r="P25" s="1282">
        <f t="shared" si="9"/>
        <v>0</v>
      </c>
      <c r="R25" s="1156">
        <f t="shared" si="5"/>
        <v>0</v>
      </c>
      <c r="S25" s="1157">
        <f t="shared" si="5"/>
        <v>0</v>
      </c>
    </row>
    <row r="26" spans="1:19">
      <c r="A26" s="1823"/>
      <c r="B26" s="50" t="s">
        <v>1778</v>
      </c>
      <c r="C26" s="59"/>
      <c r="D26" s="48">
        <f t="shared" si="6"/>
        <v>0</v>
      </c>
      <c r="E26" s="56">
        <f t="shared" si="1"/>
        <v>0</v>
      </c>
      <c r="F26" s="2994"/>
      <c r="G26" s="2995"/>
      <c r="H26" s="47">
        <f t="shared" si="7"/>
        <v>0</v>
      </c>
      <c r="I26" s="51">
        <f t="shared" si="2"/>
        <v>0</v>
      </c>
      <c r="J26" s="1271"/>
      <c r="K26" s="1277">
        <f t="shared" si="3"/>
        <v>0</v>
      </c>
      <c r="L26" s="1278">
        <f t="shared" si="4"/>
        <v>0</v>
      </c>
      <c r="M26" s="63">
        <f t="shared" si="8"/>
        <v>0</v>
      </c>
      <c r="N26" s="1824"/>
      <c r="O26" s="1825"/>
      <c r="P26" s="63">
        <f t="shared" si="9"/>
        <v>0</v>
      </c>
      <c r="R26" s="1156">
        <f t="shared" si="5"/>
        <v>0</v>
      </c>
      <c r="S26" s="1157">
        <f t="shared" si="5"/>
        <v>0</v>
      </c>
    </row>
    <row r="27" spans="1:19" ht="29.25" thickBot="1">
      <c r="A27" s="1823"/>
      <c r="B27" s="48"/>
      <c r="C27" s="1826" t="s">
        <v>1779</v>
      </c>
      <c r="D27" s="1272">
        <f>SUM(D19:D26)</f>
        <v>9552.51</v>
      </c>
      <c r="E27" s="1273">
        <f>IF(SUM(E19:E26)='数据-基础表'!BA5,SUM(E19:E26),IF(F27="地上面积有误","面积有误","地下面积有误"))</f>
        <v>70196.47</v>
      </c>
      <c r="F27" s="1272">
        <f>IF(SUM(F19:F26)=E8,SUM(F19:F26),"地上面积有误")</f>
        <v>56521.430000000008</v>
      </c>
      <c r="G27" s="1274">
        <f>SUM(G19:G26)</f>
        <v>13675.04</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8" t="str">
        <f>IF(SUM(R19:R26)=$D$3,SUM(R19:R26),SUM(R19:R26)&amp;"误差"&amp;ROUND(SUM(R19:R26)-$D$3,2))</f>
        <v>9552.51误差-0.01</v>
      </c>
      <c r="S27" s="1156">
        <f>IF(SUM(S19:S26)=$E$3,SUM(S19:S26),SUM(S19:S26)&amp;"误差"&amp;ROUND(SUM(S19:S26)-E3,2))</f>
        <v>70196.47</v>
      </c>
    </row>
    <row r="28" spans="1:19">
      <c r="A28" s="1823"/>
      <c r="B28" s="50" t="s">
        <v>1780</v>
      </c>
      <c r="C28" s="1168"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3"/>
      <c r="B29" s="50" t="s">
        <v>1780</v>
      </c>
      <c r="C29" s="1827"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3"/>
      <c r="B30" s="50"/>
      <c r="C30" s="1828" t="s">
        <v>1779</v>
      </c>
      <c r="D30" s="1272">
        <f>SUM(D28:D29)</f>
        <v>0</v>
      </c>
      <c r="E30" s="1272">
        <f>SUM(E28:E29)</f>
        <v>0</v>
      </c>
      <c r="F30" s="1272">
        <f>SUM(F28:F29)</f>
        <v>0</v>
      </c>
      <c r="G30" s="1274">
        <f>SUM(G28:G29)</f>
        <v>0</v>
      </c>
      <c r="H30" s="2852"/>
      <c r="I30" s="2852"/>
      <c r="J30" s="2852"/>
      <c r="K30" s="2852"/>
      <c r="L30" s="2852"/>
      <c r="M30" s="2852"/>
      <c r="N30" s="2852"/>
      <c r="O30" s="2852"/>
      <c r="P30" s="2852"/>
    </row>
    <row r="31" spans="1:19" ht="15.75" thickBot="1">
      <c r="A31" s="1829"/>
      <c r="B31" s="1830"/>
      <c r="C31" s="943" t="s">
        <v>1783</v>
      </c>
      <c r="D31" s="685">
        <f>D27+D30</f>
        <v>9552.51</v>
      </c>
      <c r="E31" s="685">
        <f>E27+E30</f>
        <v>70196.47</v>
      </c>
      <c r="F31" s="686">
        <f>F27+F30</f>
        <v>56521.430000000008</v>
      </c>
      <c r="G31" s="687">
        <f>G27+G30</f>
        <v>13675.04</v>
      </c>
      <c r="H31" s="2852"/>
      <c r="I31" s="2852"/>
      <c r="J31" s="2852"/>
      <c r="K31" s="2852"/>
      <c r="L31" s="2852"/>
      <c r="M31" s="2852"/>
      <c r="N31" s="2852"/>
      <c r="O31" s="2852"/>
      <c r="P31" s="2852"/>
    </row>
    <row r="32" spans="1:19">
      <c r="A32" s="1796"/>
      <c r="B32" s="1796" t="s">
        <v>1784</v>
      </c>
      <c r="C32" s="1796"/>
      <c r="D32" s="1796"/>
      <c r="E32" s="1183">
        <f>SUMIF(C19:C26,"*住宅*",E19:E26)</f>
        <v>0</v>
      </c>
      <c r="F32" s="1796"/>
      <c r="G32" s="1796"/>
      <c r="H32" s="2852"/>
      <c r="I32" s="2852"/>
      <c r="J32" s="2852"/>
      <c r="K32" s="2852"/>
      <c r="L32" s="2852"/>
      <c r="M32" s="2852"/>
      <c r="N32" s="2852"/>
      <c r="O32" s="2852"/>
      <c r="P32" s="2852"/>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24" width="6.75" style="1835" customWidth="1"/>
    <col min="25" max="25" width="10" style="1835" customWidth="1"/>
    <col min="26" max="30" width="6.75" style="1835"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1785</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6"/>
      <c r="AO1" s="2866"/>
      <c r="AP1" s="2866"/>
      <c r="AQ1" s="2866"/>
      <c r="AR1" s="2866"/>
    </row>
    <row r="2" spans="1:67" s="1712" customFormat="1" ht="15.75" thickBot="1">
      <c r="A2" s="1836" t="s">
        <v>1786</v>
      </c>
      <c r="B2" s="1175">
        <f>项目基本情况!D3</f>
        <v>44665</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8"/>
      <c r="AO2" s="2868"/>
      <c r="AP2" s="2868"/>
      <c r="AQ2" s="2868"/>
      <c r="AR2" s="2868"/>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8"/>
      <c r="AO3" s="2868"/>
      <c r="AP3" s="2868"/>
      <c r="AQ3" s="2868"/>
      <c r="AR3" s="2868"/>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1787</v>
      </c>
      <c r="B4" s="1841"/>
      <c r="C4" s="1842"/>
      <c r="D4" s="1843"/>
      <c r="E4" s="1842" t="s">
        <v>1788</v>
      </c>
      <c r="F4" s="1842"/>
      <c r="G4" s="1842"/>
      <c r="H4" s="1842"/>
      <c r="I4" s="1842"/>
      <c r="J4" s="1844"/>
      <c r="K4" s="1845"/>
      <c r="L4" s="1846"/>
      <c r="M4" s="1842"/>
      <c r="N4" s="1842" t="s">
        <v>1789</v>
      </c>
      <c r="O4" s="1842"/>
      <c r="P4" s="1842"/>
      <c r="Q4" s="1842"/>
      <c r="R4" s="1842"/>
      <c r="S4" s="1844"/>
      <c r="T4" s="2851" t="str">
        <f>'数据-汇总表'!I17</f>
        <v>按面积比例</v>
      </c>
      <c r="U4" s="1841" t="s">
        <v>1790</v>
      </c>
      <c r="V4" s="1842"/>
      <c r="W4" s="1842"/>
      <c r="X4" s="1842"/>
      <c r="Y4" s="1844"/>
      <c r="Z4" s="1805" t="s">
        <v>1791</v>
      </c>
      <c r="AA4" s="1805"/>
      <c r="AB4" s="1805"/>
      <c r="AC4" s="1805"/>
      <c r="AD4" s="1805"/>
      <c r="AE4" s="1803" t="s">
        <v>1792</v>
      </c>
      <c r="AF4" s="1805"/>
      <c r="AG4" s="1847"/>
      <c r="AH4" s="1841"/>
      <c r="AI4" s="1842"/>
      <c r="AJ4" s="1842"/>
      <c r="AK4" s="1842"/>
      <c r="AL4" s="1842"/>
      <c r="AM4" s="1844"/>
      <c r="AN4" s="2868"/>
      <c r="AO4" s="2868"/>
      <c r="AP4" s="2868"/>
      <c r="AQ4" s="2868"/>
      <c r="AR4" s="2868"/>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1793</v>
      </c>
      <c r="B5" s="1849" t="s">
        <v>1794</v>
      </c>
      <c r="C5" s="1850" t="s">
        <v>1795</v>
      </c>
      <c r="D5" s="1851" t="s">
        <v>1796</v>
      </c>
      <c r="E5" s="1177" t="s">
        <v>1797</v>
      </c>
      <c r="F5" s="1852" t="s">
        <v>1798</v>
      </c>
      <c r="G5" s="1177" t="s">
        <v>1799</v>
      </c>
      <c r="H5" s="1177" t="s">
        <v>1800</v>
      </c>
      <c r="I5" s="1177" t="s">
        <v>1801</v>
      </c>
      <c r="J5" s="1853" t="s">
        <v>1802</v>
      </c>
      <c r="K5" s="1854" t="s">
        <v>1803</v>
      </c>
      <c r="L5" s="1855" t="s">
        <v>1804</v>
      </c>
      <c r="M5" s="1856" t="s">
        <v>1805</v>
      </c>
      <c r="N5" s="1857" t="s">
        <v>3207</v>
      </c>
      <c r="O5" s="1855" t="s">
        <v>1806</v>
      </c>
      <c r="P5" s="1858" t="s">
        <v>1807</v>
      </c>
      <c r="Q5" s="65" t="s">
        <v>1808</v>
      </c>
      <c r="R5" s="1859" t="s">
        <v>1809</v>
      </c>
      <c r="S5" s="1860" t="s">
        <v>1810</v>
      </c>
      <c r="T5" s="1861" t="s">
        <v>1811</v>
      </c>
      <c r="U5" s="1176" t="s">
        <v>1812</v>
      </c>
      <c r="V5" s="1177" t="s">
        <v>1813</v>
      </c>
      <c r="W5" s="1177" t="s">
        <v>1814</v>
      </c>
      <c r="X5" s="67"/>
      <c r="Y5" s="66" t="s">
        <v>1815</v>
      </c>
      <c r="Z5" s="1862" t="s">
        <v>1812</v>
      </c>
      <c r="AA5" s="1177" t="s">
        <v>1813</v>
      </c>
      <c r="AB5" s="1177" t="s">
        <v>1814</v>
      </c>
      <c r="AC5" s="67"/>
      <c r="AD5" s="67" t="s">
        <v>1815</v>
      </c>
      <c r="AE5" s="1176" t="s">
        <v>1816</v>
      </c>
      <c r="AF5" s="1177" t="s">
        <v>1817</v>
      </c>
      <c r="AG5" s="66" t="s">
        <v>1818</v>
      </c>
      <c r="AH5" s="1176" t="s">
        <v>1819</v>
      </c>
      <c r="AI5" s="1862" t="s">
        <v>1820</v>
      </c>
      <c r="AJ5" s="1862" t="s">
        <v>1821</v>
      </c>
      <c r="AK5" s="1177" t="s">
        <v>1822</v>
      </c>
      <c r="AL5" s="1177" t="s">
        <v>1823</v>
      </c>
      <c r="AM5" s="66" t="s">
        <v>1824</v>
      </c>
      <c r="AN5" s="1863" t="s">
        <v>1825</v>
      </c>
      <c r="AO5" s="1715" t="s">
        <v>1826</v>
      </c>
      <c r="AP5" s="1158" t="s">
        <v>1827</v>
      </c>
      <c r="AQ5" s="1864" t="s">
        <v>1828</v>
      </c>
      <c r="AR5" s="1864" t="s">
        <v>1829</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办公</v>
      </c>
      <c r="B6" s="1866" t="str">
        <f>IF(A6=0,"","经营性")</f>
        <v>经营性</v>
      </c>
      <c r="C6" s="1867" t="s">
        <v>27</v>
      </c>
      <c r="D6" s="966">
        <f>SUMIF(项目基本情况!D$12:I$12,C6,项目基本情况!D$14:I$14)</f>
        <v>50</v>
      </c>
      <c r="E6" s="965">
        <f>IF(B6="","",SUMIF(项目基本情况!D$12:I$12,C6,项目基本情况!D$13:I$13))</f>
        <v>57779</v>
      </c>
      <c r="F6" s="68">
        <f>SUMIF(项目基本情况!D$12:I$12,C6,项目基本情况!D$15:I$15)</f>
        <v>35.92</v>
      </c>
      <c r="G6" s="69">
        <f>IF(ISERROR(ROUND(POWER(1+H6,D6-F6)*(POWER(1+H6,F6)-1)/(POWER(1+H6,D6)-1),3)),0,ROUND(POWER(1+H6,D6-F6)*(POWER(1+H6,F6)-1)/(POWER(1+H6,D6)-1),3))</f>
        <v>0.90600000000000003</v>
      </c>
      <c r="H6" s="741">
        <v>0.05</v>
      </c>
      <c r="I6" s="741">
        <v>5.5E-2</v>
      </c>
      <c r="J6" s="70">
        <v>7.4999999999999997E-2</v>
      </c>
      <c r="K6" s="1160">
        <f>SUMIF('数据-汇总表'!C$19:C$33,A6,'数据-汇总表'!E$19:E$33)</f>
        <v>56521.430000000008</v>
      </c>
      <c r="L6" s="742">
        <v>5000</v>
      </c>
      <c r="M6" s="71">
        <f t="shared" ref="M6:M14" si="0">ROUND(K6*L6/10000,0)</f>
        <v>28261</v>
      </c>
      <c r="N6" s="740">
        <v>1</v>
      </c>
      <c r="O6" s="71" t="str">
        <f>IF($N$5="成新度","——",ROUND(M6*N6,0))</f>
        <v>——</v>
      </c>
      <c r="P6" s="72" t="str">
        <f>IF($N$5="成新度","——",M6-O6)</f>
        <v>——</v>
      </c>
      <c r="Q6" s="743">
        <v>0.25</v>
      </c>
      <c r="R6" s="73">
        <f ca="1">SUMIF('数据-汇总表'!C$19:C$33,A6,'数据-汇总表'!R$19:R$27)</f>
        <v>7691.58</v>
      </c>
      <c r="S6" s="54">
        <f>IF('数据-汇总表'!$I$17="按面积比例",SUMIF('数据-汇总表'!C$19:C$33,A6,'数据-汇总表'!K$19:K$33),SUMIF('数据-汇总表'!C$19:C$33,A6,'数据-汇总表'!N$19:N$33))</f>
        <v>0</v>
      </c>
      <c r="T6" s="1304">
        <f>ROUND($L$14*S6/10000,0)</f>
        <v>0</v>
      </c>
      <c r="U6" s="3292">
        <v>11.5</v>
      </c>
      <c r="V6" s="75">
        <v>0.03</v>
      </c>
      <c r="W6" s="75">
        <v>0.1</v>
      </c>
      <c r="X6" s="1170"/>
      <c r="Y6" s="76">
        <f>N6</f>
        <v>1</v>
      </c>
      <c r="Z6" s="77"/>
      <c r="AA6" s="70"/>
      <c r="AB6" s="70"/>
      <c r="AC6" s="1170"/>
      <c r="AD6" s="78"/>
      <c r="AE6" s="1171">
        <f ca="1">IF(AN6="",0,SUMIF(INDIRECT("'"&amp;AN6&amp;"'"&amp;"!E:E"),$AE$5,INDIRECT("'"&amp;AN6&amp;"'"&amp;"!F:F")))</f>
        <v>35.92</v>
      </c>
      <c r="AF6" s="1500"/>
      <c r="AG6" s="143">
        <f>IF(AF6="",0,AE6-AF6)</f>
        <v>0</v>
      </c>
      <c r="AH6" s="79"/>
      <c r="AI6" s="81">
        <v>365</v>
      </c>
      <c r="AJ6" s="82"/>
      <c r="AK6" s="83">
        <v>1.4999999999999999E-2</v>
      </c>
      <c r="AL6" s="84">
        <v>1.5E-3</v>
      </c>
      <c r="AM6" s="3293">
        <v>0.03</v>
      </c>
      <c r="AN6" s="1868" t="s">
        <v>3208</v>
      </c>
      <c r="AO6" s="55">
        <f ca="1">SUMIF(INDIRECT("'"&amp;AN6&amp;"'"&amp;"!A:A"),"总价",INDIRECT("'"&amp;AN6&amp;"'"&amp;"!B:B"))</f>
        <v>379546</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地下综合</v>
      </c>
      <c r="B7" s="1866" t="str">
        <f t="shared" ref="B7:B13" si="1">IF(A7=0,"","经营性")</f>
        <v>经营性</v>
      </c>
      <c r="C7" s="1867" t="s">
        <v>27</v>
      </c>
      <c r="D7" s="966">
        <f>SUMIF(项目基本情况!D$12:I$12,C7,项目基本情况!D$14:I$14)</f>
        <v>50</v>
      </c>
      <c r="E7" s="965">
        <f>IF(B7="","",SUMIF(项目基本情况!D$12:I$12,C7,项目基本情况!D$13:I$13))</f>
        <v>57779</v>
      </c>
      <c r="F7" s="68">
        <f>SUMIF(项目基本情况!D$12:I$12,C7,项目基本情况!D$15:I$15)</f>
        <v>35.92</v>
      </c>
      <c r="G7" s="69">
        <f t="shared" ref="G7:G11" si="2">IF(ISERROR(ROUND(POWER(1+H7,D7-F7)*(POWER(1+H7,F7)-1)/(POWER(1+H7,D7)-1),3)),0,ROUND(POWER(1+H7,D7-F7)*(POWER(1+H7,F7)-1)/(POWER(1+H7,D7)-1),3))</f>
        <v>0.90600000000000003</v>
      </c>
      <c r="H7" s="741">
        <v>0.05</v>
      </c>
      <c r="I7" s="741">
        <v>5.5E-2</v>
      </c>
      <c r="J7" s="70">
        <v>7.4999999999999997E-2</v>
      </c>
      <c r="K7" s="1160">
        <f>SUMIF('数据-汇总表'!C$19:C$33,A7,'数据-汇总表'!E$19:E$33)</f>
        <v>3284.7900000000004</v>
      </c>
      <c r="L7" s="742">
        <f>L6</f>
        <v>5000</v>
      </c>
      <c r="M7" s="71">
        <f t="shared" si="0"/>
        <v>1642</v>
      </c>
      <c r="N7" s="740">
        <f>N6</f>
        <v>1</v>
      </c>
      <c r="O7" s="71" t="str">
        <f t="shared" ref="O7:O14" si="3">IF($N$5="成新度","——",ROUND(M7*N7,0))</f>
        <v>——</v>
      </c>
      <c r="P7" s="72" t="str">
        <f t="shared" ref="P7:P14" si="4">IF($N$5="成新度","——",M7-O7)</f>
        <v>——</v>
      </c>
      <c r="Q7" s="743">
        <v>0.15</v>
      </c>
      <c r="R7" s="73">
        <f ca="1">SUMIF('数据-汇总表'!C$19:C$33,A7,'数据-汇总表'!R$19:R$27)</f>
        <v>447</v>
      </c>
      <c r="S7" s="54">
        <f>IF('数据-汇总表'!$I$17="按面积比例",SUMIF('数据-汇总表'!C$19:C$33,A7,'数据-汇总表'!K$19:K$33),SUMIF('数据-汇总表'!C$19:C$33,A7,'数据-汇总表'!N$19:N$33))</f>
        <v>0</v>
      </c>
      <c r="T7" s="1304">
        <f t="shared" ref="T7:T13" si="5">ROUND($L$14*S7/10000,0)</f>
        <v>0</v>
      </c>
      <c r="U7" s="74">
        <f>信息!P37</f>
        <v>3.8</v>
      </c>
      <c r="V7" s="75">
        <v>0.03</v>
      </c>
      <c r="W7" s="75">
        <v>0.1</v>
      </c>
      <c r="X7" s="1170"/>
      <c r="Y7" s="76">
        <f>Y6</f>
        <v>1</v>
      </c>
      <c r="Z7" s="77"/>
      <c r="AA7" s="70"/>
      <c r="AB7" s="70"/>
      <c r="AC7" s="1170"/>
      <c r="AD7" s="78"/>
      <c r="AE7" s="1171">
        <f t="shared" ref="AE7:AE13" ca="1" si="6">IF(AN7="",0,SUMIF(INDIRECT("'"&amp;AN7&amp;"'"&amp;"!E:E"),$AE$5,INDIRECT("'"&amp;AN7&amp;"'"&amp;"!F:F")))</f>
        <v>35.92</v>
      </c>
      <c r="AF7" s="1500"/>
      <c r="AG7" s="143">
        <f t="shared" ref="AG7:AG13" si="7">IF(AF7="",0,AE7-AF7)</f>
        <v>0</v>
      </c>
      <c r="AH7" s="79"/>
      <c r="AI7" s="81">
        <v>365</v>
      </c>
      <c r="AJ7" s="82"/>
      <c r="AK7" s="83">
        <v>1.4999999999999999E-2</v>
      </c>
      <c r="AL7" s="84">
        <v>1.5E-3</v>
      </c>
      <c r="AM7" s="85">
        <v>0.02</v>
      </c>
      <c r="AN7" s="1868" t="s">
        <v>3217</v>
      </c>
      <c r="AO7" s="55">
        <f t="shared" ref="AO7:AO13" ca="1" si="8">SUMIF(INDIRECT("'"&amp;AN7&amp;"'"&amp;"!A:A"),"总价",INDIRECT("'"&amp;AN7&amp;"'"&amp;"!B:B"))</f>
        <v>6819</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地下车库</v>
      </c>
      <c r="B8" s="1866" t="str">
        <f t="shared" si="1"/>
        <v>经营性</v>
      </c>
      <c r="C8" s="1867" t="s">
        <v>3190</v>
      </c>
      <c r="D8" s="966">
        <f>SUMIF(项目基本情况!D$12:I$12,C8,项目基本情况!D$14:I$14)</f>
        <v>50</v>
      </c>
      <c r="E8" s="965">
        <f>IF(B8="","",SUMIF(项目基本情况!D$12:I$12,C8,项目基本情况!D$13:I$13))</f>
        <v>57779</v>
      </c>
      <c r="F8" s="68">
        <f>SUMIF(项目基本情况!D$12:I$12,C8,项目基本情况!D$15:I$15)</f>
        <v>35.92</v>
      </c>
      <c r="G8" s="69">
        <f t="shared" si="2"/>
        <v>0.89300000000000002</v>
      </c>
      <c r="H8" s="741">
        <v>4.4999999999999998E-2</v>
      </c>
      <c r="I8" s="741">
        <v>0.05</v>
      </c>
      <c r="J8" s="70">
        <v>7.4999999999999997E-2</v>
      </c>
      <c r="K8" s="1160">
        <f>SUMIF('数据-汇总表'!C$19:C$33,A8,'数据-汇总表'!E$19:E$33)</f>
        <v>10390.25</v>
      </c>
      <c r="L8" s="742">
        <f>L7</f>
        <v>5000</v>
      </c>
      <c r="M8" s="71">
        <f>ROUND(K8*L8/10000,0)</f>
        <v>5195</v>
      </c>
      <c r="N8" s="740">
        <f>N6</f>
        <v>1</v>
      </c>
      <c r="O8" s="71" t="str">
        <f t="shared" si="3"/>
        <v>——</v>
      </c>
      <c r="P8" s="72" t="str">
        <f t="shared" si="4"/>
        <v>——</v>
      </c>
      <c r="Q8" s="743">
        <v>0.1</v>
      </c>
      <c r="R8" s="73">
        <f ca="1">SUMIF('数据-汇总表'!C$19:C$33,A8,'数据-汇总表'!R$19:R$27)</f>
        <v>1413.93</v>
      </c>
      <c r="S8" s="54">
        <f>IF('数据-汇总表'!$I$17="按面积比例",SUMIF('数据-汇总表'!C$19:C$33,A8,'数据-汇总表'!K$19:K$33),SUMIF('数据-汇总表'!C$19:C$33,A8,'数据-汇总表'!N$19:N$33))</f>
        <v>0</v>
      </c>
      <c r="T8" s="1304">
        <f t="shared" si="5"/>
        <v>0</v>
      </c>
      <c r="U8" s="744">
        <v>1800</v>
      </c>
      <c r="V8" s="745">
        <v>0.03</v>
      </c>
      <c r="W8" s="745">
        <v>0.1</v>
      </c>
      <c r="X8" s="1170"/>
      <c r="Y8" s="746">
        <f>Y6</f>
        <v>1</v>
      </c>
      <c r="Z8" s="77"/>
      <c r="AA8" s="70"/>
      <c r="AB8" s="70"/>
      <c r="AC8" s="1170"/>
      <c r="AD8" s="78"/>
      <c r="AE8" s="1171">
        <f t="shared" ca="1" si="6"/>
        <v>35.92</v>
      </c>
      <c r="AF8" s="1500"/>
      <c r="AG8" s="143">
        <f t="shared" si="7"/>
        <v>0</v>
      </c>
      <c r="AH8" s="747">
        <f>175+25</f>
        <v>200</v>
      </c>
      <c r="AI8" s="81">
        <v>12</v>
      </c>
      <c r="AJ8" s="82"/>
      <c r="AK8" s="3291">
        <v>5.0000000000000001E-3</v>
      </c>
      <c r="AL8" s="748">
        <v>1.5E-3</v>
      </c>
      <c r="AM8" s="749">
        <v>0.02</v>
      </c>
      <c r="AN8" s="1868" t="s">
        <v>3219</v>
      </c>
      <c r="AO8" s="55">
        <f t="shared" ca="1" si="8"/>
        <v>6784</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f>'数据-汇总表'!C22</f>
        <v>0</v>
      </c>
      <c r="B9" s="1866" t="str">
        <f t="shared" si="1"/>
        <v/>
      </c>
      <c r="C9" s="186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70"/>
      <c r="Y9" s="76"/>
      <c r="Z9" s="77"/>
      <c r="AA9" s="70"/>
      <c r="AB9" s="70"/>
      <c r="AC9" s="1170"/>
      <c r="AD9" s="78"/>
      <c r="AE9" s="1171">
        <f t="shared" ca="1" si="6"/>
        <v>0</v>
      </c>
      <c r="AF9" s="1500"/>
      <c r="AG9" s="143">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70"/>
      <c r="Y10" s="76"/>
      <c r="Z10" s="77"/>
      <c r="AA10" s="70"/>
      <c r="AB10" s="70"/>
      <c r="AC10" s="1170"/>
      <c r="AD10" s="78"/>
      <c r="AE10" s="1171">
        <f t="shared" ca="1" si="6"/>
        <v>0</v>
      </c>
      <c r="AF10" s="1500"/>
      <c r="AG10" s="143">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70"/>
      <c r="Y11" s="76"/>
      <c r="Z11" s="89"/>
      <c r="AA11" s="70"/>
      <c r="AB11" s="70"/>
      <c r="AC11" s="1170"/>
      <c r="AD11" s="78"/>
      <c r="AE11" s="1171">
        <f t="shared" ca="1" si="6"/>
        <v>0</v>
      </c>
      <c r="AF11" s="1500"/>
      <c r="AG11" s="143">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70"/>
      <c r="Y12" s="76"/>
      <c r="Z12" s="89"/>
      <c r="AA12" s="70"/>
      <c r="AB12" s="70"/>
      <c r="AC12" s="1170"/>
      <c r="AD12" s="78"/>
      <c r="AE12" s="1171">
        <f t="shared" ca="1" si="6"/>
        <v>0</v>
      </c>
      <c r="AF12" s="1500"/>
      <c r="AG12" s="143">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70"/>
      <c r="Y13" s="76"/>
      <c r="Z13" s="77"/>
      <c r="AA13" s="70"/>
      <c r="AB13" s="70"/>
      <c r="AC13" s="1170"/>
      <c r="AD13" s="78"/>
      <c r="AE13" s="1171">
        <f t="shared" ca="1" si="6"/>
        <v>0</v>
      </c>
      <c r="AF13" s="1500"/>
      <c r="AG13" s="143">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1830</v>
      </c>
      <c r="B14" s="1866" t="s">
        <v>1831</v>
      </c>
      <c r="C14" s="1871" t="s">
        <v>1830</v>
      </c>
      <c r="D14" s="966"/>
      <c r="E14" s="965"/>
      <c r="F14" s="68"/>
      <c r="G14" s="69"/>
      <c r="H14" s="1159"/>
      <c r="I14" s="1159"/>
      <c r="J14" s="1159"/>
      <c r="K14" s="1160">
        <f>SUMIF('数据-汇总表'!C$19:C$33,A14,'数据-汇总表'!E$19:E$33)</f>
        <v>0</v>
      </c>
      <c r="L14" s="87">
        <f>L7</f>
        <v>5000</v>
      </c>
      <c r="M14" s="71">
        <f t="shared" si="0"/>
        <v>0</v>
      </c>
      <c r="N14" s="88">
        <f>N6</f>
        <v>1</v>
      </c>
      <c r="O14" s="71" t="str">
        <f t="shared" si="3"/>
        <v>——</v>
      </c>
      <c r="P14" s="72" t="str">
        <f t="shared" si="4"/>
        <v>——</v>
      </c>
      <c r="Q14" s="1163"/>
      <c r="R14" s="73"/>
      <c r="S14" s="54"/>
      <c r="T14" s="1304"/>
      <c r="U14" s="679"/>
      <c r="V14" s="1165"/>
      <c r="W14" s="1165"/>
      <c r="X14" s="1166"/>
      <c r="Y14" s="1167"/>
      <c r="Z14" s="1168"/>
      <c r="AA14" s="1169"/>
      <c r="AB14" s="1169"/>
      <c r="AC14" s="1170"/>
      <c r="AD14" s="1166"/>
      <c r="AE14" s="1171"/>
      <c r="AF14" s="55"/>
      <c r="AG14" s="143"/>
      <c r="AH14" s="1171"/>
      <c r="AI14" s="1509"/>
      <c r="AJ14" s="713"/>
      <c r="AK14" s="1172"/>
      <c r="AL14" s="1173"/>
      <c r="AM14" s="1174"/>
      <c r="AN14" s="2866"/>
      <c r="AO14" s="2868"/>
      <c r="AP14" s="2868"/>
      <c r="AQ14" s="2868"/>
      <c r="AR14" s="2868"/>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7">
      <c r="A15" s="1870" t="s">
        <v>1832</v>
      </c>
      <c r="B15" s="1866" t="s">
        <v>1831</v>
      </c>
      <c r="C15" s="1871" t="s">
        <v>1833</v>
      </c>
      <c r="D15" s="966"/>
      <c r="E15" s="965"/>
      <c r="F15" s="68"/>
      <c r="G15" s="69"/>
      <c r="H15" s="1159"/>
      <c r="I15" s="1159"/>
      <c r="J15" s="1159"/>
      <c r="K15" s="1160">
        <f>SUMIF('数据-汇总表'!C$19:C$33,A15,'数据-汇总表'!E$19:E$33)</f>
        <v>0</v>
      </c>
      <c r="L15" s="1161"/>
      <c r="M15" s="71"/>
      <c r="N15" s="1162"/>
      <c r="O15" s="71"/>
      <c r="P15" s="72"/>
      <c r="Q15" s="1163"/>
      <c r="R15" s="73"/>
      <c r="S15" s="54"/>
      <c r="T15" s="1304"/>
      <c r="U15" s="679"/>
      <c r="V15" s="1165"/>
      <c r="W15" s="1165"/>
      <c r="X15" s="1166"/>
      <c r="Y15" s="1167"/>
      <c r="Z15" s="1168"/>
      <c r="AA15" s="1169"/>
      <c r="AB15" s="1169"/>
      <c r="AC15" s="1170"/>
      <c r="AD15" s="1166"/>
      <c r="AE15" s="1171"/>
      <c r="AF15" s="55"/>
      <c r="AG15" s="143"/>
      <c r="AH15" s="1171"/>
      <c r="AI15" s="1509"/>
      <c r="AJ15" s="713"/>
      <c r="AK15" s="1172"/>
      <c r="AL15" s="1173"/>
      <c r="AM15" s="1174"/>
      <c r="AN15" s="2866"/>
      <c r="AO15" s="2868"/>
      <c r="AP15" s="2868"/>
      <c r="AQ15" s="2868"/>
      <c r="AR15" s="2868"/>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1834</v>
      </c>
      <c r="B16" s="93"/>
      <c r="C16" s="941"/>
      <c r="D16" s="1873"/>
      <c r="E16" s="93"/>
      <c r="F16" s="93"/>
      <c r="G16" s="94">
        <f>ROUND(SUMPRODUCT(G6:G13,K6:K13)/SUMPRODUCT((G6:G13&gt;0)*(K6:K13)),3)</f>
        <v>0.90400000000000003</v>
      </c>
      <c r="H16" s="95">
        <f>ROUND(SUMPRODUCT(H6:H13,K6:K13)/SUMPRODUCT((H6:H13&gt;0)*(K6:K13)),3)</f>
        <v>4.9000000000000002E-2</v>
      </c>
      <c r="I16" s="96"/>
      <c r="J16" s="96"/>
      <c r="K16" s="97">
        <f>SUM(K6:K15)</f>
        <v>70196.47</v>
      </c>
      <c r="L16" s="98">
        <f>ROUND(M16*10000/SUM(K6:K14),0)</f>
        <v>5000</v>
      </c>
      <c r="M16" s="98">
        <f>SUM(M6:M14)</f>
        <v>35098</v>
      </c>
      <c r="N16" s="99">
        <f>ROUND(SUMPRODUCT(M6:M14,N6:N14)/M16,3)</f>
        <v>1</v>
      </c>
      <c r="O16" s="98">
        <f>SUM(O6:O14)</f>
        <v>0</v>
      </c>
      <c r="P16" s="98">
        <f>SUM(P6:P14)</f>
        <v>0</v>
      </c>
      <c r="Q16" s="100">
        <f>ROUND(SUMPRODUCT(Q6:Q13,K6:K13)/SUMPRODUCT((Q6:Q13&gt;0)*(K6:K13)),2)</f>
        <v>0.22</v>
      </c>
      <c r="R16" s="1164">
        <f ca="1">SUM(R6:R13)</f>
        <v>9552.51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f ca="1">结果表!G19</f>
        <v>370258</v>
      </c>
      <c r="M18" s="2866"/>
      <c r="N18" s="2866"/>
      <c r="O18" s="2866"/>
      <c r="P18" s="2866"/>
      <c r="Q18" s="2866"/>
      <c r="R18" s="2866"/>
      <c r="S18" s="2866"/>
      <c r="T18" s="2866"/>
      <c r="U18" s="2866">
        <f>U8/30/51</f>
        <v>1.1764705882352942</v>
      </c>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5" t="s">
        <v>1836</v>
      </c>
      <c r="B19" s="108">
        <v>0</v>
      </c>
      <c r="C19" s="2996" t="s">
        <v>2984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6" t="s">
        <v>1837</v>
      </c>
      <c r="B20" s="109">
        <v>3</v>
      </c>
      <c r="C20" s="2997" t="s">
        <v>2982</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7" t="s">
        <v>1838</v>
      </c>
      <c r="B21" s="109">
        <f>B20</f>
        <v>3</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6" t="s">
        <v>1839</v>
      </c>
      <c r="B22" s="110">
        <f>B19+B20</f>
        <v>3</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7" t="s">
        <v>1840</v>
      </c>
      <c r="B23" s="110">
        <f>B19+B21</f>
        <v>3</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8"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0"/>
      <c r="B25" s="1840"/>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6" t="s">
        <v>1842</v>
      </c>
      <c r="B26" s="1879"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1" customFormat="1" ht="27.75">
      <c r="A27" s="1880" t="s">
        <v>1845</v>
      </c>
      <c r="B27" s="112">
        <v>160</v>
      </c>
      <c r="C27" s="2998" t="s">
        <v>2986</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1" customFormat="1" ht="27.75">
      <c r="A28" s="1882" t="s">
        <v>1846</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1" customFormat="1" ht="28.5" thickBot="1">
      <c r="A29" s="1883" t="s">
        <v>1847</v>
      </c>
      <c r="B29" s="117"/>
      <c r="C29" s="2999" t="s">
        <v>2973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1" customFormat="1" ht="27">
      <c r="A30" s="1884" t="s">
        <v>1848</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1" customFormat="1" ht="27">
      <c r="A31" s="1882"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1" customFormat="1" ht="27.75" thickBot="1">
      <c r="A32" s="1885" t="s">
        <v>1850</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1" customFormat="1" ht="14.25">
      <c r="A33" s="1880" t="s">
        <v>1851</v>
      </c>
      <c r="B33" s="682">
        <v>0.05</v>
      </c>
      <c r="C33" s="3000" t="s">
        <v>2974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1" customFormat="1" ht="14.25">
      <c r="A34" s="1882" t="s">
        <v>1852</v>
      </c>
      <c r="B34" s="118">
        <v>0</v>
      </c>
      <c r="C34" s="3000" t="s">
        <v>2975</v>
      </c>
      <c r="D34" s="2879" t="s">
        <v>2983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1" customFormat="1" ht="14.25">
      <c r="A35" s="1882" t="s">
        <v>1853</v>
      </c>
      <c r="B35" s="115">
        <v>200</v>
      </c>
      <c r="C35" s="3000" t="s">
        <v>2976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3" t="s">
        <v>1854</v>
      </c>
      <c r="B36" s="119">
        <v>1.4999999999999999E-2</v>
      </c>
      <c r="C36" s="3000" t="s">
        <v>2977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4" t="s">
        <v>1855</v>
      </c>
      <c r="B37" s="120">
        <v>0.03</v>
      </c>
      <c r="C37" s="3000" t="s">
        <v>2978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2" t="s">
        <v>1856</v>
      </c>
      <c r="B38" s="118">
        <v>0.03</v>
      </c>
      <c r="C38" s="3000" t="s">
        <v>2978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5"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3209</v>
      </c>
      <c r="B40" s="1209">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0" t="s">
        <v>1858</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6"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6" t="s">
        <v>1860</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7" t="s">
        <v>1861</v>
      </c>
      <c r="B44" s="124">
        <v>7.0000000000000007E-2</v>
      </c>
      <c r="C44" s="3000" t="s">
        <v>2987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7" t="s">
        <v>1862</v>
      </c>
      <c r="B45" s="122">
        <v>0.03</v>
      </c>
      <c r="C45" s="2999" t="s">
        <v>2979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7" t="s">
        <v>1863</v>
      </c>
      <c r="B46" s="122">
        <v>0.02</v>
      </c>
      <c r="C46" s="2999" t="s">
        <v>2980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8" t="s">
        <v>1864</v>
      </c>
      <c r="B47" s="125"/>
      <c r="C47" s="3002" t="s">
        <v>2988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9" t="s">
        <v>1865</v>
      </c>
      <c r="B48" s="126">
        <v>0.03</v>
      </c>
      <c r="C48" s="2999" t="s">
        <v>2979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5" t="s">
        <v>1866</v>
      </c>
      <c r="B49" s="122">
        <v>5.0000000000000001E-4</v>
      </c>
      <c r="C49" s="2999" t="s">
        <v>2981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0"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3"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0" t="s">
        <v>1869</v>
      </c>
      <c r="B52" s="129">
        <f>SUMIF(A54:A63,B53,B54:B63)</f>
        <v>24</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2" t="s">
        <v>1870</v>
      </c>
      <c r="B53" s="1891" t="s">
        <v>269</v>
      </c>
      <c r="C53" s="2854" t="s">
        <v>1871</v>
      </c>
      <c r="D53" s="3001" t="s">
        <v>2985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2"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2" t="s">
        <v>1873</v>
      </c>
      <c r="B55" s="80">
        <v>24</v>
      </c>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2" t="s">
        <v>1874</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2" t="s">
        <v>1875</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2"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2" t="s">
        <v>1877</v>
      </c>
      <c r="B59" s="80"/>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2"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2"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2"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3"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0"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0"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0"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0"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0"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0" customFormat="1">
      <c r="A69" s="1894"/>
      <c r="D69" s="1895"/>
      <c r="K69" s="737"/>
      <c r="L69" s="737"/>
    </row>
    <row r="70" spans="1:44" s="900" customFormat="1">
      <c r="A70" s="1894"/>
      <c r="D70" s="1895"/>
      <c r="K70" s="737"/>
      <c r="L70" s="737"/>
    </row>
    <row r="71" spans="1:44" s="900" customFormat="1">
      <c r="A71" s="1894"/>
      <c r="D71" s="1895"/>
      <c r="K71" s="737"/>
      <c r="L71" s="737"/>
    </row>
    <row r="72" spans="1:44" s="900" customFormat="1">
      <c r="A72" s="1894"/>
      <c r="D72" s="1895"/>
      <c r="K72" s="737"/>
      <c r="L72" s="737"/>
    </row>
    <row r="73" spans="1:44" s="900" customFormat="1">
      <c r="A73" s="1894"/>
      <c r="D73" s="1895"/>
      <c r="K73" s="737"/>
      <c r="L73" s="737"/>
    </row>
    <row r="74" spans="1:44" s="900" customFormat="1">
      <c r="A74" s="1894"/>
      <c r="D74" s="1895"/>
      <c r="K74" s="737"/>
      <c r="L74" s="737"/>
    </row>
    <row r="75" spans="1:44" s="900" customFormat="1">
      <c r="A75" s="1894"/>
      <c r="D75" s="1895"/>
      <c r="K75" s="737"/>
      <c r="L75" s="737"/>
    </row>
    <row r="76" spans="1:44" s="900" customFormat="1">
      <c r="A76" s="1894"/>
      <c r="D76" s="1895"/>
      <c r="K76" s="737"/>
      <c r="L76" s="737"/>
    </row>
    <row r="77" spans="1:44" s="900" customFormat="1">
      <c r="A77" s="1894"/>
      <c r="D77" s="1895"/>
      <c r="K77" s="737"/>
      <c r="L77" s="737"/>
    </row>
    <row r="78" spans="1:44" s="900" customFormat="1">
      <c r="A78" s="1894"/>
      <c r="D78" s="1895"/>
      <c r="K78" s="737"/>
      <c r="L78" s="737"/>
    </row>
    <row r="79" spans="1:44" s="900" customFormat="1">
      <c r="A79" s="1894"/>
      <c r="D79" s="1895"/>
      <c r="K79" s="737"/>
      <c r="L79" s="737"/>
    </row>
    <row r="80" spans="1:44" s="900" customFormat="1">
      <c r="A80" s="1894"/>
      <c r="D80" s="1895"/>
      <c r="K80" s="737"/>
      <c r="L80" s="737"/>
    </row>
    <row r="81" spans="1:12" s="900" customFormat="1">
      <c r="A81" s="1894"/>
      <c r="D81" s="1895"/>
      <c r="K81" s="737"/>
      <c r="L81" s="737"/>
    </row>
    <row r="82" spans="1:12" s="900" customFormat="1">
      <c r="A82" s="1894"/>
      <c r="D82" s="1895"/>
      <c r="K82" s="737"/>
      <c r="L82" s="737"/>
    </row>
    <row r="83" spans="1:12" s="900" customFormat="1">
      <c r="A83" s="1894"/>
      <c r="D83" s="1895"/>
      <c r="K83" s="737"/>
      <c r="L83" s="737"/>
    </row>
    <row r="84" spans="1:12" s="900" customFormat="1">
      <c r="A84" s="1894"/>
      <c r="D84" s="1895"/>
      <c r="K84" s="737"/>
      <c r="L84" s="737"/>
    </row>
    <row r="85" spans="1:12" s="900" customFormat="1">
      <c r="A85" s="1894"/>
      <c r="D85" s="1895"/>
      <c r="K85" s="737"/>
      <c r="L85" s="737"/>
    </row>
    <row r="86" spans="1:12" s="900" customFormat="1">
      <c r="A86" s="1894"/>
      <c r="D86" s="1895"/>
      <c r="K86" s="737"/>
      <c r="L86" s="737"/>
    </row>
    <row r="87" spans="1:12" s="900" customFormat="1">
      <c r="A87" s="1894"/>
      <c r="D87" s="1895"/>
      <c r="K87" s="737"/>
      <c r="L87" s="737"/>
    </row>
    <row r="88" spans="1:12" s="900" customFormat="1">
      <c r="A88" s="1894"/>
      <c r="D88" s="1895"/>
      <c r="K88" s="737"/>
      <c r="L88" s="737"/>
    </row>
    <row r="89" spans="1:12" s="900" customFormat="1">
      <c r="A89" s="1894"/>
      <c r="D89" s="1895"/>
      <c r="K89" s="737"/>
      <c r="L89" s="737"/>
    </row>
    <row r="90" spans="1:12" s="900" customFormat="1">
      <c r="A90" s="1894"/>
      <c r="D90" s="1895"/>
      <c r="K90" s="737"/>
      <c r="L90" s="737"/>
    </row>
    <row r="91" spans="1:12" s="900" customFormat="1">
      <c r="A91" s="1894"/>
      <c r="D91" s="1895"/>
      <c r="K91" s="737"/>
      <c r="L91" s="737"/>
    </row>
    <row r="92" spans="1:12" s="900" customFormat="1">
      <c r="A92" s="1894"/>
      <c r="D92" s="1895"/>
      <c r="K92" s="737"/>
      <c r="L92" s="737"/>
    </row>
    <row r="93" spans="1:12" s="900" customFormat="1">
      <c r="A93" s="1894"/>
      <c r="D93" s="1895"/>
      <c r="K93" s="737"/>
      <c r="L93" s="737"/>
    </row>
    <row r="94" spans="1:12" s="900" customFormat="1">
      <c r="A94" s="1894"/>
      <c r="D94" s="1895"/>
      <c r="K94" s="737"/>
      <c r="L94" s="737"/>
    </row>
    <row r="95" spans="1:12" s="900" customFormat="1">
      <c r="A95" s="1894"/>
      <c r="D95" s="1895"/>
      <c r="K95" s="737"/>
      <c r="L95" s="737"/>
    </row>
    <row r="96" spans="1:12" s="900" customFormat="1">
      <c r="A96" s="1894"/>
      <c r="D96" s="1895"/>
      <c r="K96" s="737"/>
      <c r="L96" s="737"/>
    </row>
    <row r="97" spans="1:12" s="900" customFormat="1">
      <c r="A97" s="1894"/>
      <c r="D97" s="1895"/>
      <c r="K97" s="737"/>
      <c r="L97" s="737"/>
    </row>
    <row r="98" spans="1:12" s="900" customFormat="1">
      <c r="A98" s="1894"/>
      <c r="D98" s="1895"/>
      <c r="K98" s="737"/>
      <c r="L98" s="737"/>
    </row>
    <row r="99" spans="1:12" s="900" customFormat="1">
      <c r="A99" s="1894"/>
      <c r="D99" s="1895"/>
      <c r="K99" s="737"/>
      <c r="L99" s="737"/>
    </row>
    <row r="100" spans="1:12" s="900" customFormat="1">
      <c r="A100" s="1894"/>
      <c r="D100" s="1895"/>
      <c r="K100" s="737"/>
      <c r="L100" s="737"/>
    </row>
    <row r="101" spans="1:12" s="900" customFormat="1">
      <c r="A101" s="1894"/>
      <c r="D101" s="1895"/>
      <c r="K101" s="737"/>
      <c r="L101" s="737"/>
    </row>
    <row r="102" spans="1:12" s="900" customFormat="1">
      <c r="A102" s="1894"/>
      <c r="D102" s="1895"/>
      <c r="K102" s="737"/>
      <c r="L102" s="737"/>
    </row>
    <row r="103" spans="1:12" s="900" customFormat="1">
      <c r="A103" s="1894"/>
      <c r="D103" s="1895"/>
      <c r="K103" s="737"/>
      <c r="L103" s="737"/>
    </row>
    <row r="104" spans="1:12" s="900" customFormat="1">
      <c r="A104" s="1894"/>
      <c r="D104" s="1895"/>
      <c r="K104" s="737"/>
      <c r="L104" s="737"/>
    </row>
    <row r="105" spans="1:12" s="900" customFormat="1">
      <c r="A105" s="1894"/>
      <c r="D105" s="1895"/>
      <c r="K105" s="737"/>
      <c r="L105" s="737"/>
    </row>
    <row r="106" spans="1:12" s="900" customFormat="1">
      <c r="A106" s="1894"/>
      <c r="D106" s="1895"/>
      <c r="K106" s="737"/>
      <c r="L106" s="737"/>
    </row>
    <row r="107" spans="1:12" s="900" customFormat="1">
      <c r="A107" s="1894"/>
      <c r="D107" s="1895"/>
      <c r="K107" s="737"/>
      <c r="L107" s="737"/>
    </row>
    <row r="108" spans="1:12" s="900" customFormat="1">
      <c r="A108" s="1894"/>
      <c r="D108" s="1895"/>
      <c r="K108" s="737"/>
      <c r="L108" s="737"/>
    </row>
    <row r="109" spans="1:12" s="900" customFormat="1">
      <c r="A109" s="1894"/>
      <c r="D109" s="1895"/>
      <c r="K109" s="737"/>
      <c r="L109" s="737"/>
    </row>
    <row r="110" spans="1:12" s="900" customFormat="1">
      <c r="A110" s="1894"/>
      <c r="D110" s="1895"/>
      <c r="K110" s="737"/>
      <c r="L110" s="737"/>
    </row>
    <row r="111" spans="1:12" s="900" customFormat="1">
      <c r="A111" s="1894"/>
      <c r="D111" s="1895"/>
      <c r="K111" s="737"/>
      <c r="L111" s="737"/>
    </row>
    <row r="112" spans="1:12" s="900" customFormat="1">
      <c r="A112" s="1894"/>
      <c r="D112" s="1895"/>
      <c r="K112" s="737"/>
      <c r="L112" s="737"/>
    </row>
    <row r="113" spans="1:12" s="900" customFormat="1">
      <c r="A113" s="1894"/>
      <c r="D113" s="1895"/>
      <c r="K113" s="737"/>
      <c r="L113" s="737"/>
    </row>
    <row r="114" spans="1:12" s="900" customFormat="1">
      <c r="A114" s="1894"/>
      <c r="D114" s="1895"/>
      <c r="K114" s="737"/>
      <c r="L114" s="737"/>
    </row>
    <row r="115" spans="1:12" s="900" customFormat="1">
      <c r="A115" s="1894"/>
      <c r="D115" s="1895"/>
      <c r="K115" s="737"/>
      <c r="L115" s="737"/>
    </row>
    <row r="116" spans="1:12" s="900" customFormat="1">
      <c r="A116" s="1894"/>
      <c r="D116" s="1895"/>
      <c r="K116" s="737"/>
      <c r="L116" s="737"/>
    </row>
    <row r="117" spans="1:12" s="900" customFormat="1">
      <c r="A117" s="1894"/>
      <c r="D117" s="1895"/>
      <c r="K117" s="737"/>
      <c r="L117" s="737"/>
    </row>
    <row r="118" spans="1:12" s="900" customFormat="1">
      <c r="A118" s="1894"/>
      <c r="D118" s="1895"/>
      <c r="K118" s="737"/>
      <c r="L118" s="737"/>
    </row>
    <row r="119" spans="1:12" s="900" customFormat="1">
      <c r="A119" s="1894"/>
      <c r="D119" s="1895"/>
      <c r="K119" s="737"/>
      <c r="L119" s="737"/>
    </row>
    <row r="120" spans="1:12" s="900" customFormat="1">
      <c r="A120" s="1894"/>
      <c r="D120" s="1895"/>
      <c r="K120" s="737"/>
      <c r="L120" s="737"/>
    </row>
    <row r="121" spans="1:12" s="900" customFormat="1">
      <c r="A121" s="1894"/>
      <c r="D121" s="1895"/>
      <c r="K121" s="737"/>
      <c r="L121" s="737"/>
    </row>
    <row r="122" spans="1:12" s="900" customFormat="1">
      <c r="A122" s="1894"/>
      <c r="D122" s="1895"/>
      <c r="K122" s="737"/>
      <c r="L122" s="737"/>
    </row>
    <row r="123" spans="1:12" s="900" customFormat="1">
      <c r="A123" s="1894"/>
      <c r="D123" s="1895"/>
      <c r="K123" s="737"/>
      <c r="L123" s="737"/>
    </row>
    <row r="124" spans="1:12" s="900" customFormat="1">
      <c r="A124" s="1894"/>
      <c r="D124" s="1895"/>
      <c r="K124" s="737"/>
      <c r="L124" s="737"/>
    </row>
    <row r="125" spans="1:12" s="900" customFormat="1">
      <c r="A125" s="1894"/>
      <c r="D125" s="1895"/>
      <c r="K125" s="737"/>
      <c r="L125" s="737"/>
    </row>
    <row r="126" spans="1:12" s="900" customFormat="1">
      <c r="A126" s="1894"/>
      <c r="D126" s="1895"/>
      <c r="K126" s="737"/>
      <c r="L126" s="737"/>
    </row>
    <row r="127" spans="1:12" s="900" customFormat="1">
      <c r="A127" s="1894"/>
      <c r="D127" s="1895"/>
      <c r="K127" s="737"/>
      <c r="L127" s="737"/>
    </row>
    <row r="128" spans="1:12" s="900" customFormat="1">
      <c r="A128" s="1894"/>
      <c r="D128" s="1895"/>
      <c r="K128" s="737"/>
      <c r="L128" s="737"/>
    </row>
    <row r="129" spans="1:12" s="900" customFormat="1">
      <c r="A129" s="1894"/>
      <c r="D129" s="1895"/>
      <c r="K129" s="737"/>
      <c r="L129" s="737"/>
    </row>
    <row r="130" spans="1:12" s="900" customFormat="1">
      <c r="A130" s="1894"/>
      <c r="D130" s="1895"/>
      <c r="K130" s="737"/>
      <c r="L130" s="737"/>
    </row>
    <row r="131" spans="1:12" s="900" customFormat="1">
      <c r="A131" s="1894"/>
      <c r="D131" s="1895"/>
      <c r="K131" s="737"/>
      <c r="L131" s="737"/>
    </row>
    <row r="132" spans="1:12" s="900" customFormat="1">
      <c r="A132" s="1894"/>
      <c r="D132" s="1895"/>
      <c r="K132" s="737"/>
      <c r="L132" s="737"/>
    </row>
    <row r="133" spans="1:12" s="900"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39" customWidth="1"/>
    <col min="2" max="2" width="24.5" style="1725" customWidth="1"/>
    <col min="3" max="3" width="24.5" style="2702" customWidth="1"/>
    <col min="4" max="4" width="2.625" style="2702" customWidth="1"/>
    <col min="5" max="5" width="5.875" style="2702" customWidth="1"/>
    <col min="6" max="6" width="27" style="1725"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6"/>
    <col min="30" max="16384" width="9" style="1839"/>
  </cols>
  <sheetData>
    <row r="1" spans="1:29" s="2650" customFormat="1" ht="18.75" thickBot="1">
      <c r="A1" s="3392" t="s">
        <v>2965</v>
      </c>
      <c r="B1" s="3393"/>
      <c r="C1" s="3393"/>
      <c r="D1" s="3393"/>
      <c r="E1" s="3393"/>
      <c r="F1" s="3393"/>
      <c r="G1" s="3393"/>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2961</v>
      </c>
      <c r="D2" s="2654"/>
      <c r="E2" s="2651"/>
      <c r="F2" s="2655"/>
      <c r="G2" s="2653" t="s">
        <v>2962</v>
      </c>
      <c r="H2" s="906"/>
      <c r="I2" s="906"/>
      <c r="J2" s="906"/>
      <c r="K2" s="906"/>
      <c r="L2" s="906"/>
      <c r="M2" s="906"/>
      <c r="N2" s="906"/>
      <c r="O2" s="906"/>
      <c r="P2" s="906"/>
      <c r="Q2" s="906"/>
      <c r="R2" s="906"/>
    </row>
    <row r="3" spans="1:29" ht="25.5">
      <c r="A3" s="2634" t="s">
        <v>2963</v>
      </c>
      <c r="B3" s="2656" t="s">
        <v>2935</v>
      </c>
      <c r="C3" s="2657"/>
      <c r="D3" s="2658"/>
      <c r="E3" s="2635" t="s">
        <v>2963</v>
      </c>
      <c r="F3" s="2659" t="s">
        <v>2936</v>
      </c>
      <c r="G3" s="2660" t="s">
        <v>2964</v>
      </c>
      <c r="H3" s="906"/>
      <c r="I3" s="906"/>
      <c r="J3" s="906"/>
      <c r="K3" s="906"/>
      <c r="L3" s="906"/>
      <c r="M3" s="906"/>
      <c r="N3" s="906"/>
      <c r="O3" s="906"/>
      <c r="P3" s="906"/>
      <c r="Q3" s="906"/>
      <c r="R3" s="906"/>
    </row>
    <row r="4" spans="1:29" ht="36">
      <c r="A4" s="2635"/>
      <c r="B4" s="329" t="s">
        <v>2937</v>
      </c>
      <c r="C4" s="2661"/>
      <c r="D4" s="2658"/>
      <c r="E4" s="2662"/>
      <c r="F4" s="1525" t="s">
        <v>2938</v>
      </c>
      <c r="G4" s="2663" t="s">
        <v>2939</v>
      </c>
      <c r="H4" s="906"/>
      <c r="I4" s="906"/>
      <c r="J4" s="906"/>
      <c r="K4" s="906"/>
      <c r="L4" s="906"/>
      <c r="M4" s="906"/>
      <c r="N4" s="906"/>
      <c r="O4" s="906"/>
      <c r="P4" s="906"/>
      <c r="Q4" s="906"/>
      <c r="R4" s="906"/>
    </row>
    <row r="5" spans="1:29" ht="24">
      <c r="A5" s="2635"/>
      <c r="B5" s="329" t="s">
        <v>2940</v>
      </c>
      <c r="C5" s="3256" t="s">
        <v>3295</v>
      </c>
      <c r="D5" s="2658"/>
      <c r="E5" s="2662"/>
      <c r="F5" s="329" t="s">
        <v>2941</v>
      </c>
      <c r="G5" s="2663" t="s">
        <v>2942</v>
      </c>
      <c r="H5" s="906"/>
      <c r="I5" s="906"/>
      <c r="J5" s="906"/>
      <c r="K5" s="906"/>
      <c r="L5" s="906"/>
      <c r="M5" s="906"/>
      <c r="N5" s="906"/>
      <c r="O5" s="906"/>
      <c r="P5" s="906"/>
      <c r="Q5" s="906"/>
      <c r="R5" s="906"/>
    </row>
    <row r="6" spans="1:29">
      <c r="A6" s="2635"/>
      <c r="B6" s="329" t="s">
        <v>2943</v>
      </c>
      <c r="C6" s="3257" t="s">
        <v>3297</v>
      </c>
      <c r="D6" s="2658"/>
      <c r="E6" s="2662"/>
      <c r="F6" s="329" t="s">
        <v>2944</v>
      </c>
      <c r="G6" s="2663" t="s">
        <v>2945</v>
      </c>
      <c r="H6" s="906"/>
      <c r="I6" s="906"/>
      <c r="J6" s="906"/>
      <c r="K6" s="906"/>
      <c r="L6" s="906"/>
      <c r="M6" s="906"/>
      <c r="N6" s="906"/>
      <c r="O6" s="906"/>
      <c r="P6" s="906"/>
      <c r="Q6" s="906"/>
      <c r="R6" s="906"/>
    </row>
    <row r="7" spans="1:29" ht="24.75" thickBot="1">
      <c r="A7" s="2635"/>
      <c r="B7" s="329" t="s">
        <v>2941</v>
      </c>
      <c r="C7" s="3257" t="s">
        <v>3295</v>
      </c>
      <c r="D7" s="2664"/>
      <c r="E7" s="2665"/>
      <c r="F7" s="2666" t="s">
        <v>2946</v>
      </c>
      <c r="G7" s="2667" t="s">
        <v>2947</v>
      </c>
      <c r="H7" s="906"/>
      <c r="I7" s="906"/>
      <c r="J7" s="906"/>
      <c r="K7" s="906"/>
      <c r="L7" s="906"/>
      <c r="M7" s="906"/>
      <c r="N7" s="906"/>
      <c r="O7" s="906"/>
      <c r="P7" s="906"/>
      <c r="Q7" s="906"/>
      <c r="R7" s="906"/>
    </row>
    <row r="8" spans="1:29">
      <c r="A8" s="2635"/>
      <c r="B8" s="329" t="s">
        <v>2944</v>
      </c>
      <c r="C8" s="3257" t="s">
        <v>3299</v>
      </c>
      <c r="D8" s="2664"/>
      <c r="E8" s="2664"/>
      <c r="F8" s="2668"/>
      <c r="G8" s="2668"/>
      <c r="H8" s="906"/>
      <c r="I8" s="906"/>
      <c r="J8" s="906"/>
      <c r="K8" s="906"/>
      <c r="L8" s="906"/>
      <c r="M8" s="906"/>
      <c r="N8" s="906"/>
      <c r="O8" s="906"/>
      <c r="P8" s="906"/>
      <c r="Q8" s="906"/>
      <c r="R8" s="906"/>
    </row>
    <row r="9" spans="1:29">
      <c r="A9" s="2635"/>
      <c r="B9" s="329" t="s">
        <v>2948</v>
      </c>
      <c r="C9" s="3256" t="s">
        <v>3297</v>
      </c>
      <c r="D9" s="2658"/>
      <c r="E9" s="2664"/>
      <c r="F9" s="2668"/>
      <c r="G9" s="2668"/>
      <c r="H9" s="906"/>
      <c r="I9" s="906"/>
      <c r="J9" s="906"/>
      <c r="K9" s="906"/>
      <c r="L9" s="906"/>
      <c r="M9" s="906"/>
      <c r="N9" s="906"/>
      <c r="O9" s="906"/>
      <c r="P9" s="906"/>
      <c r="Q9" s="906"/>
      <c r="R9" s="906"/>
    </row>
    <row r="10" spans="1:29" s="2673" customFormat="1" ht="15" thickBot="1">
      <c r="A10" s="2636"/>
      <c r="B10" s="2669" t="s">
        <v>2949</v>
      </c>
      <c r="C10" s="3258" t="s">
        <v>3300</v>
      </c>
      <c r="D10" s="2658"/>
      <c r="E10" s="2658"/>
      <c r="F10" s="2668"/>
      <c r="G10" s="2668"/>
      <c r="H10" s="2670"/>
      <c r="I10" s="2671"/>
      <c r="J10" s="2672"/>
      <c r="K10" s="2670"/>
      <c r="L10" s="2671"/>
      <c r="M10" s="2672"/>
      <c r="N10" s="2670"/>
      <c r="O10" s="2671"/>
      <c r="P10" s="2672"/>
      <c r="Q10" s="2670"/>
      <c r="R10" s="2671"/>
      <c r="S10" s="906"/>
      <c r="T10" s="906"/>
      <c r="U10" s="906"/>
      <c r="V10" s="906"/>
      <c r="W10" s="906"/>
      <c r="X10" s="906"/>
      <c r="Y10" s="906"/>
      <c r="Z10" s="906"/>
      <c r="AA10" s="906"/>
      <c r="AB10" s="906"/>
      <c r="AC10" s="906"/>
    </row>
    <row r="11" spans="1:29" s="2673" customFormat="1">
      <c r="A11" s="2674"/>
      <c r="B11" s="2664"/>
      <c r="C11" s="2658"/>
      <c r="D11" s="2658"/>
      <c r="E11" s="2658"/>
      <c r="F11" s="2664"/>
      <c r="G11" s="2675"/>
      <c r="H11" s="2670"/>
      <c r="I11" s="2671"/>
      <c r="J11" s="2672"/>
      <c r="K11" s="2670"/>
      <c r="L11" s="2671"/>
      <c r="M11" s="2672"/>
      <c r="N11" s="2670"/>
      <c r="O11" s="2671"/>
      <c r="P11" s="2672"/>
      <c r="Q11" s="2670"/>
      <c r="R11" s="2671"/>
      <c r="S11" s="906"/>
      <c r="T11" s="906"/>
      <c r="U11" s="906"/>
      <c r="V11" s="906"/>
      <c r="W11" s="906"/>
      <c r="X11" s="906"/>
      <c r="Y11" s="906"/>
      <c r="Z11" s="906"/>
      <c r="AA11" s="906"/>
      <c r="AB11" s="906"/>
      <c r="AC11" s="906"/>
    </row>
    <row r="12" spans="1:29" s="2650" customFormat="1" ht="18">
      <c r="A12" s="2674"/>
      <c r="B12" s="2664"/>
      <c r="C12" s="2658"/>
      <c r="D12" s="2676"/>
      <c r="E12" s="2658"/>
      <c r="F12" s="2664"/>
      <c r="G12" s="2675"/>
      <c r="H12" s="2677"/>
      <c r="I12" s="2678"/>
      <c r="J12" s="2677"/>
      <c r="K12" s="2677"/>
      <c r="L12" s="2679"/>
      <c r="M12" s="2677"/>
      <c r="N12" s="2680"/>
      <c r="O12" s="2681"/>
      <c r="P12" s="2680"/>
      <c r="Q12" s="2680"/>
      <c r="R12" s="2648"/>
      <c r="S12" s="2649"/>
      <c r="T12" s="2649"/>
      <c r="U12" s="2649"/>
      <c r="V12" s="2649"/>
      <c r="W12" s="2649"/>
      <c r="X12" s="2649"/>
      <c r="Y12" s="2649"/>
      <c r="Z12" s="2649"/>
      <c r="AA12" s="2649"/>
      <c r="AB12" s="2649"/>
      <c r="AC12" s="2649"/>
    </row>
    <row r="13" spans="1:29" ht="15.75" thickBot="1">
      <c r="A13" s="2682" t="s">
        <v>2966</v>
      </c>
      <c r="B13" s="2676"/>
      <c r="C13" s="2676"/>
      <c r="D13" s="2674"/>
      <c r="E13" s="2676"/>
      <c r="F13" s="2676"/>
      <c r="G13" s="2676"/>
    </row>
    <row r="14" spans="1:29" ht="15" thickBot="1">
      <c r="A14" s="2686"/>
      <c r="B14" s="2686"/>
      <c r="C14" s="2687" t="s">
        <v>2950</v>
      </c>
      <c r="D14" s="2658"/>
      <c r="E14" s="2688"/>
      <c r="F14" s="2688"/>
      <c r="G14" s="2653" t="s">
        <v>2951</v>
      </c>
    </row>
    <row r="15" spans="1:29" ht="25.5">
      <c r="A15" s="2637" t="s">
        <v>2952</v>
      </c>
      <c r="B15" s="2689" t="s">
        <v>2935</v>
      </c>
      <c r="C15" s="2690">
        <f>C3</f>
        <v>0</v>
      </c>
      <c r="D15" s="2658"/>
      <c r="E15" s="2638" t="s">
        <v>2953</v>
      </c>
      <c r="F15" s="2689" t="s">
        <v>2954</v>
      </c>
      <c r="G15" s="2691" t="str">
        <f>G3</f>
        <v>估价对象位于XX开发区，园区建设成熟度XX，产业集聚程度XX</v>
      </c>
    </row>
    <row r="16" spans="1:29" ht="38.25">
      <c r="A16" s="2639"/>
      <c r="B16" s="2692" t="s">
        <v>2937</v>
      </c>
      <c r="C16" s="2693">
        <f>C4</f>
        <v>0</v>
      </c>
      <c r="D16" s="2658"/>
      <c r="E16" s="2640"/>
      <c r="F16" s="2694" t="s">
        <v>2938</v>
      </c>
      <c r="G16" s="2695" t="str">
        <f>G4</f>
        <v>估价对象周边道路状况、公共交通通达情况、停车便捷程度，综合评价交通便捷度较好</v>
      </c>
    </row>
    <row r="17" spans="1:18">
      <c r="A17" s="2639"/>
      <c r="B17" s="2692" t="s">
        <v>2940</v>
      </c>
      <c r="C17" s="2693" t="str">
        <f>C5</f>
        <v>好</v>
      </c>
      <c r="D17" s="2664"/>
      <c r="E17" s="2640"/>
      <c r="F17" s="2694" t="s">
        <v>2955</v>
      </c>
      <c r="G17" s="2696"/>
    </row>
    <row r="18" spans="1:18" ht="25.5">
      <c r="A18" s="2639"/>
      <c r="B18" s="2694" t="s">
        <v>2943</v>
      </c>
      <c r="C18" s="2695" t="str">
        <f>C6</f>
        <v>较好</v>
      </c>
      <c r="D18" s="2664"/>
      <c r="E18" s="2640"/>
      <c r="F18" s="2694" t="s">
        <v>2946</v>
      </c>
      <c r="G18" s="2695" t="str">
        <f>G7</f>
        <v>该园区内是否有污染型企业，绿化情况，卫生条件，整体环境状况判断</v>
      </c>
    </row>
    <row r="19" spans="1:18" ht="25.5">
      <c r="A19" s="2639"/>
      <c r="B19" s="2694" t="s">
        <v>2956</v>
      </c>
      <c r="C19" s="2696"/>
      <c r="D19" s="2658"/>
      <c r="E19" s="2640"/>
      <c r="F19" s="329" t="s">
        <v>2941</v>
      </c>
      <c r="G19" s="2695" t="str">
        <f>G5</f>
        <v>估价对象所在区域公共配套设施齐备情况</v>
      </c>
    </row>
    <row r="20" spans="1:18">
      <c r="A20" s="2639"/>
      <c r="B20" s="2694" t="s">
        <v>2957</v>
      </c>
      <c r="C20" s="2693" t="str">
        <f>C9</f>
        <v>较好</v>
      </c>
      <c r="D20" s="2664"/>
      <c r="E20" s="2640"/>
      <c r="F20" s="329" t="s">
        <v>2944</v>
      </c>
      <c r="G20" s="2695" t="str">
        <f>G6</f>
        <v>估价对象所在区域基础设施水平</v>
      </c>
    </row>
    <row r="21" spans="1:18">
      <c r="A21" s="2639"/>
      <c r="B21" s="329" t="s">
        <v>2941</v>
      </c>
      <c r="C21" s="2695" t="str">
        <f>C7</f>
        <v>好</v>
      </c>
      <c r="D21" s="2658"/>
      <c r="E21" s="2640"/>
      <c r="F21" s="2694" t="s">
        <v>2958</v>
      </c>
      <c r="G21" s="2697"/>
    </row>
    <row r="22" spans="1:18" ht="13.5" customHeight="1">
      <c r="A22" s="2639"/>
      <c r="B22" s="329" t="s">
        <v>2944</v>
      </c>
      <c r="C22" s="2695" t="str">
        <f>C8</f>
        <v>七通</v>
      </c>
      <c r="D22" s="2658"/>
      <c r="E22" s="2640"/>
      <c r="F22" s="2694" t="s">
        <v>2949</v>
      </c>
      <c r="G22" s="2696"/>
    </row>
    <row r="23" spans="1:18" s="906" customFormat="1" ht="15" thickBot="1">
      <c r="A23" s="2639"/>
      <c r="B23" s="2694" t="s">
        <v>2958</v>
      </c>
      <c r="C23" s="2697"/>
      <c r="D23" s="1894"/>
      <c r="E23" s="2641"/>
      <c r="F23" s="2698" t="s">
        <v>2959</v>
      </c>
      <c r="G23" s="2699"/>
      <c r="H23" s="2683"/>
      <c r="I23" s="2684"/>
      <c r="J23" s="2683"/>
      <c r="K23" s="2683"/>
      <c r="L23" s="2684"/>
      <c r="M23" s="2683"/>
      <c r="N23" s="2683"/>
      <c r="O23" s="2684"/>
      <c r="P23" s="2683"/>
      <c r="Q23" s="2683"/>
      <c r="R23" s="2685"/>
    </row>
    <row r="24" spans="1:18" s="906" customFormat="1" ht="15" thickBot="1">
      <c r="A24" s="2642"/>
      <c r="B24" s="2698" t="s">
        <v>2960</v>
      </c>
      <c r="C24" s="2700" t="str">
        <f>C10</f>
        <v>次干道</v>
      </c>
      <c r="D24" s="1894"/>
      <c r="E24" s="2632"/>
      <c r="F24" s="2632"/>
      <c r="G24" s="2701"/>
      <c r="H24" s="2683"/>
      <c r="I24" s="2684"/>
      <c r="J24" s="2683"/>
      <c r="K24" s="2683"/>
      <c r="L24" s="2684"/>
      <c r="M24" s="2683"/>
      <c r="N24" s="2683"/>
      <c r="O24" s="2684"/>
      <c r="P24" s="2683"/>
      <c r="Q24" s="2683"/>
      <c r="R24" s="2685"/>
    </row>
    <row r="25" spans="1:18" s="906" customFormat="1">
      <c r="B25" s="2683"/>
      <c r="C25" s="2683"/>
      <c r="D25" s="2683"/>
      <c r="H25" s="2683"/>
      <c r="I25" s="2684"/>
      <c r="J25" s="2683"/>
      <c r="K25" s="2683"/>
      <c r="L25" s="2684"/>
      <c r="M25" s="2683"/>
      <c r="N25" s="2683"/>
      <c r="O25" s="2684"/>
      <c r="P25" s="2683"/>
      <c r="Q25" s="2683"/>
      <c r="R25" s="2685"/>
    </row>
    <row r="26" spans="1:18" s="906" customFormat="1">
      <c r="B26" s="2683"/>
      <c r="C26" s="2683"/>
      <c r="D26" s="2683"/>
      <c r="H26" s="2683"/>
      <c r="I26" s="2684"/>
      <c r="J26" s="2683"/>
      <c r="K26" s="2683"/>
      <c r="L26" s="2684"/>
      <c r="M26" s="2683"/>
      <c r="N26" s="2683"/>
      <c r="O26" s="2684"/>
      <c r="P26" s="2683"/>
      <c r="Q26" s="2683"/>
      <c r="R26" s="2685"/>
    </row>
    <row r="27" spans="1:18" s="906" customFormat="1">
      <c r="B27" s="2683"/>
      <c r="C27" s="2683"/>
      <c r="D27" s="2683"/>
      <c r="H27" s="2683"/>
      <c r="I27" s="2684"/>
      <c r="J27" s="2683"/>
      <c r="K27" s="2683"/>
      <c r="L27" s="2684"/>
      <c r="M27" s="2683"/>
      <c r="N27" s="2683"/>
      <c r="O27" s="2684"/>
      <c r="P27" s="2683"/>
      <c r="Q27" s="2683"/>
      <c r="R27" s="2685"/>
    </row>
    <row r="28" spans="1:18" s="906" customFormat="1">
      <c r="B28" s="2683"/>
      <c r="C28" s="2683"/>
      <c r="D28" s="2683"/>
      <c r="H28" s="2683"/>
      <c r="I28" s="2684"/>
      <c r="J28" s="2683"/>
      <c r="K28" s="2683"/>
      <c r="L28" s="2684"/>
      <c r="M28" s="2683"/>
      <c r="N28" s="2683"/>
      <c r="O28" s="2684"/>
      <c r="P28" s="2683"/>
      <c r="Q28" s="2683"/>
      <c r="R28" s="2685"/>
    </row>
    <row r="29" spans="1:18" s="906" customFormat="1">
      <c r="B29" s="2683"/>
      <c r="C29" s="2683"/>
      <c r="D29" s="2683"/>
      <c r="H29" s="2683"/>
      <c r="I29" s="2684"/>
      <c r="J29" s="2683"/>
      <c r="K29" s="2683"/>
      <c r="L29" s="2684"/>
      <c r="M29" s="2683"/>
      <c r="N29" s="2683"/>
      <c r="O29" s="2684"/>
      <c r="P29" s="2683"/>
      <c r="Q29" s="2683"/>
      <c r="R29" s="2685"/>
    </row>
    <row r="30" spans="1:18" s="906" customFormat="1">
      <c r="B30" s="2683"/>
      <c r="C30" s="2683"/>
      <c r="D30" s="2683"/>
      <c r="H30" s="2683"/>
      <c r="I30" s="2684"/>
      <c r="J30" s="2683"/>
      <c r="K30" s="2683"/>
      <c r="L30" s="2684"/>
      <c r="M30" s="2683"/>
      <c r="N30" s="2683"/>
      <c r="O30" s="2684"/>
      <c r="P30" s="2683"/>
      <c r="Q30" s="2683"/>
      <c r="R30" s="2685"/>
    </row>
    <row r="31" spans="1:18" s="906" customFormat="1">
      <c r="B31" s="2683"/>
      <c r="C31" s="2683"/>
      <c r="D31" s="2683"/>
      <c r="H31" s="2683"/>
      <c r="I31" s="2684"/>
      <c r="J31" s="2683"/>
      <c r="K31" s="2683"/>
      <c r="L31" s="2684"/>
      <c r="M31" s="2683"/>
      <c r="N31" s="2683"/>
      <c r="O31" s="2684"/>
      <c r="P31" s="2683"/>
      <c r="Q31" s="2683"/>
      <c r="R31" s="2685"/>
    </row>
    <row r="32" spans="1:18" s="906" customFormat="1">
      <c r="B32" s="2683"/>
      <c r="C32" s="2683"/>
      <c r="D32" s="2683"/>
      <c r="H32" s="2683"/>
      <c r="I32" s="2684"/>
      <c r="J32" s="2683"/>
      <c r="K32" s="2683"/>
      <c r="L32" s="2684"/>
      <c r="M32" s="2683"/>
      <c r="N32" s="2683"/>
      <c r="O32" s="2684"/>
      <c r="P32" s="2683"/>
      <c r="Q32" s="2683"/>
      <c r="R32" s="2685"/>
    </row>
    <row r="33" spans="2:18" s="906" customFormat="1">
      <c r="B33" s="2683"/>
      <c r="C33" s="2683"/>
      <c r="D33" s="2683"/>
      <c r="H33" s="2683"/>
      <c r="I33" s="2684"/>
      <c r="J33" s="2683"/>
      <c r="K33" s="2683"/>
      <c r="L33" s="2684"/>
      <c r="M33" s="2683"/>
      <c r="N33" s="2683"/>
      <c r="O33" s="2684"/>
      <c r="P33" s="2683"/>
      <c r="Q33" s="2683"/>
      <c r="R33" s="2685"/>
    </row>
    <row r="34" spans="2:18" s="906" customFormat="1">
      <c r="B34" s="2683"/>
      <c r="C34" s="2683"/>
      <c r="D34" s="2683"/>
      <c r="H34" s="2683"/>
      <c r="I34" s="2684"/>
      <c r="J34" s="2683"/>
      <c r="K34" s="2683"/>
      <c r="L34" s="2684"/>
      <c r="M34" s="2683"/>
      <c r="N34" s="2683"/>
      <c r="O34" s="2684"/>
      <c r="P34" s="2683"/>
      <c r="Q34" s="2683"/>
      <c r="R34" s="2685"/>
    </row>
    <row r="35" spans="2:18" s="906" customFormat="1">
      <c r="B35" s="2683"/>
      <c r="C35" s="2683"/>
      <c r="D35" s="2683"/>
      <c r="H35" s="2683"/>
      <c r="I35" s="2684"/>
      <c r="J35" s="2683"/>
      <c r="K35" s="2683"/>
      <c r="L35" s="2684"/>
      <c r="M35" s="2683"/>
      <c r="N35" s="2683"/>
      <c r="O35" s="2684"/>
      <c r="P35" s="2683"/>
      <c r="Q35" s="2683"/>
      <c r="R35" s="2685"/>
    </row>
    <row r="36" spans="2:18" s="906" customFormat="1">
      <c r="B36" s="2683"/>
      <c r="C36" s="2683"/>
      <c r="D36" s="2683"/>
      <c r="H36" s="2683"/>
      <c r="I36" s="2684"/>
      <c r="J36" s="2683"/>
      <c r="K36" s="2683"/>
      <c r="L36" s="2684"/>
      <c r="M36" s="2683"/>
      <c r="N36" s="2683"/>
      <c r="O36" s="2684"/>
      <c r="P36" s="2683"/>
      <c r="Q36" s="2683"/>
      <c r="R36" s="2685"/>
    </row>
    <row r="37" spans="2:18" s="906" customFormat="1">
      <c r="B37" s="2683"/>
      <c r="C37" s="2683"/>
      <c r="D37" s="2683"/>
      <c r="H37" s="2683"/>
      <c r="I37" s="2684"/>
      <c r="J37" s="2683"/>
      <c r="K37" s="2683"/>
      <c r="L37" s="2684"/>
      <c r="M37" s="2683"/>
      <c r="N37" s="2683"/>
      <c r="O37" s="2684"/>
      <c r="P37" s="2683"/>
      <c r="Q37" s="2683"/>
      <c r="R37" s="2685"/>
    </row>
    <row r="38" spans="2:18" s="906" customFormat="1">
      <c r="B38" s="2683"/>
      <c r="C38" s="2683"/>
      <c r="D38" s="2683"/>
      <c r="E38" s="2683"/>
      <c r="F38" s="2683"/>
      <c r="G38" s="2684"/>
      <c r="H38" s="2683"/>
      <c r="I38" s="2684"/>
      <c r="J38" s="2683"/>
      <c r="K38" s="2683"/>
      <c r="L38" s="2684"/>
      <c r="M38" s="2683"/>
      <c r="N38" s="2683"/>
      <c r="O38" s="2684"/>
      <c r="P38" s="2683"/>
      <c r="Q38" s="2683"/>
      <c r="R38" s="2685"/>
    </row>
    <row r="39" spans="2:18" s="906" customFormat="1">
      <c r="B39" s="2683"/>
      <c r="C39" s="2683"/>
      <c r="D39" s="2683"/>
      <c r="E39" s="2683"/>
      <c r="F39" s="2683"/>
      <c r="G39" s="2684"/>
      <c r="H39" s="2683"/>
      <c r="I39" s="2684"/>
      <c r="J39" s="2683"/>
      <c r="K39" s="2683"/>
      <c r="L39" s="2684"/>
      <c r="M39" s="2683"/>
      <c r="N39" s="2683"/>
      <c r="O39" s="2684"/>
      <c r="P39" s="2683"/>
      <c r="Q39" s="2683"/>
      <c r="R39" s="2685"/>
    </row>
    <row r="40" spans="2:18" s="906" customFormat="1">
      <c r="B40" s="2683"/>
      <c r="C40" s="2683"/>
      <c r="D40" s="2683"/>
      <c r="E40" s="2683"/>
      <c r="F40" s="2683"/>
      <c r="G40" s="2684"/>
      <c r="H40" s="2683"/>
      <c r="I40" s="2684"/>
      <c r="J40" s="2683"/>
      <c r="K40" s="2683"/>
      <c r="L40" s="2684"/>
      <c r="M40" s="2683"/>
      <c r="N40" s="2683"/>
      <c r="O40" s="2684"/>
      <c r="P40" s="2683"/>
      <c r="Q40" s="2683"/>
      <c r="R40" s="2685"/>
    </row>
    <row r="41" spans="2:18" s="906" customFormat="1">
      <c r="B41" s="2683"/>
      <c r="C41" s="2683"/>
      <c r="D41" s="2683"/>
      <c r="E41" s="2683"/>
      <c r="F41" s="2683"/>
      <c r="G41" s="2684"/>
      <c r="H41" s="2683"/>
      <c r="I41" s="2684"/>
      <c r="J41" s="2683"/>
      <c r="K41" s="2683"/>
      <c r="L41" s="2684"/>
      <c r="M41" s="2683"/>
      <c r="N41" s="2683"/>
      <c r="O41" s="2684"/>
      <c r="P41" s="2683"/>
      <c r="Q41" s="2683"/>
      <c r="R41" s="2685"/>
    </row>
    <row r="42" spans="2:18" s="906" customFormat="1">
      <c r="B42" s="2683"/>
      <c r="C42" s="2683"/>
      <c r="D42" s="2683"/>
      <c r="E42" s="2683"/>
      <c r="F42" s="2683"/>
      <c r="G42" s="2684"/>
      <c r="H42" s="2683"/>
      <c r="I42" s="2684"/>
      <c r="J42" s="2683"/>
      <c r="K42" s="2683"/>
      <c r="L42" s="2684"/>
      <c r="M42" s="2683"/>
      <c r="N42" s="2683"/>
      <c r="O42" s="2684"/>
      <c r="P42" s="2683"/>
      <c r="Q42" s="2683"/>
      <c r="R42" s="2685"/>
    </row>
    <row r="43" spans="2:18" s="906" customFormat="1">
      <c r="B43" s="2683"/>
      <c r="C43" s="2683"/>
      <c r="D43" s="2683"/>
      <c r="E43" s="2683"/>
      <c r="F43" s="2683"/>
      <c r="G43" s="2684"/>
      <c r="H43" s="2683"/>
      <c r="I43" s="2684"/>
      <c r="J43" s="2683"/>
      <c r="K43" s="2683"/>
      <c r="L43" s="2684"/>
      <c r="M43" s="2683"/>
      <c r="N43" s="2683"/>
      <c r="O43" s="2684"/>
      <c r="P43" s="2683"/>
      <c r="Q43" s="2683"/>
      <c r="R43" s="2685"/>
    </row>
    <row r="44" spans="2:18" s="906" customFormat="1">
      <c r="B44" s="2683"/>
      <c r="C44" s="2683"/>
      <c r="D44" s="2683"/>
      <c r="E44" s="2683"/>
      <c r="F44" s="2683"/>
      <c r="G44" s="2684"/>
      <c r="H44" s="2683"/>
      <c r="I44" s="2684"/>
      <c r="J44" s="2683"/>
      <c r="K44" s="2683"/>
      <c r="L44" s="2684"/>
      <c r="M44" s="2683"/>
      <c r="N44" s="2683"/>
      <c r="O44" s="2684"/>
      <c r="P44" s="2683"/>
      <c r="Q44" s="2683"/>
      <c r="R44" s="2685"/>
    </row>
    <row r="45" spans="2:18" s="906" customFormat="1">
      <c r="B45" s="2683"/>
      <c r="C45" s="2683"/>
      <c r="D45" s="2683"/>
      <c r="E45" s="2683"/>
      <c r="F45" s="2683"/>
      <c r="G45" s="2684"/>
      <c r="H45" s="2683"/>
      <c r="I45" s="2684"/>
      <c r="J45" s="2683"/>
      <c r="K45" s="2683"/>
      <c r="L45" s="2684"/>
      <c r="M45" s="2683"/>
      <c r="N45" s="2683"/>
      <c r="O45" s="2684"/>
      <c r="P45" s="2683"/>
      <c r="Q45" s="2683"/>
      <c r="R45" s="2685"/>
    </row>
    <row r="46" spans="2:18" s="906" customFormat="1">
      <c r="B46" s="2683"/>
      <c r="C46" s="2683"/>
      <c r="D46" s="2683"/>
      <c r="E46" s="2683"/>
      <c r="F46" s="2683"/>
      <c r="G46" s="2684"/>
      <c r="H46" s="2683"/>
      <c r="I46" s="2684"/>
      <c r="J46" s="2683"/>
      <c r="K46" s="2683"/>
      <c r="L46" s="2684"/>
      <c r="M46" s="2683"/>
      <c r="N46" s="2683"/>
      <c r="O46" s="2684"/>
      <c r="P46" s="2683"/>
      <c r="Q46" s="2683"/>
      <c r="R46" s="2685"/>
    </row>
    <row r="47" spans="2:18" s="906" customFormat="1">
      <c r="B47" s="2683"/>
      <c r="C47" s="2683"/>
      <c r="D47" s="2683"/>
      <c r="E47" s="2683"/>
      <c r="F47" s="2683"/>
      <c r="G47" s="2684"/>
      <c r="H47" s="2683"/>
      <c r="I47" s="2684"/>
      <c r="J47" s="2683"/>
      <c r="K47" s="2683"/>
      <c r="L47" s="2684"/>
      <c r="M47" s="2683"/>
      <c r="N47" s="2683"/>
      <c r="O47" s="2684"/>
      <c r="P47" s="2683"/>
      <c r="Q47" s="2683"/>
      <c r="R47" s="2685"/>
    </row>
    <row r="48" spans="2:18" s="906" customFormat="1">
      <c r="B48" s="2683"/>
      <c r="C48" s="2683"/>
      <c r="D48" s="2683"/>
      <c r="E48" s="2683"/>
      <c r="F48" s="2683"/>
      <c r="G48" s="2684"/>
      <c r="H48" s="2683"/>
      <c r="I48" s="2684"/>
      <c r="J48" s="2683"/>
      <c r="K48" s="2683"/>
      <c r="L48" s="2684"/>
      <c r="M48" s="2683"/>
      <c r="N48" s="2683"/>
      <c r="O48" s="2684"/>
      <c r="P48" s="2683"/>
      <c r="Q48" s="2683"/>
      <c r="R48" s="2685"/>
    </row>
    <row r="49" spans="2:18" s="906" customFormat="1">
      <c r="B49" s="2683"/>
      <c r="C49" s="2683"/>
      <c r="D49" s="2683"/>
      <c r="E49" s="2683"/>
      <c r="F49" s="2683"/>
      <c r="G49" s="2684"/>
      <c r="H49" s="2683"/>
      <c r="I49" s="2684"/>
      <c r="J49" s="2683"/>
      <c r="K49" s="2683"/>
      <c r="L49" s="2684"/>
      <c r="M49" s="2683"/>
      <c r="N49" s="2683"/>
      <c r="O49" s="2684"/>
      <c r="P49" s="2683"/>
      <c r="Q49" s="2683"/>
      <c r="R49" s="2685"/>
    </row>
    <row r="50" spans="2:18" s="906" customFormat="1">
      <c r="B50" s="2683"/>
      <c r="C50" s="2683"/>
      <c r="D50" s="2683"/>
      <c r="E50" s="2683"/>
      <c r="F50" s="2683"/>
      <c r="G50" s="2684"/>
      <c r="H50" s="2683"/>
      <c r="I50" s="2684"/>
      <c r="J50" s="2683"/>
      <c r="K50" s="2683"/>
      <c r="L50" s="2684"/>
      <c r="M50" s="2683"/>
      <c r="N50" s="2683"/>
      <c r="O50" s="2684"/>
      <c r="P50" s="2683"/>
      <c r="Q50" s="2683"/>
      <c r="R50" s="2685"/>
    </row>
    <row r="51" spans="2:18" s="906" customFormat="1">
      <c r="B51" s="2683"/>
      <c r="C51" s="2683"/>
      <c r="D51" s="2683"/>
      <c r="E51" s="2683"/>
      <c r="F51" s="2683"/>
      <c r="G51" s="2684"/>
      <c r="H51" s="2683"/>
      <c r="I51" s="2684"/>
      <c r="J51" s="2683"/>
      <c r="K51" s="2683"/>
      <c r="L51" s="2684"/>
      <c r="M51" s="2683"/>
      <c r="N51" s="2683"/>
      <c r="O51" s="2684"/>
      <c r="P51" s="2683"/>
      <c r="Q51" s="2683"/>
      <c r="R51" s="2685"/>
    </row>
    <row r="52" spans="2:18" s="906" customFormat="1">
      <c r="B52" s="2683"/>
      <c r="C52" s="2683"/>
      <c r="D52" s="2683"/>
      <c r="E52" s="2683"/>
      <c r="F52" s="2683"/>
      <c r="G52" s="2684"/>
      <c r="H52" s="2683"/>
      <c r="I52" s="2684"/>
      <c r="J52" s="2683"/>
      <c r="K52" s="2683"/>
      <c r="L52" s="2684"/>
      <c r="M52" s="2683"/>
      <c r="N52" s="2683"/>
      <c r="O52" s="2684"/>
      <c r="P52" s="2683"/>
      <c r="Q52" s="2683"/>
      <c r="R52" s="2685"/>
    </row>
    <row r="53" spans="2:18" s="906" customFormat="1">
      <c r="B53" s="2683"/>
      <c r="C53" s="2683"/>
      <c r="D53" s="2683"/>
      <c r="E53" s="2683"/>
      <c r="F53" s="2683"/>
      <c r="G53" s="2684"/>
      <c r="H53" s="2683"/>
      <c r="I53" s="2684"/>
      <c r="J53" s="2683"/>
      <c r="K53" s="2683"/>
      <c r="L53" s="2684"/>
      <c r="M53" s="2683"/>
      <c r="N53" s="2683"/>
      <c r="O53" s="2684"/>
      <c r="P53" s="2683"/>
      <c r="Q53" s="2683"/>
      <c r="R53" s="2685"/>
    </row>
    <row r="54" spans="2:18" s="906" customFormat="1">
      <c r="B54" s="2683"/>
      <c r="C54" s="2683"/>
      <c r="D54" s="2683"/>
      <c r="E54" s="2683"/>
      <c r="F54" s="2683"/>
      <c r="G54" s="2684"/>
      <c r="H54" s="2683"/>
      <c r="I54" s="2684"/>
      <c r="J54" s="2683"/>
      <c r="K54" s="2683"/>
      <c r="L54" s="2684"/>
      <c r="M54" s="2683"/>
      <c r="N54" s="2683"/>
      <c r="O54" s="2684"/>
      <c r="P54" s="2683"/>
      <c r="Q54" s="2683"/>
      <c r="R54" s="2685"/>
    </row>
    <row r="55" spans="2:18" s="906" customFormat="1">
      <c r="B55" s="2683"/>
      <c r="C55" s="2683"/>
      <c r="D55" s="2683"/>
      <c r="E55" s="2683"/>
      <c r="F55" s="2683"/>
      <c r="G55" s="2684"/>
      <c r="H55" s="2683"/>
      <c r="I55" s="2684"/>
      <c r="J55" s="2683"/>
      <c r="K55" s="2683"/>
      <c r="L55" s="2684"/>
      <c r="M55" s="2683"/>
      <c r="N55" s="2683"/>
      <c r="O55" s="2684"/>
      <c r="P55" s="2683"/>
      <c r="Q55" s="2683"/>
      <c r="R55" s="2685"/>
    </row>
    <row r="56" spans="2:18" s="906" customFormat="1">
      <c r="B56" s="2683"/>
      <c r="C56" s="2683"/>
      <c r="D56" s="2683"/>
      <c r="E56" s="2683"/>
      <c r="F56" s="2683"/>
      <c r="G56" s="2684"/>
      <c r="H56" s="2683"/>
      <c r="I56" s="2684"/>
      <c r="J56" s="2683"/>
      <c r="K56" s="2683"/>
      <c r="L56" s="2684"/>
      <c r="M56" s="2683"/>
      <c r="N56" s="2683"/>
      <c r="O56" s="2684"/>
      <c r="P56" s="2683"/>
      <c r="Q56" s="2683"/>
      <c r="R56" s="2685"/>
    </row>
    <row r="57" spans="2:18" s="906" customFormat="1">
      <c r="B57" s="2683"/>
      <c r="C57" s="2683"/>
      <c r="D57" s="2683"/>
      <c r="E57" s="2683"/>
      <c r="F57" s="2683"/>
      <c r="G57" s="2684"/>
      <c r="H57" s="2683"/>
      <c r="I57" s="2684"/>
      <c r="J57" s="2683"/>
      <c r="K57" s="2683"/>
      <c r="L57" s="2684"/>
      <c r="M57" s="2683"/>
      <c r="N57" s="2683"/>
      <c r="O57" s="2684"/>
      <c r="P57" s="2683"/>
      <c r="Q57" s="2683"/>
      <c r="R57" s="2685"/>
    </row>
    <row r="58" spans="2:18" s="906" customFormat="1">
      <c r="B58" s="2683"/>
      <c r="C58" s="2683"/>
      <c r="D58" s="2683"/>
      <c r="E58" s="2683"/>
      <c r="F58" s="2683"/>
      <c r="G58" s="2684"/>
      <c r="H58" s="2683"/>
      <c r="I58" s="2684"/>
      <c r="J58" s="2683"/>
      <c r="K58" s="2683"/>
      <c r="L58" s="2684"/>
      <c r="M58" s="2683"/>
      <c r="N58" s="2683"/>
      <c r="O58" s="2684"/>
      <c r="P58" s="2683"/>
      <c r="Q58" s="2683"/>
      <c r="R58" s="2685"/>
    </row>
    <row r="59" spans="2:18" s="906" customFormat="1">
      <c r="B59" s="2683"/>
      <c r="C59" s="2683"/>
      <c r="D59" s="2683"/>
      <c r="E59" s="2683"/>
      <c r="F59" s="2683"/>
      <c r="G59" s="2684"/>
      <c r="H59" s="2683"/>
      <c r="I59" s="2684"/>
      <c r="J59" s="2683"/>
      <c r="K59" s="2683"/>
      <c r="L59" s="2684"/>
      <c r="M59" s="2683"/>
      <c r="N59" s="2683"/>
      <c r="O59" s="2684"/>
      <c r="P59" s="2683"/>
      <c r="Q59" s="2683"/>
      <c r="R59" s="2685"/>
    </row>
    <row r="60" spans="2:18" s="906" customFormat="1">
      <c r="B60" s="2683"/>
      <c r="C60" s="2683"/>
      <c r="D60" s="2683"/>
      <c r="E60" s="2683"/>
      <c r="F60" s="2683"/>
      <c r="G60" s="2684"/>
      <c r="H60" s="2683"/>
      <c r="I60" s="2684"/>
      <c r="J60" s="2683"/>
      <c r="K60" s="2683"/>
      <c r="L60" s="2684"/>
      <c r="M60" s="2683"/>
      <c r="N60" s="2683"/>
      <c r="O60" s="2684"/>
      <c r="P60" s="2683"/>
      <c r="Q60" s="2683"/>
      <c r="R60" s="2685"/>
    </row>
    <row r="61" spans="2:18" s="906" customFormat="1">
      <c r="B61" s="2683"/>
      <c r="C61" s="2683"/>
      <c r="D61" s="2683"/>
      <c r="E61" s="2683"/>
      <c r="F61" s="2683"/>
      <c r="G61" s="2684"/>
      <c r="H61" s="2683"/>
      <c r="I61" s="2684"/>
      <c r="J61" s="2683"/>
      <c r="K61" s="2683"/>
      <c r="L61" s="2684"/>
      <c r="M61" s="2683"/>
      <c r="N61" s="2683"/>
      <c r="O61" s="2684"/>
      <c r="P61" s="2683"/>
      <c r="Q61" s="2683"/>
      <c r="R61" s="2685"/>
    </row>
    <row r="62" spans="2:18" s="906" customFormat="1">
      <c r="B62" s="2683"/>
      <c r="C62" s="2683"/>
      <c r="D62" s="2683"/>
      <c r="E62" s="2683"/>
      <c r="F62" s="2683"/>
      <c r="G62" s="2684"/>
      <c r="H62" s="2683"/>
      <c r="I62" s="2684"/>
      <c r="J62" s="2683"/>
      <c r="K62" s="2683"/>
      <c r="L62" s="2684"/>
      <c r="M62" s="2683"/>
      <c r="N62" s="2683"/>
      <c r="O62" s="2684"/>
      <c r="P62" s="2683"/>
      <c r="Q62" s="2683"/>
      <c r="R62" s="2685"/>
    </row>
    <row r="63" spans="2:18" s="906" customFormat="1">
      <c r="B63" s="2683"/>
      <c r="C63" s="2683"/>
      <c r="D63" s="2683"/>
      <c r="E63" s="2683"/>
      <c r="F63" s="2683"/>
      <c r="G63" s="2684"/>
      <c r="H63" s="2683"/>
      <c r="I63" s="2684"/>
      <c r="J63" s="2683"/>
      <c r="K63" s="2683"/>
      <c r="L63" s="2684"/>
      <c r="M63" s="2683"/>
      <c r="N63" s="2683"/>
      <c r="O63" s="2684"/>
      <c r="P63" s="2683"/>
      <c r="Q63" s="2683"/>
      <c r="R63" s="2685"/>
    </row>
    <row r="64" spans="2:18" s="906" customFormat="1">
      <c r="B64" s="2683"/>
      <c r="C64" s="2683"/>
      <c r="D64" s="2683"/>
      <c r="E64" s="2683"/>
      <c r="F64" s="2683"/>
      <c r="G64" s="2684"/>
      <c r="H64" s="2683"/>
      <c r="I64" s="2684"/>
      <c r="J64" s="2683"/>
      <c r="K64" s="2683"/>
      <c r="L64" s="2684"/>
      <c r="M64" s="2683"/>
      <c r="N64" s="2683"/>
      <c r="O64" s="2684"/>
      <c r="P64" s="2683"/>
      <c r="Q64" s="2683"/>
      <c r="R64" s="2685"/>
    </row>
    <row r="65" spans="2:18" s="906" customFormat="1">
      <c r="B65" s="2683"/>
      <c r="C65" s="2683"/>
      <c r="D65" s="2683"/>
      <c r="E65" s="2683"/>
      <c r="F65" s="2683"/>
      <c r="G65" s="2684"/>
      <c r="H65" s="2683"/>
      <c r="I65" s="2684"/>
      <c r="J65" s="2683"/>
      <c r="K65" s="2683"/>
      <c r="L65" s="2684"/>
      <c r="M65" s="2683"/>
      <c r="N65" s="2683"/>
      <c r="O65" s="2684"/>
      <c r="P65" s="2683"/>
      <c r="Q65" s="2683"/>
      <c r="R65" s="2685"/>
    </row>
    <row r="66" spans="2:18" s="906" customFormat="1">
      <c r="B66" s="2683"/>
      <c r="C66" s="2683"/>
      <c r="D66" s="2683"/>
      <c r="E66" s="2683"/>
      <c r="F66" s="2683"/>
      <c r="G66" s="2684"/>
      <c r="H66" s="2683"/>
      <c r="I66" s="2684"/>
      <c r="J66" s="2683"/>
      <c r="K66" s="2683"/>
      <c r="L66" s="2684"/>
      <c r="M66" s="2683"/>
      <c r="N66" s="2683"/>
      <c r="O66" s="2684"/>
      <c r="P66" s="2683"/>
      <c r="Q66" s="2683"/>
      <c r="R66" s="2685"/>
    </row>
    <row r="67" spans="2:18" s="906" customFormat="1">
      <c r="B67" s="2683"/>
      <c r="C67" s="2683"/>
      <c r="D67" s="2683"/>
      <c r="E67" s="2683"/>
      <c r="F67" s="2683"/>
      <c r="G67" s="2684"/>
      <c r="H67" s="2683"/>
      <c r="I67" s="2684"/>
      <c r="J67" s="2683"/>
      <c r="K67" s="2683"/>
      <c r="L67" s="2684"/>
      <c r="M67" s="2683"/>
      <c r="N67" s="2683"/>
      <c r="O67" s="2684"/>
      <c r="P67" s="2683"/>
      <c r="Q67" s="2683"/>
      <c r="R67" s="2685"/>
    </row>
    <row r="68" spans="2:18" s="906" customFormat="1">
      <c r="B68" s="2683"/>
      <c r="C68" s="2683"/>
      <c r="D68" s="2683"/>
      <c r="E68" s="2683"/>
      <c r="F68" s="2683"/>
      <c r="G68" s="2684"/>
      <c r="H68" s="2683"/>
      <c r="I68" s="2684"/>
      <c r="J68" s="2683"/>
      <c r="K68" s="2683"/>
      <c r="L68" s="2684"/>
      <c r="M68" s="2683"/>
      <c r="N68" s="2683"/>
      <c r="O68" s="2684"/>
      <c r="P68" s="2683"/>
      <c r="Q68" s="2683"/>
      <c r="R68" s="2685"/>
    </row>
    <row r="69" spans="2:18" s="906" customFormat="1">
      <c r="B69" s="2683"/>
      <c r="C69" s="2683"/>
      <c r="D69" s="2683"/>
      <c r="E69" s="2683"/>
      <c r="F69" s="2683"/>
      <c r="G69" s="2684"/>
      <c r="H69" s="2683"/>
      <c r="I69" s="2684"/>
      <c r="J69" s="2683"/>
      <c r="K69" s="2683"/>
      <c r="L69" s="2684"/>
      <c r="M69" s="2683"/>
      <c r="N69" s="2683"/>
      <c r="O69" s="2684"/>
      <c r="P69" s="2683"/>
      <c r="Q69" s="2683"/>
      <c r="R69" s="2685"/>
    </row>
    <row r="70" spans="2:18" s="906" customFormat="1">
      <c r="B70" s="2683"/>
      <c r="C70" s="2683"/>
      <c r="D70" s="2683"/>
      <c r="E70" s="2683"/>
      <c r="F70" s="2683"/>
      <c r="G70" s="2684"/>
      <c r="H70" s="2683"/>
      <c r="I70" s="2684"/>
      <c r="J70" s="2683"/>
      <c r="K70" s="2683"/>
      <c r="L70" s="2684"/>
      <c r="M70" s="2683"/>
      <c r="N70" s="2683"/>
      <c r="O70" s="2684"/>
      <c r="P70" s="2683"/>
      <c r="Q70" s="2683"/>
      <c r="R70" s="2685"/>
    </row>
    <row r="71" spans="2:18" s="906" customFormat="1">
      <c r="B71" s="2683"/>
      <c r="C71" s="2683"/>
      <c r="D71" s="2683"/>
      <c r="E71" s="2683"/>
      <c r="F71" s="2683"/>
      <c r="G71" s="2684"/>
      <c r="H71" s="2683"/>
      <c r="I71" s="2684"/>
      <c r="J71" s="2683"/>
      <c r="K71" s="2683"/>
      <c r="L71" s="2684"/>
      <c r="M71" s="2683"/>
      <c r="N71" s="2683"/>
      <c r="O71" s="2684"/>
      <c r="P71" s="2683"/>
      <c r="Q71" s="2683"/>
      <c r="R71" s="2685"/>
    </row>
    <row r="72" spans="2:18" s="906" customFormat="1">
      <c r="B72" s="2683"/>
      <c r="C72" s="2683"/>
      <c r="D72" s="2683"/>
      <c r="E72" s="2683"/>
      <c r="F72" s="2683"/>
      <c r="G72" s="2684"/>
      <c r="H72" s="2683"/>
      <c r="I72" s="2684"/>
      <c r="J72" s="2683"/>
      <c r="K72" s="2683"/>
      <c r="L72" s="2684"/>
      <c r="M72" s="2683"/>
      <c r="N72" s="2683"/>
      <c r="O72" s="2684"/>
      <c r="P72" s="2683"/>
      <c r="Q72" s="2683"/>
      <c r="R72" s="2685"/>
    </row>
    <row r="73" spans="2:18" s="906" customFormat="1">
      <c r="B73" s="2683"/>
      <c r="C73" s="2683"/>
      <c r="D73" s="2683"/>
      <c r="E73" s="2683"/>
      <c r="F73" s="2683"/>
      <c r="G73" s="2684"/>
      <c r="H73" s="2683"/>
      <c r="I73" s="2684"/>
      <c r="J73" s="2683"/>
      <c r="K73" s="2683"/>
      <c r="L73" s="2684"/>
      <c r="M73" s="2683"/>
      <c r="N73" s="2683"/>
      <c r="O73" s="2684"/>
      <c r="P73" s="2683"/>
      <c r="Q73" s="2683"/>
      <c r="R73" s="2685"/>
    </row>
    <row r="74" spans="2:18" s="906" customFormat="1">
      <c r="B74" s="2683"/>
      <c r="C74" s="2683"/>
      <c r="D74" s="2683"/>
      <c r="E74" s="2683"/>
      <c r="F74" s="2683"/>
      <c r="G74" s="2684"/>
      <c r="H74" s="2683"/>
      <c r="I74" s="2684"/>
      <c r="J74" s="2683"/>
      <c r="K74" s="2683"/>
      <c r="L74" s="2684"/>
      <c r="M74" s="2683"/>
      <c r="N74" s="2683"/>
      <c r="O74" s="2684"/>
      <c r="P74" s="2683"/>
      <c r="Q74" s="2683"/>
      <c r="R74" s="2685"/>
    </row>
    <row r="75" spans="2:18" s="906" customFormat="1">
      <c r="B75" s="2683"/>
      <c r="C75" s="2683"/>
      <c r="D75" s="2683"/>
      <c r="E75" s="2683"/>
      <c r="F75" s="2683"/>
      <c r="G75" s="2684"/>
      <c r="H75" s="2683"/>
      <c r="I75" s="2684"/>
      <c r="J75" s="2683"/>
      <c r="K75" s="2683"/>
      <c r="L75" s="2684"/>
      <c r="M75" s="2683"/>
      <c r="N75" s="2683"/>
      <c r="O75" s="2684"/>
      <c r="P75" s="2683"/>
      <c r="Q75" s="2683"/>
      <c r="R75" s="2685"/>
    </row>
    <row r="76" spans="2:18" s="906" customFormat="1">
      <c r="B76" s="2683"/>
      <c r="C76" s="2683"/>
      <c r="D76" s="2683"/>
      <c r="E76" s="2683"/>
      <c r="F76" s="2683"/>
      <c r="G76" s="2684"/>
      <c r="H76" s="2683"/>
      <c r="I76" s="2684"/>
      <c r="J76" s="2683"/>
      <c r="K76" s="2683"/>
      <c r="L76" s="2684"/>
      <c r="M76" s="2683"/>
      <c r="N76" s="2683"/>
      <c r="O76" s="2684"/>
      <c r="P76" s="2683"/>
      <c r="Q76" s="2683"/>
      <c r="R76" s="2685"/>
    </row>
    <row r="77" spans="2:18" s="906" customFormat="1">
      <c r="B77" s="2683"/>
      <c r="C77" s="2683"/>
      <c r="D77" s="2683"/>
      <c r="E77" s="2683"/>
      <c r="F77" s="2683"/>
      <c r="G77" s="2684"/>
      <c r="H77" s="2683"/>
      <c r="I77" s="2684"/>
      <c r="J77" s="2683"/>
      <c r="K77" s="2683"/>
      <c r="L77" s="2684"/>
      <c r="M77" s="2683"/>
      <c r="N77" s="2683"/>
      <c r="O77" s="2684"/>
      <c r="P77" s="2683"/>
      <c r="Q77" s="2683"/>
      <c r="R77" s="2685"/>
    </row>
    <row r="78" spans="2:18" s="906" customFormat="1">
      <c r="B78" s="2683"/>
      <c r="C78" s="2683"/>
      <c r="D78" s="2683"/>
      <c r="E78" s="2683"/>
      <c r="F78" s="2683"/>
      <c r="G78" s="2684"/>
      <c r="H78" s="2683"/>
      <c r="I78" s="2684"/>
      <c r="J78" s="2683"/>
      <c r="K78" s="2683"/>
      <c r="L78" s="2684"/>
      <c r="M78" s="2683"/>
      <c r="N78" s="2683"/>
      <c r="O78" s="2684"/>
      <c r="P78" s="2683"/>
      <c r="Q78" s="2683"/>
      <c r="R78" s="2685"/>
    </row>
    <row r="79" spans="2:18" s="906" customFormat="1">
      <c r="B79" s="2683"/>
      <c r="C79" s="2683"/>
      <c r="D79" s="2683"/>
      <c r="E79" s="2683"/>
      <c r="F79" s="2683"/>
      <c r="G79" s="2684"/>
      <c r="H79" s="2683"/>
      <c r="I79" s="2684"/>
      <c r="J79" s="2683"/>
      <c r="K79" s="2683"/>
      <c r="L79" s="2684"/>
      <c r="M79" s="2683"/>
      <c r="N79" s="2683"/>
      <c r="O79" s="2684"/>
      <c r="P79" s="2683"/>
      <c r="Q79" s="2683"/>
      <c r="R79" s="2685"/>
    </row>
    <row r="80" spans="2:18" s="906" customFormat="1">
      <c r="B80" s="2683"/>
      <c r="C80" s="2683"/>
      <c r="D80" s="2683"/>
      <c r="E80" s="2683"/>
      <c r="F80" s="2683"/>
      <c r="G80" s="2684"/>
      <c r="H80" s="2683"/>
      <c r="I80" s="2684"/>
      <c r="J80" s="2683"/>
      <c r="K80" s="2683"/>
      <c r="L80" s="2684"/>
      <c r="M80" s="2683"/>
      <c r="N80" s="2683"/>
      <c r="O80" s="2684"/>
      <c r="P80" s="2683"/>
      <c r="Q80" s="2683"/>
      <c r="R80" s="2685"/>
    </row>
    <row r="81" spans="2:18" s="906" customFormat="1">
      <c r="B81" s="2683"/>
      <c r="C81" s="2683"/>
      <c r="D81" s="2683"/>
      <c r="E81" s="2683"/>
      <c r="F81" s="2683"/>
      <c r="G81" s="2684"/>
      <c r="H81" s="2683"/>
      <c r="I81" s="2684"/>
      <c r="J81" s="2683"/>
      <c r="K81" s="2683"/>
      <c r="L81" s="2684"/>
      <c r="M81" s="2683"/>
      <c r="N81" s="2683"/>
      <c r="O81" s="2684"/>
      <c r="P81" s="2683"/>
      <c r="Q81" s="2683"/>
      <c r="R81" s="2685"/>
    </row>
    <row r="82" spans="2:18" s="906" customFormat="1">
      <c r="B82" s="2683"/>
      <c r="C82" s="2683"/>
      <c r="D82" s="2683"/>
      <c r="E82" s="2683"/>
      <c r="F82" s="2683"/>
      <c r="G82" s="2684"/>
      <c r="H82" s="2683"/>
      <c r="I82" s="2684"/>
      <c r="J82" s="2683"/>
      <c r="K82" s="2683"/>
      <c r="L82" s="2684"/>
      <c r="M82" s="2683"/>
      <c r="N82" s="2683"/>
      <c r="O82" s="2684"/>
      <c r="P82" s="2683"/>
      <c r="Q82" s="2683"/>
      <c r="R82" s="2685"/>
    </row>
    <row r="83" spans="2:18" s="906" customFormat="1">
      <c r="B83" s="2683"/>
      <c r="C83" s="2683"/>
      <c r="D83" s="2683"/>
      <c r="E83" s="2683"/>
      <c r="F83" s="2683"/>
      <c r="G83" s="2684"/>
      <c r="H83" s="2683"/>
      <c r="I83" s="2684"/>
      <c r="J83" s="2683"/>
      <c r="K83" s="2683"/>
      <c r="L83" s="2684"/>
      <c r="M83" s="2683"/>
      <c r="N83" s="2683"/>
      <c r="O83" s="2684"/>
      <c r="P83" s="2683"/>
      <c r="Q83" s="2683"/>
      <c r="R83" s="2685"/>
    </row>
    <row r="84" spans="2:18" s="906" customFormat="1">
      <c r="B84" s="2683"/>
      <c r="C84" s="2683"/>
      <c r="D84" s="2683"/>
      <c r="E84" s="2683"/>
      <c r="F84" s="2683"/>
      <c r="G84" s="2684"/>
      <c r="H84" s="2683"/>
      <c r="I84" s="2684"/>
      <c r="J84" s="2683"/>
      <c r="K84" s="2683"/>
      <c r="L84" s="2684"/>
      <c r="M84" s="2683"/>
      <c r="N84" s="2683"/>
      <c r="O84" s="2684"/>
      <c r="P84" s="2683"/>
      <c r="Q84" s="2683"/>
      <c r="R84" s="2685"/>
    </row>
    <row r="85" spans="2:18" s="906" customFormat="1">
      <c r="B85" s="2683"/>
      <c r="C85" s="2683"/>
      <c r="D85" s="2683"/>
      <c r="E85" s="2683"/>
      <c r="F85" s="2683"/>
      <c r="G85" s="2684"/>
      <c r="H85" s="2683"/>
      <c r="I85" s="2684"/>
      <c r="J85" s="2683"/>
      <c r="K85" s="2683"/>
      <c r="L85" s="2684"/>
      <c r="M85" s="2683"/>
      <c r="N85" s="2683"/>
      <c r="O85" s="2684"/>
      <c r="P85" s="2683"/>
      <c r="Q85" s="2683"/>
      <c r="R85" s="2685"/>
    </row>
    <row r="86" spans="2:18" s="906" customFormat="1">
      <c r="B86" s="2683"/>
      <c r="C86" s="2683"/>
      <c r="D86" s="2683"/>
      <c r="E86" s="2683"/>
      <c r="F86" s="2683"/>
      <c r="G86" s="2684"/>
      <c r="H86" s="2683"/>
      <c r="I86" s="2684"/>
      <c r="J86" s="2683"/>
      <c r="K86" s="2683"/>
      <c r="L86" s="2684"/>
      <c r="M86" s="2683"/>
      <c r="N86" s="2683"/>
      <c r="O86" s="2684"/>
      <c r="P86" s="2683"/>
      <c r="Q86" s="2683"/>
      <c r="R86" s="2685"/>
    </row>
    <row r="87" spans="2:18" s="906" customFormat="1">
      <c r="B87" s="2683"/>
      <c r="C87" s="2683"/>
      <c r="D87" s="2683"/>
      <c r="E87" s="2683"/>
      <c r="F87" s="2683"/>
      <c r="G87" s="2684"/>
      <c r="H87" s="2683"/>
      <c r="I87" s="2684"/>
      <c r="J87" s="2683"/>
      <c r="K87" s="2683"/>
      <c r="L87" s="2684"/>
      <c r="M87" s="2683"/>
      <c r="N87" s="2683"/>
      <c r="O87" s="2684"/>
      <c r="P87" s="2683"/>
      <c r="Q87" s="2683"/>
      <c r="R87" s="2685"/>
    </row>
    <row r="88" spans="2:18" s="906" customFormat="1">
      <c r="B88" s="2683"/>
      <c r="C88" s="2683"/>
      <c r="D88" s="2683"/>
      <c r="E88" s="2683"/>
      <c r="F88" s="2683"/>
      <c r="G88" s="2684"/>
      <c r="H88" s="2683"/>
      <c r="I88" s="2684"/>
      <c r="J88" s="2683"/>
      <c r="K88" s="2683"/>
      <c r="L88" s="2684"/>
      <c r="M88" s="2683"/>
      <c r="N88" s="2683"/>
      <c r="O88" s="2684"/>
      <c r="P88" s="2683"/>
      <c r="Q88" s="2683"/>
      <c r="R88" s="2685"/>
    </row>
    <row r="89" spans="2:18" s="906" customFormat="1">
      <c r="B89" s="2683"/>
      <c r="C89" s="2683"/>
      <c r="D89" s="2683"/>
      <c r="E89" s="2683"/>
      <c r="F89" s="2683"/>
      <c r="G89" s="2684"/>
      <c r="H89" s="2683"/>
      <c r="I89" s="2684"/>
      <c r="J89" s="2683"/>
      <c r="K89" s="2683"/>
      <c r="L89" s="2684"/>
      <c r="M89" s="2683"/>
      <c r="N89" s="2683"/>
      <c r="O89" s="2684"/>
      <c r="P89" s="2683"/>
      <c r="Q89" s="2683"/>
      <c r="R89" s="2685"/>
    </row>
    <row r="90" spans="2:18" s="906" customFormat="1">
      <c r="B90" s="2683"/>
      <c r="C90" s="2683"/>
      <c r="D90" s="2683"/>
      <c r="E90" s="2683"/>
      <c r="F90" s="2683"/>
      <c r="G90" s="2684"/>
      <c r="H90" s="2683"/>
      <c r="I90" s="2684"/>
      <c r="J90" s="2683"/>
      <c r="K90" s="2683"/>
      <c r="L90" s="2684"/>
      <c r="M90" s="2683"/>
      <c r="N90" s="2683"/>
      <c r="O90" s="2684"/>
      <c r="P90" s="2683"/>
      <c r="Q90" s="2683"/>
      <c r="R90" s="2685"/>
    </row>
    <row r="91" spans="2:18" s="906" customFormat="1">
      <c r="B91" s="2683"/>
      <c r="C91" s="2683"/>
      <c r="D91" s="2683"/>
      <c r="E91" s="2683"/>
      <c r="F91" s="2683"/>
      <c r="G91" s="2684"/>
      <c r="H91" s="2683"/>
      <c r="I91" s="2684"/>
      <c r="J91" s="2683"/>
      <c r="K91" s="2683"/>
      <c r="L91" s="2684"/>
      <c r="M91" s="2683"/>
      <c r="N91" s="2683"/>
      <c r="O91" s="2684"/>
      <c r="P91" s="2683"/>
      <c r="Q91" s="2683"/>
      <c r="R91" s="2685"/>
    </row>
    <row r="92" spans="2:18" s="906" customFormat="1">
      <c r="B92" s="2683"/>
      <c r="C92" s="2683"/>
      <c r="D92" s="2683"/>
      <c r="E92" s="2683"/>
      <c r="F92" s="2683"/>
      <c r="G92" s="2684"/>
      <c r="H92" s="2683"/>
      <c r="I92" s="2684"/>
      <c r="J92" s="2683"/>
      <c r="K92" s="2683"/>
      <c r="L92" s="2684"/>
      <c r="M92" s="2683"/>
      <c r="N92" s="2683"/>
      <c r="O92" s="2684"/>
      <c r="P92" s="2683"/>
      <c r="Q92" s="2683"/>
      <c r="R92" s="2685"/>
    </row>
    <row r="93" spans="2:18" s="906" customFormat="1">
      <c r="B93" s="2683"/>
      <c r="C93" s="2683"/>
      <c r="D93" s="2683"/>
      <c r="E93" s="2683"/>
      <c r="F93" s="2683"/>
      <c r="G93" s="2684"/>
      <c r="H93" s="2683"/>
      <c r="I93" s="2684"/>
      <c r="J93" s="2683"/>
      <c r="K93" s="2683"/>
      <c r="L93" s="2684"/>
      <c r="M93" s="2683"/>
      <c r="N93" s="2683"/>
      <c r="O93" s="2684"/>
      <c r="P93" s="2683"/>
      <c r="Q93" s="2683"/>
      <c r="R93" s="2685"/>
    </row>
    <row r="94" spans="2:18" s="906" customFormat="1">
      <c r="B94" s="2683"/>
      <c r="C94" s="2683"/>
      <c r="D94" s="2683"/>
      <c r="E94" s="2683"/>
      <c r="F94" s="2683"/>
      <c r="G94" s="2684"/>
      <c r="H94" s="2683"/>
      <c r="I94" s="2684"/>
      <c r="J94" s="2683"/>
      <c r="K94" s="2683"/>
      <c r="L94" s="2684"/>
      <c r="M94" s="2683"/>
      <c r="N94" s="2683"/>
      <c r="O94" s="2684"/>
      <c r="P94" s="2683"/>
      <c r="Q94" s="2683"/>
      <c r="R94" s="2685"/>
    </row>
    <row r="95" spans="2:18" s="906" customFormat="1">
      <c r="B95" s="2683"/>
      <c r="C95" s="2683"/>
      <c r="D95" s="2683"/>
      <c r="E95" s="2683"/>
      <c r="F95" s="2683"/>
      <c r="G95" s="2684"/>
      <c r="H95" s="2683"/>
      <c r="I95" s="2684"/>
      <c r="J95" s="2683"/>
      <c r="K95" s="2683"/>
      <c r="L95" s="2684"/>
      <c r="M95" s="2683"/>
      <c r="N95" s="2683"/>
      <c r="O95" s="2684"/>
      <c r="P95" s="2683"/>
      <c r="Q95" s="2683"/>
      <c r="R95" s="2685"/>
    </row>
    <row r="96" spans="2:18" s="906" customFormat="1">
      <c r="B96" s="2683"/>
      <c r="C96" s="2683"/>
      <c r="D96" s="2683"/>
      <c r="E96" s="2683"/>
      <c r="F96" s="2683"/>
      <c r="G96" s="2684"/>
      <c r="H96" s="2683"/>
      <c r="I96" s="2684"/>
      <c r="J96" s="2683"/>
      <c r="K96" s="2683"/>
      <c r="L96" s="2684"/>
      <c r="M96" s="2683"/>
      <c r="N96" s="2683"/>
      <c r="O96" s="2684"/>
      <c r="P96" s="2683"/>
      <c r="Q96" s="2683"/>
      <c r="R96" s="2685"/>
    </row>
    <row r="97" spans="2:18" s="906" customFormat="1">
      <c r="B97" s="2683"/>
      <c r="C97" s="2683"/>
      <c r="D97" s="2683"/>
      <c r="E97" s="2683"/>
      <c r="F97" s="2683"/>
      <c r="G97" s="2684"/>
      <c r="H97" s="2683"/>
      <c r="I97" s="2684"/>
      <c r="J97" s="2683"/>
      <c r="K97" s="2683"/>
      <c r="L97" s="2684"/>
      <c r="M97" s="2683"/>
      <c r="N97" s="2683"/>
      <c r="O97" s="2684"/>
      <c r="P97" s="2683"/>
      <c r="Q97" s="2683"/>
      <c r="R97" s="2685"/>
    </row>
    <row r="98" spans="2:18" s="906" customFormat="1">
      <c r="B98" s="2683"/>
      <c r="C98" s="2683"/>
      <c r="D98" s="2683"/>
      <c r="E98" s="2683"/>
      <c r="F98" s="2683"/>
      <c r="G98" s="2684"/>
      <c r="H98" s="2683"/>
      <c r="I98" s="2684"/>
      <c r="J98" s="2683"/>
      <c r="K98" s="2683"/>
      <c r="L98" s="2684"/>
      <c r="M98" s="2683"/>
      <c r="N98" s="2683"/>
      <c r="O98" s="2684"/>
      <c r="P98" s="2683"/>
      <c r="Q98" s="2683"/>
      <c r="R98" s="2685"/>
    </row>
    <row r="99" spans="2:18" s="906" customFormat="1">
      <c r="B99" s="2683"/>
      <c r="C99" s="2683"/>
      <c r="D99" s="2683"/>
      <c r="E99" s="2683"/>
      <c r="F99" s="2683"/>
      <c r="G99" s="2684"/>
      <c r="H99" s="2683"/>
      <c r="I99" s="2684"/>
      <c r="J99" s="2683"/>
      <c r="K99" s="2683"/>
      <c r="L99" s="2684"/>
      <c r="M99" s="2683"/>
      <c r="N99" s="2683"/>
      <c r="O99" s="2684"/>
      <c r="P99" s="2683"/>
      <c r="Q99" s="2683"/>
      <c r="R99" s="2685"/>
    </row>
    <row r="100" spans="2:18" s="906" customFormat="1">
      <c r="B100" s="2683"/>
      <c r="C100" s="2683"/>
      <c r="D100" s="2683"/>
      <c r="E100" s="2683"/>
      <c r="F100" s="2683"/>
      <c r="G100" s="2684"/>
      <c r="H100" s="2683"/>
      <c r="I100" s="2684"/>
      <c r="J100" s="2683"/>
      <c r="K100" s="2683"/>
      <c r="L100" s="2684"/>
      <c r="M100" s="2683"/>
      <c r="N100" s="2683"/>
      <c r="O100" s="2684"/>
      <c r="P100" s="2683"/>
      <c r="Q100" s="2683"/>
      <c r="R100" s="2685"/>
    </row>
    <row r="101" spans="2:18" s="906" customFormat="1">
      <c r="B101" s="2683"/>
      <c r="C101" s="2683"/>
      <c r="D101" s="2683"/>
      <c r="E101" s="2683"/>
      <c r="F101" s="2683"/>
      <c r="G101" s="2684"/>
      <c r="H101" s="2683"/>
      <c r="I101" s="2684"/>
      <c r="J101" s="2683"/>
      <c r="K101" s="2683"/>
      <c r="L101" s="2684"/>
      <c r="M101" s="2683"/>
      <c r="N101" s="2683"/>
      <c r="O101" s="2684"/>
      <c r="P101" s="2683"/>
      <c r="Q101" s="2683"/>
      <c r="R101" s="2685"/>
    </row>
    <row r="102" spans="2:18" s="906" customFormat="1">
      <c r="B102" s="2683"/>
      <c r="C102" s="2683"/>
      <c r="D102" s="2683"/>
      <c r="E102" s="2683"/>
      <c r="F102" s="2683"/>
      <c r="G102" s="2684"/>
      <c r="H102" s="2683"/>
      <c r="I102" s="2684"/>
      <c r="J102" s="2683"/>
      <c r="K102" s="2683"/>
      <c r="L102" s="2684"/>
      <c r="M102" s="2683"/>
      <c r="N102" s="2683"/>
      <c r="O102" s="2684"/>
      <c r="P102" s="2683"/>
      <c r="Q102" s="2683"/>
      <c r="R102" s="2685"/>
    </row>
    <row r="103" spans="2:18" s="906" customFormat="1">
      <c r="B103" s="2683"/>
      <c r="C103" s="2683"/>
      <c r="D103" s="2683"/>
      <c r="E103" s="2683"/>
      <c r="F103" s="2683"/>
      <c r="G103" s="2684"/>
      <c r="H103" s="2683"/>
      <c r="I103" s="2684"/>
      <c r="J103" s="2683"/>
      <c r="K103" s="2683"/>
      <c r="L103" s="2684"/>
      <c r="M103" s="2683"/>
      <c r="N103" s="2683"/>
      <c r="O103" s="2684"/>
      <c r="P103" s="2683"/>
      <c r="Q103" s="2683"/>
      <c r="R103" s="2685"/>
    </row>
    <row r="104" spans="2:18" s="906" customFormat="1">
      <c r="B104" s="2683"/>
      <c r="C104" s="2683"/>
      <c r="D104" s="2683"/>
      <c r="E104" s="2683"/>
      <c r="F104" s="2683"/>
      <c r="G104" s="2684"/>
      <c r="H104" s="2683"/>
      <c r="I104" s="2684"/>
      <c r="J104" s="2683"/>
      <c r="K104" s="2683"/>
      <c r="L104" s="2684"/>
      <c r="M104" s="2683"/>
      <c r="N104" s="2683"/>
      <c r="O104" s="2684"/>
      <c r="P104" s="2683"/>
      <c r="Q104" s="2683"/>
      <c r="R104" s="2685"/>
    </row>
    <row r="105" spans="2:18" s="906" customFormat="1">
      <c r="B105" s="2683"/>
      <c r="C105" s="2683"/>
      <c r="D105" s="2683"/>
      <c r="E105" s="2683"/>
      <c r="F105" s="2683"/>
      <c r="G105" s="2684"/>
      <c r="H105" s="2683"/>
      <c r="I105" s="2684"/>
      <c r="J105" s="2683"/>
      <c r="K105" s="2683"/>
      <c r="L105" s="2684"/>
      <c r="M105" s="2683"/>
      <c r="N105" s="2683"/>
      <c r="O105" s="2684"/>
      <c r="P105" s="2683"/>
      <c r="Q105" s="2683"/>
      <c r="R105" s="2685"/>
    </row>
    <row r="106" spans="2:18" s="906" customFormat="1">
      <c r="B106" s="2683"/>
      <c r="C106" s="2683"/>
      <c r="D106" s="2683"/>
      <c r="E106" s="2683"/>
      <c r="F106" s="2683"/>
      <c r="G106" s="2684"/>
      <c r="H106" s="2683"/>
      <c r="I106" s="2684"/>
      <c r="J106" s="2683"/>
      <c r="K106" s="2683"/>
      <c r="L106" s="2684"/>
      <c r="M106" s="2683"/>
      <c r="N106" s="2683"/>
      <c r="O106" s="2684"/>
      <c r="P106" s="2683"/>
      <c r="Q106" s="2683"/>
      <c r="R106" s="2685"/>
    </row>
    <row r="107" spans="2:18" s="906" customFormat="1">
      <c r="B107" s="2683"/>
      <c r="C107" s="2683"/>
      <c r="D107" s="2683"/>
      <c r="E107" s="2683"/>
      <c r="F107" s="2683"/>
      <c r="G107" s="2684"/>
      <c r="H107" s="2683"/>
      <c r="I107" s="2684"/>
      <c r="J107" s="2683"/>
      <c r="K107" s="2683"/>
      <c r="L107" s="2684"/>
      <c r="M107" s="2683"/>
      <c r="N107" s="2683"/>
      <c r="O107" s="2684"/>
      <c r="P107" s="2683"/>
      <c r="Q107" s="2683"/>
      <c r="R107" s="2685"/>
    </row>
    <row r="108" spans="2:18" s="906" customFormat="1">
      <c r="B108" s="2683"/>
      <c r="C108" s="2683"/>
      <c r="D108" s="2683"/>
      <c r="E108" s="2683"/>
      <c r="F108" s="2683"/>
      <c r="G108" s="2684"/>
      <c r="H108" s="2683"/>
      <c r="I108" s="2684"/>
      <c r="J108" s="2683"/>
      <c r="K108" s="2683"/>
      <c r="L108" s="2684"/>
      <c r="M108" s="2683"/>
      <c r="N108" s="2683"/>
      <c r="O108" s="2684"/>
      <c r="P108" s="2683"/>
      <c r="Q108" s="2683"/>
      <c r="R108" s="2685"/>
    </row>
    <row r="109" spans="2:18" s="906" customFormat="1">
      <c r="B109" s="2683"/>
      <c r="C109" s="2683"/>
      <c r="D109" s="2683"/>
      <c r="E109" s="2683"/>
      <c r="F109" s="2683"/>
      <c r="G109" s="2684"/>
      <c r="H109" s="2683"/>
      <c r="I109" s="2684"/>
      <c r="J109" s="2683"/>
      <c r="K109" s="2683"/>
      <c r="L109" s="2684"/>
      <c r="M109" s="2683"/>
      <c r="N109" s="2683"/>
      <c r="O109" s="2684"/>
      <c r="P109" s="2683"/>
      <c r="Q109" s="2683"/>
      <c r="R109" s="2685"/>
    </row>
    <row r="110" spans="2:18" s="906" customFormat="1">
      <c r="B110" s="2683"/>
      <c r="C110" s="2683"/>
      <c r="D110" s="2683"/>
      <c r="E110" s="2683"/>
      <c r="F110" s="2683"/>
      <c r="G110" s="2684"/>
      <c r="H110" s="2683"/>
      <c r="I110" s="2684"/>
      <c r="J110" s="2683"/>
      <c r="K110" s="2683"/>
      <c r="L110" s="2684"/>
      <c r="M110" s="2683"/>
      <c r="N110" s="2683"/>
      <c r="O110" s="2684"/>
      <c r="P110" s="2683"/>
      <c r="Q110" s="2683"/>
      <c r="R110" s="2685"/>
    </row>
    <row r="111" spans="2:18" s="906" customFormat="1">
      <c r="B111" s="2683"/>
      <c r="C111" s="2683"/>
      <c r="D111" s="2683"/>
      <c r="E111" s="2683"/>
      <c r="F111" s="2683"/>
      <c r="G111" s="2684"/>
      <c r="H111" s="2683"/>
      <c r="I111" s="2684"/>
      <c r="J111" s="2683"/>
      <c r="K111" s="2683"/>
      <c r="L111" s="2684"/>
      <c r="M111" s="2683"/>
      <c r="N111" s="2683"/>
      <c r="O111" s="2684"/>
      <c r="P111" s="2683"/>
      <c r="Q111" s="2683"/>
      <c r="R111" s="2685"/>
    </row>
    <row r="112" spans="2:18" s="906" customFormat="1">
      <c r="B112" s="2683"/>
      <c r="C112" s="2683"/>
      <c r="D112" s="2683"/>
      <c r="E112" s="2683"/>
      <c r="F112" s="2683"/>
      <c r="G112" s="2684"/>
      <c r="H112" s="2683"/>
      <c r="I112" s="2684"/>
      <c r="J112" s="2683"/>
      <c r="K112" s="2683"/>
      <c r="L112" s="2684"/>
      <c r="M112" s="2683"/>
      <c r="N112" s="2683"/>
      <c r="O112" s="2684"/>
      <c r="P112" s="2683"/>
      <c r="Q112" s="2683"/>
      <c r="R112" s="2685"/>
    </row>
    <row r="113" spans="2:18" s="906" customFormat="1">
      <c r="B113" s="2683"/>
      <c r="C113" s="2683"/>
      <c r="D113" s="2683"/>
      <c r="E113" s="2683"/>
      <c r="F113" s="2683"/>
      <c r="G113" s="2684"/>
      <c r="H113" s="2683"/>
      <c r="I113" s="2684"/>
      <c r="J113" s="2683"/>
      <c r="K113" s="2683"/>
      <c r="L113" s="2684"/>
      <c r="M113" s="2683"/>
      <c r="N113" s="2683"/>
      <c r="O113" s="2684"/>
      <c r="P113" s="2683"/>
      <c r="Q113" s="2683"/>
      <c r="R113" s="2685"/>
    </row>
    <row r="114" spans="2:18" s="906" customFormat="1">
      <c r="B114" s="2683"/>
      <c r="C114" s="2683"/>
      <c r="D114" s="2683"/>
      <c r="E114" s="2683"/>
      <c r="F114" s="2683"/>
      <c r="G114" s="2684"/>
      <c r="H114" s="2683"/>
      <c r="I114" s="2684"/>
      <c r="J114" s="2683"/>
      <c r="K114" s="2683"/>
      <c r="L114" s="2684"/>
      <c r="M114" s="2683"/>
      <c r="N114" s="2683"/>
      <c r="O114" s="2684"/>
      <c r="P114" s="2683"/>
      <c r="Q114" s="2683"/>
      <c r="R114" s="2685"/>
    </row>
    <row r="115" spans="2:18" s="906" customFormat="1">
      <c r="B115" s="2683"/>
      <c r="C115" s="2683"/>
      <c r="D115" s="2683"/>
      <c r="E115" s="2683"/>
      <c r="F115" s="2683"/>
      <c r="G115" s="2684"/>
      <c r="H115" s="2683"/>
      <c r="I115" s="2684"/>
      <c r="J115" s="2683"/>
      <c r="K115" s="2683"/>
      <c r="L115" s="2684"/>
      <c r="M115" s="2683"/>
      <c r="N115" s="2683"/>
      <c r="O115" s="2684"/>
      <c r="P115" s="2683"/>
      <c r="Q115" s="2683"/>
      <c r="R115" s="2685"/>
    </row>
    <row r="116" spans="2:18" s="906" customFormat="1">
      <c r="B116" s="2683"/>
      <c r="C116" s="2683"/>
      <c r="D116" s="2683"/>
      <c r="E116" s="2683"/>
      <c r="F116" s="2683"/>
      <c r="G116" s="2684"/>
      <c r="H116" s="2683"/>
      <c r="I116" s="2684"/>
      <c r="J116" s="2683"/>
      <c r="K116" s="2683"/>
      <c r="L116" s="2684"/>
      <c r="M116" s="2683"/>
      <c r="N116" s="2683"/>
      <c r="O116" s="2684"/>
      <c r="P116" s="2683"/>
      <c r="Q116" s="2683"/>
      <c r="R116" s="2685"/>
    </row>
    <row r="117" spans="2:18" s="906" customFormat="1">
      <c r="B117" s="2683"/>
      <c r="C117" s="2683"/>
      <c r="D117" s="2683"/>
      <c r="E117" s="2683"/>
      <c r="F117" s="2683"/>
      <c r="G117" s="2684"/>
      <c r="H117" s="2683"/>
      <c r="I117" s="2684"/>
      <c r="J117" s="2683"/>
      <c r="K117" s="2683"/>
      <c r="L117" s="2684"/>
      <c r="M117" s="2683"/>
      <c r="N117" s="2683"/>
      <c r="O117" s="2684"/>
      <c r="P117" s="2683"/>
      <c r="Q117" s="2683"/>
      <c r="R117" s="2685"/>
    </row>
    <row r="118" spans="2:18" s="906" customFormat="1">
      <c r="B118" s="2683"/>
      <c r="C118" s="2683"/>
      <c r="D118" s="2683"/>
      <c r="E118" s="2683"/>
      <c r="F118" s="2683"/>
      <c r="G118" s="2684"/>
      <c r="H118" s="2683"/>
      <c r="I118" s="2684"/>
      <c r="J118" s="2683"/>
      <c r="K118" s="2683"/>
      <c r="L118" s="2684"/>
      <c r="M118" s="2683"/>
      <c r="N118" s="2683"/>
      <c r="O118" s="2684"/>
      <c r="P118" s="2683"/>
      <c r="Q118" s="2683"/>
      <c r="R118" s="2685"/>
    </row>
    <row r="119" spans="2:18" s="906" customFormat="1">
      <c r="B119" s="2683"/>
      <c r="C119" s="2683"/>
      <c r="D119" s="2683"/>
      <c r="E119" s="2683"/>
      <c r="F119" s="2683"/>
      <c r="G119" s="2684"/>
      <c r="H119" s="2683"/>
      <c r="I119" s="2684"/>
      <c r="J119" s="2683"/>
      <c r="K119" s="2683"/>
      <c r="L119" s="2684"/>
      <c r="M119" s="2683"/>
      <c r="N119" s="2683"/>
      <c r="O119" s="2684"/>
      <c r="P119" s="2683"/>
      <c r="Q119" s="2683"/>
      <c r="R119" s="2685"/>
    </row>
    <row r="120" spans="2:18" s="906" customFormat="1">
      <c r="B120" s="2683"/>
      <c r="C120" s="2683"/>
      <c r="D120" s="2683"/>
      <c r="E120" s="2683"/>
      <c r="F120" s="2683"/>
      <c r="G120" s="2684"/>
      <c r="H120" s="2683"/>
      <c r="I120" s="2684"/>
      <c r="J120" s="2683"/>
      <c r="K120" s="2683"/>
      <c r="L120" s="2684"/>
      <c r="M120" s="2683"/>
      <c r="N120" s="2683"/>
      <c r="O120" s="2684"/>
      <c r="P120" s="2683"/>
      <c r="Q120" s="2683"/>
      <c r="R120" s="2685"/>
    </row>
    <row r="121" spans="2:18" s="906" customFormat="1">
      <c r="B121" s="2683"/>
      <c r="C121" s="2683"/>
      <c r="D121" s="2683"/>
      <c r="E121" s="2683"/>
      <c r="F121" s="2683"/>
      <c r="G121" s="2684"/>
      <c r="H121" s="2683"/>
      <c r="I121" s="2684"/>
      <c r="J121" s="2683"/>
      <c r="K121" s="2683"/>
      <c r="L121" s="2684"/>
      <c r="M121" s="2683"/>
      <c r="N121" s="2683"/>
      <c r="O121" s="2684"/>
      <c r="P121" s="2683"/>
      <c r="Q121" s="2683"/>
      <c r="R121" s="2685"/>
    </row>
    <row r="122" spans="2:18" s="906" customFormat="1">
      <c r="B122" s="2683"/>
      <c r="C122" s="2683"/>
      <c r="D122" s="2683"/>
      <c r="E122" s="2683"/>
      <c r="F122" s="2683"/>
      <c r="G122" s="2684"/>
      <c r="H122" s="2683"/>
      <c r="I122" s="2684"/>
      <c r="J122" s="2683"/>
      <c r="K122" s="2683"/>
      <c r="L122" s="2684"/>
      <c r="M122" s="2683"/>
      <c r="N122" s="2683"/>
      <c r="O122" s="2684"/>
      <c r="P122" s="2683"/>
      <c r="Q122" s="2683"/>
      <c r="R122" s="2685"/>
    </row>
    <row r="123" spans="2:18" s="906" customFormat="1">
      <c r="B123" s="2683"/>
      <c r="C123" s="2683"/>
      <c r="D123" s="2683"/>
      <c r="E123" s="2683"/>
      <c r="F123" s="2683"/>
      <c r="G123" s="2684"/>
      <c r="H123" s="2683"/>
      <c r="I123" s="2684"/>
      <c r="J123" s="2683"/>
      <c r="K123" s="2683"/>
      <c r="L123" s="2684"/>
      <c r="M123" s="2683"/>
      <c r="N123" s="2683"/>
      <c r="O123" s="2684"/>
      <c r="P123" s="2683"/>
      <c r="Q123" s="2683"/>
      <c r="R123" s="2685"/>
    </row>
    <row r="124" spans="2:18" s="906" customFormat="1">
      <c r="B124" s="2683"/>
      <c r="C124" s="2683"/>
      <c r="D124" s="2683"/>
      <c r="E124" s="2683"/>
      <c r="F124" s="2683"/>
      <c r="G124" s="2684"/>
      <c r="H124" s="2683"/>
      <c r="I124" s="2684"/>
      <c r="J124" s="2683"/>
      <c r="K124" s="2683"/>
      <c r="L124" s="2684"/>
      <c r="M124" s="2683"/>
      <c r="N124" s="2683"/>
      <c r="O124" s="2684"/>
      <c r="P124" s="2683"/>
      <c r="Q124" s="2683"/>
      <c r="R124" s="2685"/>
    </row>
    <row r="125" spans="2:18" s="906" customFormat="1">
      <c r="B125" s="2683"/>
      <c r="C125" s="2683"/>
      <c r="D125" s="2683"/>
      <c r="E125" s="2683"/>
      <c r="F125" s="2683"/>
      <c r="G125" s="2684"/>
      <c r="H125" s="2683"/>
      <c r="I125" s="2684"/>
      <c r="J125" s="2683"/>
      <c r="K125" s="2683"/>
      <c r="L125" s="2684"/>
      <c r="M125" s="2683"/>
      <c r="N125" s="2683"/>
      <c r="O125" s="2684"/>
      <c r="P125" s="2683"/>
      <c r="Q125" s="2683"/>
      <c r="R125" s="2685"/>
    </row>
    <row r="126" spans="2:18" s="906" customFormat="1">
      <c r="B126" s="2683"/>
      <c r="C126" s="2683"/>
      <c r="D126" s="2683"/>
      <c r="E126" s="2683"/>
      <c r="F126" s="2683"/>
      <c r="G126" s="2684"/>
      <c r="H126" s="2683"/>
      <c r="I126" s="2684"/>
      <c r="J126" s="2683"/>
      <c r="K126" s="2683"/>
      <c r="L126" s="2684"/>
      <c r="M126" s="2683"/>
      <c r="N126" s="2683"/>
      <c r="O126" s="2684"/>
      <c r="P126" s="2683"/>
      <c r="Q126" s="2683"/>
      <c r="R126" s="2685"/>
    </row>
    <row r="127" spans="2:18" s="906" customFormat="1">
      <c r="B127" s="2683"/>
      <c r="C127" s="2683"/>
      <c r="D127" s="2683"/>
      <c r="E127" s="2683"/>
      <c r="F127" s="2683"/>
      <c r="G127" s="2684"/>
      <c r="H127" s="2683"/>
      <c r="I127" s="2684"/>
      <c r="J127" s="2683"/>
      <c r="K127" s="2683"/>
      <c r="L127" s="2684"/>
      <c r="M127" s="2683"/>
      <c r="N127" s="2683"/>
      <c r="O127" s="2684"/>
      <c r="P127" s="2683"/>
      <c r="Q127" s="2683"/>
      <c r="R127" s="2685"/>
    </row>
    <row r="128" spans="2:18" s="906" customFormat="1">
      <c r="B128" s="2683"/>
      <c r="C128" s="2683"/>
      <c r="D128" s="2683"/>
      <c r="E128" s="2683"/>
      <c r="F128" s="2683"/>
      <c r="G128" s="2684"/>
      <c r="H128" s="2683"/>
      <c r="I128" s="2684"/>
      <c r="J128" s="2683"/>
      <c r="K128" s="2683"/>
      <c r="L128" s="2684"/>
      <c r="M128" s="2683"/>
      <c r="N128" s="2683"/>
      <c r="O128" s="2684"/>
      <c r="P128" s="2683"/>
      <c r="Q128" s="2683"/>
      <c r="R128" s="2685"/>
    </row>
    <row r="129" spans="2:18" s="906" customFormat="1">
      <c r="B129" s="2683"/>
      <c r="C129" s="2683"/>
      <c r="D129" s="2683"/>
      <c r="E129" s="2683"/>
      <c r="F129" s="2683"/>
      <c r="G129" s="2684"/>
      <c r="H129" s="2683"/>
      <c r="I129" s="2684"/>
      <c r="J129" s="2683"/>
      <c r="K129" s="2683"/>
      <c r="L129" s="2684"/>
      <c r="M129" s="2683"/>
      <c r="N129" s="2683"/>
      <c r="O129" s="2684"/>
      <c r="P129" s="2683"/>
      <c r="Q129" s="2683"/>
      <c r="R129" s="2685"/>
    </row>
    <row r="130" spans="2:18" s="906" customFormat="1">
      <c r="B130" s="2683"/>
      <c r="C130" s="2683"/>
      <c r="D130" s="2683"/>
      <c r="E130" s="2683"/>
      <c r="F130" s="2683"/>
      <c r="G130" s="2684"/>
      <c r="H130" s="2683"/>
      <c r="I130" s="2684"/>
      <c r="J130" s="2683"/>
      <c r="K130" s="2683"/>
      <c r="L130" s="2684"/>
      <c r="M130" s="2683"/>
      <c r="N130" s="2683"/>
      <c r="O130" s="2684"/>
      <c r="P130" s="2683"/>
      <c r="Q130" s="2683"/>
      <c r="R130" s="2685"/>
    </row>
    <row r="131" spans="2:18" s="906" customFormat="1">
      <c r="B131" s="2683"/>
      <c r="C131" s="2683"/>
      <c r="D131" s="2683"/>
      <c r="E131" s="2683"/>
      <c r="F131" s="2683"/>
      <c r="G131" s="2684"/>
      <c r="H131" s="2683"/>
      <c r="I131" s="2684"/>
      <c r="J131" s="2683"/>
      <c r="K131" s="2683"/>
      <c r="L131" s="2684"/>
      <c r="M131" s="2683"/>
      <c r="N131" s="2683"/>
      <c r="O131" s="2684"/>
      <c r="P131" s="2683"/>
      <c r="Q131" s="2683"/>
      <c r="R131" s="2685"/>
    </row>
    <row r="132" spans="2:18" s="906" customFormat="1">
      <c r="B132" s="2683"/>
      <c r="C132" s="2683"/>
      <c r="D132" s="2683"/>
      <c r="E132" s="2683"/>
      <c r="F132" s="2683"/>
      <c r="G132" s="2684"/>
      <c r="H132" s="2683"/>
      <c r="I132" s="2684"/>
      <c r="J132" s="2683"/>
      <c r="K132" s="2683"/>
      <c r="L132" s="2684"/>
      <c r="M132" s="2683"/>
      <c r="N132" s="2683"/>
      <c r="O132" s="2684"/>
      <c r="P132" s="2683"/>
      <c r="Q132" s="2683"/>
      <c r="R132" s="2685"/>
    </row>
    <row r="133" spans="2:18" s="906" customFormat="1">
      <c r="B133" s="2683"/>
      <c r="C133" s="2683"/>
      <c r="D133" s="2683"/>
      <c r="E133" s="2683"/>
      <c r="F133" s="2683"/>
      <c r="G133" s="2684"/>
      <c r="H133" s="2683"/>
      <c r="I133" s="2684"/>
      <c r="J133" s="2683"/>
      <c r="K133" s="2683"/>
      <c r="L133" s="2684"/>
      <c r="M133" s="2683"/>
      <c r="N133" s="2683"/>
      <c r="O133" s="2684"/>
      <c r="P133" s="2683"/>
      <c r="Q133" s="2683"/>
      <c r="R133" s="2685"/>
    </row>
    <row r="134" spans="2:18" s="906" customFormat="1">
      <c r="B134" s="2683"/>
      <c r="C134" s="2683"/>
      <c r="D134" s="2683"/>
      <c r="E134" s="2683"/>
      <c r="F134" s="2683"/>
      <c r="G134" s="2684"/>
      <c r="H134" s="2683"/>
      <c r="I134" s="2684"/>
      <c r="J134" s="2683"/>
      <c r="K134" s="2683"/>
      <c r="L134" s="2684"/>
      <c r="M134" s="2683"/>
      <c r="N134" s="2683"/>
      <c r="O134" s="2684"/>
      <c r="P134" s="2683"/>
      <c r="Q134" s="2683"/>
      <c r="R134" s="2685"/>
    </row>
    <row r="135" spans="2:18" s="906" customFormat="1">
      <c r="B135" s="2683"/>
      <c r="C135" s="2683"/>
      <c r="D135" s="2683"/>
      <c r="E135" s="2683"/>
      <c r="F135" s="2683"/>
      <c r="G135" s="2684"/>
      <c r="H135" s="2683"/>
      <c r="I135" s="2684"/>
      <c r="J135" s="2683"/>
      <c r="K135" s="2683"/>
      <c r="L135" s="2684"/>
      <c r="M135" s="2683"/>
      <c r="N135" s="2683"/>
      <c r="O135" s="2684"/>
      <c r="P135" s="2683"/>
      <c r="Q135" s="2683"/>
      <c r="R135" s="2685"/>
    </row>
    <row r="136" spans="2:18" s="906" customFormat="1">
      <c r="B136" s="2683"/>
      <c r="C136" s="2683"/>
      <c r="D136" s="2683"/>
      <c r="E136" s="2683"/>
      <c r="F136" s="2683"/>
      <c r="G136" s="2684"/>
      <c r="H136" s="2683"/>
      <c r="I136" s="2684"/>
      <c r="J136" s="2683"/>
      <c r="K136" s="2683"/>
      <c r="L136" s="2684"/>
      <c r="M136" s="2683"/>
      <c r="N136" s="2683"/>
      <c r="O136" s="2684"/>
      <c r="P136" s="2683"/>
      <c r="Q136" s="2683"/>
      <c r="R136" s="2685"/>
    </row>
    <row r="137" spans="2:18" s="906" customFormat="1">
      <c r="B137" s="2683"/>
      <c r="C137" s="2683"/>
      <c r="D137" s="2683"/>
      <c r="E137" s="2683"/>
      <c r="F137" s="2683"/>
      <c r="G137" s="2684"/>
      <c r="H137" s="2683"/>
      <c r="I137" s="2684"/>
      <c r="J137" s="2683"/>
      <c r="K137" s="2683"/>
      <c r="L137" s="2684"/>
      <c r="M137" s="2683"/>
      <c r="N137" s="2683"/>
      <c r="O137" s="2684"/>
      <c r="P137" s="2683"/>
      <c r="Q137" s="2683"/>
      <c r="R137" s="2685"/>
    </row>
    <row r="138" spans="2:18" s="906" customFormat="1">
      <c r="B138" s="2683"/>
      <c r="C138" s="2683"/>
      <c r="D138" s="2683"/>
      <c r="E138" s="2683"/>
      <c r="F138" s="2683"/>
      <c r="G138" s="2684"/>
      <c r="H138" s="2683"/>
      <c r="I138" s="2684"/>
      <c r="J138" s="2683"/>
      <c r="K138" s="2683"/>
      <c r="L138" s="2684"/>
      <c r="M138" s="2683"/>
      <c r="N138" s="2683"/>
      <c r="O138" s="2684"/>
      <c r="P138" s="2683"/>
      <c r="Q138" s="2683"/>
      <c r="R138" s="2685"/>
    </row>
    <row r="139" spans="2:18" s="906" customFormat="1">
      <c r="B139" s="2683"/>
      <c r="C139" s="2683"/>
      <c r="D139" s="2683"/>
      <c r="E139" s="2683"/>
      <c r="F139" s="2683"/>
      <c r="G139" s="2684"/>
      <c r="H139" s="2683"/>
      <c r="I139" s="2684"/>
      <c r="J139" s="2683"/>
      <c r="K139" s="2683"/>
      <c r="L139" s="2684"/>
      <c r="M139" s="2683"/>
      <c r="N139" s="2683"/>
      <c r="O139" s="2684"/>
      <c r="P139" s="2683"/>
      <c r="Q139" s="2683"/>
      <c r="R139" s="2685"/>
    </row>
    <row r="140" spans="2:18" s="906" customFormat="1">
      <c r="B140" s="2683"/>
      <c r="C140" s="2683"/>
      <c r="D140" s="2683"/>
      <c r="E140" s="2683"/>
      <c r="F140" s="2683"/>
      <c r="G140" s="2684"/>
      <c r="H140" s="2683"/>
      <c r="I140" s="2684"/>
      <c r="J140" s="2683"/>
      <c r="K140" s="2683"/>
      <c r="L140" s="2684"/>
      <c r="M140" s="2683"/>
      <c r="N140" s="2683"/>
      <c r="O140" s="2684"/>
      <c r="P140" s="2683"/>
      <c r="Q140" s="2683"/>
      <c r="R140" s="2685"/>
    </row>
    <row r="141" spans="2:18" s="906" customFormat="1">
      <c r="B141" s="2683"/>
      <c r="C141" s="2683"/>
      <c r="D141" s="2683"/>
      <c r="E141" s="2683"/>
      <c r="F141" s="2683"/>
      <c r="G141" s="2684"/>
      <c r="H141" s="2683"/>
      <c r="I141" s="2684"/>
      <c r="J141" s="2683"/>
      <c r="K141" s="2683"/>
      <c r="L141" s="2684"/>
      <c r="M141" s="2683"/>
      <c r="N141" s="2683"/>
      <c r="O141" s="2684"/>
      <c r="P141" s="2683"/>
      <c r="Q141" s="2683"/>
      <c r="R141" s="2685"/>
    </row>
    <row r="142" spans="2:18" s="906" customFormat="1">
      <c r="B142" s="2683"/>
      <c r="C142" s="2683"/>
      <c r="D142" s="2683"/>
      <c r="E142" s="2683"/>
      <c r="F142" s="2683"/>
      <c r="G142" s="2684"/>
      <c r="H142" s="2683"/>
      <c r="I142" s="2684"/>
      <c r="J142" s="2683"/>
      <c r="K142" s="2683"/>
      <c r="L142" s="2684"/>
      <c r="M142" s="2683"/>
      <c r="N142" s="2683"/>
      <c r="O142" s="2684"/>
      <c r="P142" s="2683"/>
      <c r="Q142" s="2683"/>
      <c r="R142" s="2685"/>
    </row>
    <row r="143" spans="2:18" s="906" customFormat="1">
      <c r="B143" s="2683"/>
      <c r="C143" s="2683"/>
      <c r="D143" s="2683"/>
      <c r="E143" s="2683"/>
      <c r="F143" s="2683"/>
      <c r="G143" s="2684"/>
      <c r="H143" s="2683"/>
      <c r="I143" s="2684"/>
      <c r="J143" s="2683"/>
      <c r="K143" s="2683"/>
      <c r="L143" s="2684"/>
      <c r="M143" s="2683"/>
      <c r="N143" s="2683"/>
      <c r="O143" s="2684"/>
      <c r="P143" s="2683"/>
      <c r="Q143" s="2683"/>
      <c r="R143" s="2685"/>
    </row>
    <row r="144" spans="2:18" s="906" customFormat="1">
      <c r="B144" s="2683"/>
      <c r="C144" s="2683"/>
      <c r="D144" s="2683"/>
      <c r="E144" s="2683"/>
      <c r="F144" s="2683"/>
      <c r="G144" s="2684"/>
      <c r="H144" s="2683"/>
      <c r="I144" s="2684"/>
      <c r="J144" s="2683"/>
      <c r="K144" s="2683"/>
      <c r="L144" s="2684"/>
      <c r="M144" s="2683"/>
      <c r="N144" s="2683"/>
      <c r="O144" s="2684"/>
      <c r="P144" s="2683"/>
      <c r="Q144" s="2683"/>
      <c r="R144" s="2685"/>
    </row>
    <row r="145" spans="2:18" s="906" customFormat="1">
      <c r="B145" s="2683"/>
      <c r="C145" s="2683"/>
      <c r="D145" s="2683"/>
      <c r="E145" s="2683"/>
      <c r="F145" s="2683"/>
      <c r="G145" s="2684"/>
      <c r="H145" s="2683"/>
      <c r="I145" s="2684"/>
      <c r="J145" s="2683"/>
      <c r="K145" s="2683"/>
      <c r="L145" s="2684"/>
      <c r="M145" s="2683"/>
      <c r="N145" s="2683"/>
      <c r="O145" s="2684"/>
      <c r="P145" s="2683"/>
      <c r="Q145" s="2683"/>
      <c r="R145" s="2685"/>
    </row>
    <row r="146" spans="2:18" s="906" customFormat="1">
      <c r="B146" s="2683"/>
      <c r="C146" s="2683"/>
      <c r="D146" s="2683"/>
      <c r="E146" s="2683"/>
      <c r="F146" s="2683"/>
      <c r="G146" s="2684"/>
      <c r="H146" s="2683"/>
      <c r="I146" s="2684"/>
      <c r="J146" s="2683"/>
      <c r="K146" s="2683"/>
      <c r="L146" s="2684"/>
      <c r="M146" s="2683"/>
      <c r="N146" s="2683"/>
      <c r="O146" s="2684"/>
      <c r="P146" s="2683"/>
      <c r="Q146" s="2683"/>
      <c r="R146" s="2685"/>
    </row>
    <row r="147" spans="2:18" s="906" customFormat="1">
      <c r="B147" s="2683"/>
      <c r="C147" s="2683"/>
      <c r="D147" s="2683"/>
      <c r="E147" s="2683"/>
      <c r="F147" s="2683"/>
      <c r="G147" s="2684"/>
      <c r="H147" s="2683"/>
      <c r="I147" s="2684"/>
      <c r="J147" s="2683"/>
      <c r="K147" s="2683"/>
      <c r="L147" s="2684"/>
      <c r="M147" s="2683"/>
      <c r="N147" s="2683"/>
      <c r="O147" s="2684"/>
      <c r="P147" s="2683"/>
      <c r="Q147" s="2683"/>
      <c r="R147" s="2685"/>
    </row>
    <row r="148" spans="2:18" s="906" customFormat="1">
      <c r="B148" s="2683"/>
      <c r="C148" s="2683"/>
      <c r="D148" s="2683"/>
      <c r="E148" s="2683"/>
      <c r="F148" s="2683"/>
      <c r="G148" s="2684"/>
      <c r="H148" s="2683"/>
      <c r="I148" s="2684"/>
      <c r="J148" s="2683"/>
      <c r="K148" s="2683"/>
      <c r="L148" s="2684"/>
      <c r="M148" s="2683"/>
      <c r="N148" s="2683"/>
      <c r="O148" s="2684"/>
      <c r="P148" s="2683"/>
      <c r="Q148" s="2683"/>
      <c r="R148" s="2685"/>
    </row>
    <row r="149" spans="2:18" s="906" customFormat="1">
      <c r="B149" s="2683"/>
      <c r="C149" s="2683"/>
      <c r="D149" s="2683"/>
      <c r="E149" s="2683"/>
      <c r="F149" s="2683"/>
      <c r="G149" s="2684"/>
      <c r="H149" s="2683"/>
      <c r="I149" s="2684"/>
      <c r="J149" s="2683"/>
      <c r="K149" s="2683"/>
      <c r="L149" s="2684"/>
      <c r="M149" s="2683"/>
      <c r="N149" s="2683"/>
      <c r="O149" s="2684"/>
      <c r="P149" s="2683"/>
      <c r="Q149" s="2683"/>
      <c r="R149" s="2685"/>
    </row>
    <row r="150" spans="2:18" s="906" customFormat="1">
      <c r="B150" s="2683"/>
      <c r="C150" s="2683"/>
      <c r="D150" s="2683"/>
      <c r="E150" s="2683"/>
      <c r="F150" s="2683"/>
      <c r="G150" s="2684"/>
      <c r="H150" s="2683"/>
      <c r="I150" s="2684"/>
      <c r="J150" s="2683"/>
      <c r="K150" s="2683"/>
      <c r="L150" s="2684"/>
      <c r="M150" s="2683"/>
      <c r="N150" s="2683"/>
      <c r="O150" s="2684"/>
      <c r="P150" s="2683"/>
      <c r="Q150" s="2683"/>
      <c r="R150" s="2685"/>
    </row>
    <row r="151" spans="2:18" s="906" customFormat="1">
      <c r="B151" s="2683"/>
      <c r="C151" s="2683"/>
      <c r="D151" s="2683"/>
      <c r="E151" s="2683"/>
      <c r="F151" s="2683"/>
      <c r="G151" s="2684"/>
      <c r="H151" s="2683"/>
      <c r="I151" s="2684"/>
      <c r="J151" s="2683"/>
      <c r="K151" s="2683"/>
      <c r="L151" s="2684"/>
      <c r="M151" s="2683"/>
      <c r="N151" s="2683"/>
      <c r="O151" s="2684"/>
      <c r="P151" s="2683"/>
      <c r="Q151" s="2683"/>
      <c r="R151" s="2685"/>
    </row>
    <row r="152" spans="2:18" s="906" customFormat="1">
      <c r="B152" s="2683"/>
      <c r="C152" s="2683"/>
      <c r="D152" s="2683"/>
      <c r="E152" s="2683"/>
      <c r="F152" s="2683"/>
      <c r="G152" s="2684"/>
      <c r="H152" s="2683"/>
      <c r="I152" s="2684"/>
      <c r="J152" s="2683"/>
      <c r="K152" s="2683"/>
      <c r="L152" s="2684"/>
      <c r="M152" s="2683"/>
      <c r="N152" s="2683"/>
      <c r="O152" s="2684"/>
      <c r="P152" s="2683"/>
      <c r="Q152" s="2683"/>
      <c r="R152" s="2685"/>
    </row>
    <row r="153" spans="2:18" s="906" customFormat="1">
      <c r="B153" s="2683"/>
      <c r="C153" s="2683"/>
      <c r="D153" s="2683"/>
      <c r="E153" s="2683"/>
      <c r="F153" s="2683"/>
      <c r="G153" s="2684"/>
      <c r="H153" s="2683"/>
      <c r="I153" s="2684"/>
      <c r="J153" s="2683"/>
      <c r="K153" s="2683"/>
      <c r="L153" s="2684"/>
      <c r="M153" s="2683"/>
      <c r="N153" s="2683"/>
      <c r="O153" s="2684"/>
      <c r="P153" s="2683"/>
      <c r="Q153" s="2683"/>
      <c r="R153" s="2685"/>
    </row>
    <row r="154" spans="2:18" s="906" customFormat="1">
      <c r="B154" s="2683"/>
      <c r="C154" s="2683"/>
      <c r="D154" s="2683"/>
      <c r="E154" s="2683"/>
      <c r="F154" s="2683"/>
      <c r="G154" s="2684"/>
      <c r="H154" s="2683"/>
      <c r="I154" s="2684"/>
      <c r="J154" s="2683"/>
      <c r="K154" s="2683"/>
      <c r="L154" s="2684"/>
      <c r="M154" s="2683"/>
      <c r="N154" s="2683"/>
      <c r="O154" s="2684"/>
      <c r="P154" s="2683"/>
      <c r="Q154" s="2683"/>
      <c r="R154" s="2685"/>
    </row>
    <row r="155" spans="2:18" s="906" customFormat="1">
      <c r="B155" s="2683"/>
      <c r="C155" s="2683"/>
      <c r="D155" s="2683"/>
      <c r="E155" s="2683"/>
      <c r="F155" s="2683"/>
      <c r="G155" s="2684"/>
      <c r="H155" s="2683"/>
      <c r="I155" s="2684"/>
      <c r="J155" s="2683"/>
      <c r="K155" s="2683"/>
      <c r="L155" s="2684"/>
      <c r="M155" s="2683"/>
      <c r="N155" s="2683"/>
      <c r="O155" s="2684"/>
      <c r="P155" s="2683"/>
      <c r="Q155" s="2683"/>
      <c r="R155" s="2685"/>
    </row>
    <row r="156" spans="2:18" s="906" customFormat="1">
      <c r="B156" s="2683"/>
      <c r="C156" s="2683"/>
      <c r="D156" s="2683"/>
      <c r="E156" s="2683"/>
      <c r="F156" s="2683"/>
      <c r="G156" s="2684"/>
      <c r="H156" s="2683"/>
      <c r="I156" s="2684"/>
      <c r="J156" s="2683"/>
      <c r="K156" s="2683"/>
      <c r="L156" s="2684"/>
      <c r="M156" s="2683"/>
      <c r="N156" s="2683"/>
      <c r="O156" s="2684"/>
      <c r="P156" s="2683"/>
      <c r="Q156" s="2683"/>
      <c r="R156" s="2685"/>
    </row>
    <row r="157" spans="2:18" s="906" customFormat="1">
      <c r="B157" s="2683"/>
      <c r="C157" s="2683"/>
      <c r="D157" s="2683"/>
      <c r="E157" s="2683"/>
      <c r="F157" s="2683"/>
      <c r="G157" s="2684"/>
      <c r="H157" s="2683"/>
      <c r="I157" s="2684"/>
      <c r="J157" s="2683"/>
      <c r="K157" s="2683"/>
      <c r="L157" s="2684"/>
      <c r="M157" s="2683"/>
      <c r="N157" s="2683"/>
      <c r="O157" s="2684"/>
      <c r="P157" s="2683"/>
      <c r="Q157" s="2683"/>
      <c r="R157" s="2685"/>
    </row>
    <row r="158" spans="2:18" s="906" customFormat="1">
      <c r="B158" s="2683"/>
      <c r="C158" s="2683"/>
      <c r="D158" s="2683"/>
      <c r="E158" s="2683"/>
      <c r="F158" s="2683"/>
      <c r="G158" s="2684"/>
      <c r="H158" s="2683"/>
      <c r="I158" s="2684"/>
      <c r="J158" s="2683"/>
      <c r="K158" s="2683"/>
      <c r="L158" s="2684"/>
      <c r="M158" s="2683"/>
      <c r="N158" s="2683"/>
      <c r="O158" s="2684"/>
      <c r="P158" s="2683"/>
      <c r="Q158" s="2683"/>
      <c r="R158" s="2685"/>
    </row>
    <row r="159" spans="2:18" s="906" customFormat="1">
      <c r="B159" s="2683"/>
      <c r="C159" s="2683"/>
      <c r="D159" s="2683"/>
      <c r="E159" s="2683"/>
      <c r="F159" s="2683"/>
      <c r="G159" s="2684"/>
      <c r="H159" s="2683"/>
      <c r="I159" s="2684"/>
      <c r="J159" s="2683"/>
      <c r="K159" s="2683"/>
      <c r="L159" s="2684"/>
      <c r="M159" s="2683"/>
      <c r="N159" s="2683"/>
      <c r="O159" s="2684"/>
      <c r="P159" s="2683"/>
      <c r="Q159" s="2683"/>
      <c r="R159" s="2685"/>
    </row>
    <row r="160" spans="2:18" s="906" customFormat="1">
      <c r="B160" s="2683"/>
      <c r="C160" s="2683"/>
      <c r="D160" s="2683"/>
      <c r="E160" s="2683"/>
      <c r="F160" s="2683"/>
      <c r="G160" s="2684"/>
      <c r="H160" s="2683"/>
      <c r="I160" s="2684"/>
      <c r="J160" s="2683"/>
      <c r="K160" s="2683"/>
      <c r="L160" s="2684"/>
      <c r="M160" s="2683"/>
      <c r="N160" s="2683"/>
      <c r="O160" s="2684"/>
      <c r="P160" s="2683"/>
      <c r="Q160" s="2683"/>
      <c r="R160" s="2685"/>
    </row>
    <row r="161" spans="2:18" s="906" customFormat="1">
      <c r="B161" s="2683"/>
      <c r="C161" s="2683"/>
      <c r="D161" s="2683"/>
      <c r="E161" s="2683"/>
      <c r="F161" s="2683"/>
      <c r="G161" s="2684"/>
      <c r="H161" s="2683"/>
      <c r="I161" s="2684"/>
      <c r="J161" s="2683"/>
      <c r="K161" s="2683"/>
      <c r="L161" s="2684"/>
      <c r="M161" s="2683"/>
      <c r="N161" s="2683"/>
      <c r="O161" s="2684"/>
      <c r="P161" s="2683"/>
      <c r="Q161" s="2683"/>
      <c r="R161" s="2685"/>
    </row>
    <row r="162" spans="2:18" s="906" customFormat="1">
      <c r="B162" s="2683"/>
      <c r="C162" s="2683"/>
      <c r="D162" s="2683"/>
      <c r="E162" s="2683"/>
      <c r="F162" s="2683"/>
      <c r="G162" s="2684"/>
      <c r="H162" s="2683"/>
      <c r="I162" s="2684"/>
      <c r="J162" s="2683"/>
      <c r="K162" s="2683"/>
      <c r="L162" s="2684"/>
      <c r="M162" s="2683"/>
      <c r="N162" s="2683"/>
      <c r="O162" s="2684"/>
      <c r="P162" s="2683"/>
      <c r="Q162" s="2683"/>
      <c r="R162" s="2685"/>
    </row>
    <row r="163" spans="2:18" s="906" customFormat="1">
      <c r="B163" s="2683"/>
      <c r="C163" s="2683"/>
      <c r="D163" s="2683"/>
      <c r="E163" s="2683"/>
      <c r="F163" s="2683"/>
      <c r="G163" s="2684"/>
      <c r="H163" s="2683"/>
      <c r="I163" s="2684"/>
      <c r="J163" s="2683"/>
      <c r="K163" s="2683"/>
      <c r="L163" s="2684"/>
      <c r="M163" s="2683"/>
      <c r="N163" s="2683"/>
      <c r="O163" s="2684"/>
      <c r="P163" s="2683"/>
      <c r="Q163" s="2683"/>
      <c r="R163" s="2685"/>
    </row>
    <row r="164" spans="2:18" s="906" customFormat="1">
      <c r="B164" s="2683"/>
      <c r="C164" s="2683"/>
      <c r="D164" s="2683"/>
      <c r="E164" s="2683"/>
      <c r="F164" s="2683"/>
      <c r="G164" s="2684"/>
      <c r="H164" s="2683"/>
      <c r="I164" s="2684"/>
      <c r="J164" s="2683"/>
      <c r="K164" s="2683"/>
      <c r="L164" s="2684"/>
      <c r="M164" s="2683"/>
      <c r="N164" s="2683"/>
      <c r="O164" s="2684"/>
      <c r="P164" s="2683"/>
      <c r="Q164" s="2683"/>
      <c r="R164" s="2685"/>
    </row>
    <row r="165" spans="2:18" s="906" customFormat="1">
      <c r="B165" s="2683"/>
      <c r="C165" s="2683"/>
      <c r="D165" s="2683"/>
      <c r="E165" s="2683"/>
      <c r="F165" s="2683"/>
      <c r="G165" s="2684"/>
      <c r="H165" s="2683"/>
      <c r="I165" s="2684"/>
      <c r="J165" s="2683"/>
      <c r="K165" s="2683"/>
      <c r="L165" s="2684"/>
      <c r="M165" s="2683"/>
      <c r="N165" s="2683"/>
      <c r="O165" s="2684"/>
      <c r="P165" s="2683"/>
      <c r="Q165" s="2683"/>
      <c r="R165" s="2685"/>
    </row>
    <row r="166" spans="2:18" s="906" customFormat="1">
      <c r="B166" s="2683"/>
      <c r="C166" s="2683"/>
      <c r="D166" s="2683"/>
      <c r="E166" s="2683"/>
      <c r="F166" s="2683"/>
      <c r="G166" s="2684"/>
      <c r="H166" s="2683"/>
      <c r="I166" s="2684"/>
      <c r="J166" s="2683"/>
      <c r="K166" s="2683"/>
      <c r="L166" s="2684"/>
      <c r="M166" s="2683"/>
      <c r="N166" s="2683"/>
      <c r="O166" s="2684"/>
      <c r="P166" s="2683"/>
      <c r="Q166" s="2683"/>
      <c r="R166" s="2685"/>
    </row>
    <row r="167" spans="2:18" s="906" customFormat="1">
      <c r="B167" s="2683"/>
      <c r="C167" s="2683"/>
      <c r="D167" s="2683"/>
      <c r="E167" s="2683"/>
      <c r="F167" s="2683"/>
      <c r="G167" s="2684"/>
      <c r="H167" s="2683"/>
      <c r="I167" s="2684"/>
      <c r="J167" s="2683"/>
      <c r="K167" s="2683"/>
      <c r="L167" s="2684"/>
      <c r="M167" s="2683"/>
      <c r="N167" s="2683"/>
      <c r="O167" s="2684"/>
      <c r="P167" s="2683"/>
      <c r="Q167" s="2683"/>
      <c r="R167" s="2685"/>
    </row>
    <row r="168" spans="2:18" s="906" customFormat="1">
      <c r="B168" s="2683"/>
      <c r="C168" s="2683"/>
      <c r="D168" s="2683"/>
      <c r="E168" s="2683"/>
      <c r="F168" s="2683"/>
      <c r="G168" s="2684"/>
      <c r="H168" s="2683"/>
      <c r="I168" s="2684"/>
      <c r="J168" s="2683"/>
      <c r="K168" s="2683"/>
      <c r="L168" s="2684"/>
      <c r="M168" s="2683"/>
      <c r="N168" s="2683"/>
      <c r="O168" s="2684"/>
      <c r="P168" s="2683"/>
      <c r="Q168" s="2683"/>
      <c r="R168" s="2685"/>
    </row>
    <row r="169" spans="2:18" s="906" customFormat="1">
      <c r="B169" s="2683"/>
      <c r="C169" s="2683"/>
      <c r="D169" s="2683"/>
      <c r="E169" s="2683"/>
      <c r="F169" s="2683"/>
      <c r="G169" s="2684"/>
      <c r="H169" s="2683"/>
      <c r="I169" s="2684"/>
      <c r="J169" s="2683"/>
      <c r="K169" s="2683"/>
      <c r="L169" s="2684"/>
      <c r="M169" s="2683"/>
      <c r="N169" s="2683"/>
      <c r="O169" s="2684"/>
      <c r="P169" s="2683"/>
      <c r="Q169" s="2683"/>
      <c r="R169" s="2685"/>
    </row>
    <row r="170" spans="2:18" s="906" customFormat="1">
      <c r="B170" s="2683"/>
      <c r="C170" s="2683"/>
      <c r="D170" s="2683"/>
      <c r="E170" s="2683"/>
      <c r="F170" s="2683"/>
      <c r="G170" s="2684"/>
      <c r="H170" s="2683"/>
      <c r="I170" s="2684"/>
      <c r="J170" s="2683"/>
      <c r="K170" s="2683"/>
      <c r="L170" s="2684"/>
      <c r="M170" s="2683"/>
      <c r="N170" s="2683"/>
      <c r="O170" s="2684"/>
      <c r="P170" s="2683"/>
      <c r="Q170" s="2683"/>
      <c r="R170" s="2685"/>
    </row>
    <row r="171" spans="2:18" s="906" customFormat="1">
      <c r="B171" s="2683"/>
      <c r="C171" s="2683"/>
      <c r="D171" s="2683"/>
      <c r="E171" s="2683"/>
      <c r="F171" s="2683"/>
      <c r="G171" s="2684"/>
      <c r="H171" s="2683"/>
      <c r="I171" s="2684"/>
      <c r="J171" s="2683"/>
      <c r="K171" s="2683"/>
      <c r="L171" s="2684"/>
      <c r="M171" s="2683"/>
      <c r="N171" s="2683"/>
      <c r="O171" s="2684"/>
      <c r="P171" s="2683"/>
      <c r="Q171" s="2683"/>
      <c r="R171" s="2685"/>
    </row>
    <row r="172" spans="2:18" s="906" customFormat="1">
      <c r="B172" s="2683"/>
      <c r="C172" s="2683"/>
      <c r="D172" s="2683"/>
      <c r="E172" s="2683"/>
      <c r="F172" s="2683"/>
      <c r="G172" s="2684"/>
      <c r="H172" s="2683"/>
      <c r="I172" s="2684"/>
      <c r="J172" s="2683"/>
      <c r="K172" s="2683"/>
      <c r="L172" s="2684"/>
      <c r="M172" s="2683"/>
      <c r="N172" s="2683"/>
      <c r="O172" s="2684"/>
      <c r="P172" s="2683"/>
      <c r="Q172" s="2683"/>
      <c r="R172" s="2685"/>
    </row>
    <row r="173" spans="2:18" s="906" customFormat="1">
      <c r="B173" s="2683"/>
      <c r="C173" s="2683"/>
      <c r="D173" s="2683"/>
      <c r="E173" s="2683"/>
      <c r="F173" s="2683"/>
      <c r="G173" s="2684"/>
      <c r="H173" s="2683"/>
      <c r="I173" s="2684"/>
      <c r="J173" s="2683"/>
      <c r="K173" s="2683"/>
      <c r="L173" s="2684"/>
      <c r="M173" s="2683"/>
      <c r="N173" s="2683"/>
      <c r="O173" s="2684"/>
      <c r="P173" s="2683"/>
      <c r="Q173" s="2683"/>
      <c r="R173" s="2685"/>
    </row>
    <row r="174" spans="2:18" s="906" customFormat="1">
      <c r="B174" s="2683"/>
      <c r="C174" s="2683"/>
      <c r="D174" s="2683"/>
      <c r="E174" s="2683"/>
      <c r="F174" s="2683"/>
      <c r="G174" s="2684"/>
      <c r="H174" s="2683"/>
      <c r="I174" s="2684"/>
      <c r="J174" s="2683"/>
      <c r="K174" s="2683"/>
      <c r="L174" s="2684"/>
      <c r="M174" s="2683"/>
      <c r="N174" s="2683"/>
      <c r="O174" s="2684"/>
      <c r="P174" s="2683"/>
      <c r="Q174" s="2683"/>
      <c r="R174" s="2685"/>
    </row>
    <row r="175" spans="2:18" s="906" customFormat="1">
      <c r="B175" s="2683"/>
      <c r="C175" s="2683"/>
      <c r="D175" s="2683"/>
      <c r="E175" s="2683"/>
      <c r="F175" s="2683"/>
      <c r="G175" s="2684"/>
      <c r="H175" s="2683"/>
      <c r="I175" s="2684"/>
      <c r="J175" s="2683"/>
      <c r="K175" s="2683"/>
      <c r="L175" s="2684"/>
      <c r="M175" s="2683"/>
      <c r="N175" s="2683"/>
      <c r="O175" s="2684"/>
      <c r="P175" s="2683"/>
      <c r="Q175" s="2683"/>
      <c r="R175" s="2685"/>
    </row>
    <row r="176" spans="2:18" s="906" customFormat="1">
      <c r="B176" s="2683"/>
      <c r="C176" s="2683"/>
      <c r="D176" s="2683"/>
      <c r="E176" s="2683"/>
      <c r="F176" s="2683"/>
      <c r="G176" s="2684"/>
      <c r="H176" s="2683"/>
      <c r="I176" s="2684"/>
      <c r="J176" s="2683"/>
      <c r="K176" s="2683"/>
      <c r="L176" s="2684"/>
      <c r="M176" s="2683"/>
      <c r="N176" s="2683"/>
      <c r="O176" s="2684"/>
      <c r="P176" s="2683"/>
      <c r="Q176" s="2683"/>
      <c r="R176" s="2685"/>
    </row>
    <row r="177" spans="1:18" s="906" customFormat="1">
      <c r="B177" s="2683"/>
      <c r="C177" s="2683"/>
      <c r="D177" s="2683"/>
      <c r="E177" s="2683"/>
      <c r="F177" s="2683"/>
      <c r="G177" s="2684"/>
      <c r="H177" s="2683"/>
      <c r="I177" s="2684"/>
      <c r="J177" s="2683"/>
      <c r="K177" s="2683"/>
      <c r="L177" s="2684"/>
      <c r="M177" s="2683"/>
      <c r="N177" s="2683"/>
      <c r="O177" s="2684"/>
      <c r="P177" s="2683"/>
      <c r="Q177" s="2683"/>
      <c r="R177" s="2685"/>
    </row>
    <row r="178" spans="1:18" s="906" customFormat="1">
      <c r="B178" s="2683"/>
      <c r="C178" s="2683"/>
      <c r="D178" s="2683"/>
      <c r="E178" s="2683"/>
      <c r="F178" s="2683"/>
      <c r="G178" s="2684"/>
      <c r="H178" s="2683"/>
      <c r="I178" s="2684"/>
      <c r="J178" s="2683"/>
      <c r="K178" s="2683"/>
      <c r="L178" s="2684"/>
      <c r="M178" s="2683"/>
      <c r="N178" s="2683"/>
      <c r="O178" s="2684"/>
      <c r="P178" s="2683"/>
      <c r="Q178" s="2683"/>
      <c r="R178" s="2685"/>
    </row>
    <row r="179" spans="1:18" s="906" customFormat="1">
      <c r="B179" s="2683"/>
      <c r="C179" s="2683"/>
      <c r="D179" s="2683"/>
      <c r="E179" s="2683"/>
      <c r="F179" s="2683"/>
      <c r="G179" s="2684"/>
      <c r="H179" s="2683"/>
      <c r="I179" s="2684"/>
      <c r="J179" s="2683"/>
      <c r="K179" s="2683"/>
      <c r="L179" s="2684"/>
      <c r="M179" s="2683"/>
      <c r="N179" s="2683"/>
      <c r="O179" s="2684"/>
      <c r="P179" s="2683"/>
      <c r="Q179" s="2683"/>
      <c r="R179" s="2685"/>
    </row>
    <row r="180" spans="1:18" s="906" customFormat="1">
      <c r="B180" s="2683"/>
      <c r="C180" s="2683"/>
      <c r="D180" s="2683"/>
      <c r="E180" s="2683"/>
      <c r="F180" s="2683"/>
      <c r="G180" s="2684"/>
      <c r="H180" s="2683"/>
      <c r="I180" s="2684"/>
      <c r="J180" s="2683"/>
      <c r="K180" s="2683"/>
      <c r="L180" s="2684"/>
      <c r="M180" s="2683"/>
      <c r="N180" s="2683"/>
      <c r="O180" s="2684"/>
      <c r="P180" s="2683"/>
      <c r="Q180" s="2683"/>
      <c r="R180" s="2685"/>
    </row>
    <row r="181" spans="1:18" s="906" customFormat="1">
      <c r="B181" s="2683"/>
      <c r="C181" s="2683"/>
      <c r="D181" s="2683"/>
      <c r="E181" s="2683"/>
      <c r="F181" s="2683"/>
      <c r="G181" s="2684"/>
      <c r="H181" s="2683"/>
      <c r="I181" s="2684"/>
      <c r="J181" s="2683"/>
      <c r="K181" s="2683"/>
      <c r="L181" s="2684"/>
      <c r="M181" s="2683"/>
      <c r="N181" s="2683"/>
      <c r="O181" s="2684"/>
      <c r="P181" s="2683"/>
      <c r="Q181" s="2683"/>
      <c r="R181" s="2685"/>
    </row>
    <row r="182" spans="1:18" s="906" customFormat="1">
      <c r="B182" s="2683"/>
      <c r="C182" s="2683"/>
      <c r="D182" s="2683"/>
      <c r="E182" s="2683"/>
      <c r="F182" s="2683"/>
      <c r="G182" s="2684"/>
      <c r="H182" s="2683"/>
      <c r="I182" s="2684"/>
      <c r="J182" s="2683"/>
      <c r="K182" s="2683"/>
      <c r="L182" s="2684"/>
      <c r="M182" s="2683"/>
      <c r="N182" s="2683"/>
      <c r="O182" s="2684"/>
      <c r="P182" s="2683"/>
      <c r="Q182" s="2683"/>
      <c r="R182" s="2685"/>
    </row>
    <row r="183" spans="1:18" s="906" customFormat="1">
      <c r="B183" s="2683"/>
      <c r="C183" s="2683"/>
      <c r="D183" s="2683"/>
      <c r="E183" s="2683"/>
      <c r="F183" s="2683"/>
      <c r="G183" s="2684"/>
      <c r="H183" s="2683"/>
      <c r="I183" s="2684"/>
      <c r="J183" s="2683"/>
      <c r="K183" s="2683"/>
      <c r="L183" s="2684"/>
      <c r="M183" s="2683"/>
      <c r="N183" s="2683"/>
      <c r="O183" s="2684"/>
      <c r="P183" s="2683"/>
      <c r="Q183" s="2683"/>
      <c r="R183" s="2685"/>
    </row>
    <row r="184" spans="1:18" s="906" customFormat="1">
      <c r="B184" s="2683"/>
      <c r="C184" s="2683"/>
      <c r="D184" s="2683"/>
      <c r="E184" s="2683"/>
      <c r="F184" s="2683"/>
      <c r="G184" s="2684"/>
      <c r="H184" s="2683"/>
      <c r="I184" s="2684"/>
      <c r="J184" s="2683"/>
      <c r="K184" s="2683"/>
      <c r="L184" s="2684"/>
      <c r="M184" s="2683"/>
      <c r="N184" s="2683"/>
      <c r="O184" s="2684"/>
      <c r="P184" s="2683"/>
      <c r="Q184" s="2683"/>
      <c r="R184" s="2685"/>
    </row>
    <row r="185" spans="1:18" s="906"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6"/>
      <c r="B186" s="2683"/>
      <c r="C186" s="2683"/>
      <c r="E186" s="2683"/>
      <c r="F186" s="2683"/>
      <c r="G186" s="2684"/>
    </row>
    <row r="187" spans="1:18">
      <c r="A187" s="906"/>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29" sqref="G29"/>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70196.47</v>
      </c>
      <c r="C1" s="2881"/>
      <c r="D1" s="2881"/>
      <c r="E1" s="2881"/>
      <c r="F1" s="2881"/>
      <c r="G1" s="2882"/>
      <c r="H1" s="2883"/>
      <c r="I1" s="2883"/>
      <c r="J1" s="2883"/>
      <c r="K1" s="2883"/>
    </row>
    <row r="2" spans="1:11" ht="16.5">
      <c r="A2" s="2704" t="s">
        <v>1259</v>
      </c>
      <c r="B2" s="2704">
        <f>SUM(C14:C23)</f>
        <v>9552.51</v>
      </c>
      <c r="C2" s="2881"/>
      <c r="D2" s="2881"/>
      <c r="E2" s="2881"/>
      <c r="F2" s="2881"/>
      <c r="G2" s="2882"/>
      <c r="H2" s="2883"/>
      <c r="I2" s="2883"/>
      <c r="J2" s="2883"/>
      <c r="K2" s="2883"/>
    </row>
    <row r="3" spans="1:11" ht="16.5">
      <c r="A3" s="2704" t="s">
        <v>1268</v>
      </c>
      <c r="B3" s="2706">
        <f>项目基本情况!D3</f>
        <v>44665</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385624</v>
      </c>
      <c r="C5" s="2704">
        <f ca="1">ROUND(B5*10000/$B$1,0)</f>
        <v>54935</v>
      </c>
      <c r="D5" s="2704">
        <f ca="1">ROUND(B5*10000/$B$2,0)</f>
        <v>403689</v>
      </c>
      <c r="E5" s="2881"/>
      <c r="F5" s="2882"/>
      <c r="G5" s="2882"/>
      <c r="H5" s="2883"/>
      <c r="I5" s="2883"/>
      <c r="J5" s="2883"/>
      <c r="K5" s="2883"/>
    </row>
    <row r="6" spans="1:11" ht="16.5">
      <c r="A6" s="2704" t="s">
        <v>1262</v>
      </c>
      <c r="B6" s="2704">
        <f ca="1">SUM(G14:G23)</f>
        <v>385624</v>
      </c>
      <c r="C6" s="2704">
        <f ca="1">ROUND(B6*10000/$B$1,0)</f>
        <v>54935</v>
      </c>
      <c r="D6" s="2704">
        <f ca="1">ROUND(B6*10000/$B$2,0)</f>
        <v>403689</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 ca="1">SUM(I14:I23)</f>
        <v>351633</v>
      </c>
      <c r="C8" s="2704">
        <f ca="1">ROUND(B8*10000/$B$1,0)</f>
        <v>50093</v>
      </c>
      <c r="D8" s="2704">
        <f ca="1">ROUND(B8*10000/$B$2,0)</f>
        <v>368105</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f ca="1">ROUND(I14/B1*10000,0)</f>
        <v>50093</v>
      </c>
      <c r="K13" s="2883"/>
    </row>
    <row r="14" spans="1:11" ht="16.5">
      <c r="A14" s="2709" t="s">
        <v>1256</v>
      </c>
      <c r="B14" s="2710">
        <f>结果表!B118</f>
        <v>56521.430000000008</v>
      </c>
      <c r="C14" s="2710">
        <f>结果表!C118</f>
        <v>7691.58</v>
      </c>
      <c r="D14" s="2710">
        <f ca="1">结果表!H118</f>
        <v>370258</v>
      </c>
      <c r="E14" s="2710">
        <f ca="1">ROUND(D14*10000/B14,0)</f>
        <v>65508</v>
      </c>
      <c r="F14" s="2710">
        <f ca="1">ROUND(D14*10000/C14,0)</f>
        <v>481381</v>
      </c>
      <c r="G14" s="2710">
        <f ca="1">结果表!D122</f>
        <v>370258</v>
      </c>
      <c r="H14" s="2710" t="str">
        <f>结果表!D124</f>
        <v>——</v>
      </c>
      <c r="I14" s="2710">
        <f ca="1">'结果表 (土增税)'!N59</f>
        <v>351633</v>
      </c>
      <c r="J14" s="2882"/>
      <c r="K14" s="2883"/>
    </row>
    <row r="15" spans="1:11" ht="16.5">
      <c r="A15" s="2709" t="s">
        <v>1255</v>
      </c>
      <c r="B15" s="2711">
        <f>'数据-汇总表'!G20</f>
        <v>3284.7900000000004</v>
      </c>
      <c r="C15" s="2711">
        <f>'数据-汇总表'!D20</f>
        <v>447</v>
      </c>
      <c r="D15" s="2711">
        <f ca="1">'结果表 (地下综合)'!G19</f>
        <v>6313</v>
      </c>
      <c r="E15" s="2710">
        <f t="shared" ref="E15:E23" ca="1" si="0">ROUND(D15*10000/B15,0)</f>
        <v>19219</v>
      </c>
      <c r="F15" s="2710">
        <f t="shared" ref="F15:F23" ca="1" si="1">ROUND(D15*10000/C15,0)</f>
        <v>141230</v>
      </c>
      <c r="G15" s="1469">
        <f ca="1">D15</f>
        <v>6313</v>
      </c>
      <c r="H15" s="1469"/>
      <c r="I15" s="3278"/>
      <c r="J15" s="2882"/>
      <c r="K15" s="2883"/>
    </row>
    <row r="16" spans="1:11" ht="16.5">
      <c r="A16" s="2709" t="s">
        <v>1254</v>
      </c>
      <c r="B16" s="2711">
        <f>'数据-汇总表'!G21</f>
        <v>10390.25</v>
      </c>
      <c r="C16" s="2711">
        <f>'数据-汇总表'!D21</f>
        <v>1413.93</v>
      </c>
      <c r="D16" s="2711">
        <f ca="1">'结果表 (地下车库) '!G19</f>
        <v>9053</v>
      </c>
      <c r="E16" s="2710">
        <f t="shared" ca="1" si="0"/>
        <v>8713</v>
      </c>
      <c r="F16" s="2710">
        <f t="shared" ca="1" si="1"/>
        <v>64027</v>
      </c>
      <c r="G16" s="1469">
        <f ca="1">D16</f>
        <v>9053</v>
      </c>
      <c r="H16" s="1469"/>
      <c r="I16" s="2711"/>
      <c r="J16" s="2883"/>
      <c r="K16" s="2883"/>
    </row>
    <row r="17" spans="1:11" ht="16.5">
      <c r="A17" s="2709" t="s">
        <v>1253</v>
      </c>
      <c r="B17" s="2711"/>
      <c r="C17" s="2711"/>
      <c r="D17" s="2711"/>
      <c r="E17" s="2710" t="e">
        <f t="shared" si="0"/>
        <v>#DIV/0!</v>
      </c>
      <c r="F17" s="2710" t="e">
        <f t="shared" si="1"/>
        <v>#DIV/0!</v>
      </c>
      <c r="G17" s="1469"/>
      <c r="H17" s="1469"/>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
  <sheetViews>
    <sheetView workbookViewId="0">
      <selection activeCell="D8" sqref="D8:I8"/>
    </sheetView>
  </sheetViews>
  <sheetFormatPr defaultRowHeight="13.5"/>
  <cols>
    <col min="1" max="1" width="11" bestFit="1" customWidth="1"/>
    <col min="2" max="3" width="14.875" bestFit="1" customWidth="1"/>
    <col min="4" max="9" width="12.625" customWidth="1"/>
  </cols>
  <sheetData>
    <row r="1" spans="1:9">
      <c r="A1" s="3394" t="s">
        <v>3421</v>
      </c>
      <c r="B1" s="3394"/>
      <c r="C1" s="3394"/>
      <c r="D1" s="3394"/>
      <c r="E1" s="3394"/>
      <c r="F1" s="3394"/>
      <c r="G1" s="3394"/>
      <c r="H1" s="3394"/>
      <c r="I1" s="3394"/>
    </row>
    <row r="2" spans="1:9" ht="14.25">
      <c r="A2" s="3397" t="s">
        <v>3422</v>
      </c>
      <c r="B2" s="3398" t="s">
        <v>3367</v>
      </c>
      <c r="C2" s="3398" t="s">
        <v>3423</v>
      </c>
      <c r="D2" s="3398" t="s">
        <v>3424</v>
      </c>
      <c r="E2" s="3398"/>
      <c r="F2" s="3398" t="s">
        <v>3425</v>
      </c>
      <c r="G2" s="3398"/>
      <c r="H2" s="3397" t="s">
        <v>3426</v>
      </c>
      <c r="I2" s="3397"/>
    </row>
    <row r="3" spans="1:9" ht="14.25">
      <c r="A3" s="3397"/>
      <c r="B3" s="3398"/>
      <c r="C3" s="3398"/>
      <c r="D3" s="3287" t="s">
        <v>3427</v>
      </c>
      <c r="E3" s="3287" t="s">
        <v>3428</v>
      </c>
      <c r="F3" s="3287" t="s">
        <v>3427</v>
      </c>
      <c r="G3" s="3287" t="s">
        <v>3429</v>
      </c>
      <c r="H3" s="3287" t="s">
        <v>3427</v>
      </c>
      <c r="I3" s="3287" t="s">
        <v>3429</v>
      </c>
    </row>
    <row r="4" spans="1:9">
      <c r="A4" s="3288" t="s">
        <v>3157</v>
      </c>
      <c r="B4" s="3289">
        <f>结果表!B118</f>
        <v>56521.430000000008</v>
      </c>
      <c r="C4" s="3289">
        <f>结果表!C118</f>
        <v>7691.58</v>
      </c>
      <c r="D4" s="3289">
        <f ca="1">结果表!D118</f>
        <v>291393</v>
      </c>
      <c r="E4" s="3289">
        <f ca="1">结果表!E118</f>
        <v>51555</v>
      </c>
      <c r="F4" s="3289">
        <f ca="1">结果表!F118</f>
        <v>78865</v>
      </c>
      <c r="G4" s="3289">
        <f ca="1">结果表!G118</f>
        <v>13953</v>
      </c>
      <c r="H4" s="3289">
        <f ca="1">结果表!H118</f>
        <v>370258</v>
      </c>
      <c r="I4" s="3289">
        <f ca="1">结果表!I118</f>
        <v>65508</v>
      </c>
    </row>
    <row r="5" spans="1:9">
      <c r="A5" s="3288" t="s">
        <v>3430</v>
      </c>
      <c r="B5" s="3289">
        <f>'结果表 (地下综合)'!B118</f>
        <v>3284.7900000000004</v>
      </c>
      <c r="C5" s="3289">
        <f>'结果表 (地下综合)'!C118</f>
        <v>447</v>
      </c>
      <c r="D5" s="3289">
        <f ca="1">'结果表 (地下综合)'!D118</f>
        <v>2273</v>
      </c>
      <c r="E5" s="3289">
        <f ca="1">'结果表 (地下综合)'!E118</f>
        <v>6920</v>
      </c>
      <c r="F5" s="3289">
        <f ca="1">'结果表 (地下综合)'!F118</f>
        <v>4040</v>
      </c>
      <c r="G5" s="3289">
        <f ca="1">'结果表 (地下综合)'!G118</f>
        <v>12299</v>
      </c>
      <c r="H5" s="3289">
        <f ca="1">'结果表 (地下综合)'!H118</f>
        <v>6313</v>
      </c>
      <c r="I5" s="3289">
        <f ca="1">'结果表 (地下综合)'!I118</f>
        <v>19219</v>
      </c>
    </row>
    <row r="6" spans="1:9">
      <c r="A6" s="3288" t="s">
        <v>3132</v>
      </c>
      <c r="B6" s="3289">
        <f>'结果表 (地下车库) '!B118</f>
        <v>10390.25</v>
      </c>
      <c r="C6" s="3289">
        <f>'结果表 (地下车库) '!C118</f>
        <v>1413.93</v>
      </c>
      <c r="D6" s="3289">
        <f ca="1">'结果表 (地下车库) '!D118</f>
        <v>1507</v>
      </c>
      <c r="E6" s="3289">
        <f ca="1">'结果表 (地下车库) '!E118</f>
        <v>1450</v>
      </c>
      <c r="F6" s="3289">
        <f ca="1">'结果表 (地下车库) '!F118</f>
        <v>7546</v>
      </c>
      <c r="G6" s="3289">
        <f ca="1">'结果表 (地下车库) '!G118</f>
        <v>7263</v>
      </c>
      <c r="H6" s="3289">
        <f ca="1">'结果表 (地下车库) '!H118</f>
        <v>9053</v>
      </c>
      <c r="I6" s="3289">
        <f ca="1">'结果表 (地下车库) '!I118</f>
        <v>8713</v>
      </c>
    </row>
    <row r="7" spans="1:9">
      <c r="A7" s="3288" t="s">
        <v>3140</v>
      </c>
      <c r="B7" s="3289">
        <f>SUM(B4:B6)</f>
        <v>70196.47</v>
      </c>
      <c r="C7" s="3289">
        <f>SUM(C4:C6)</f>
        <v>9552.51</v>
      </c>
      <c r="D7" s="3290">
        <f ca="1">D4+D5+D6</f>
        <v>295173</v>
      </c>
      <c r="E7" s="3290">
        <f ca="1">I7-G7</f>
        <v>42050</v>
      </c>
      <c r="F7" s="3290">
        <f t="shared" ref="F7" ca="1" si="0">F4+F5+F6</f>
        <v>90451</v>
      </c>
      <c r="G7" s="3290">
        <f ca="1">ROUND(F7/B7*10000,0)</f>
        <v>12885</v>
      </c>
      <c r="H7" s="3290">
        <f t="shared" ref="H7" ca="1" si="1">H4+H5+H6</f>
        <v>385624</v>
      </c>
      <c r="I7" s="3290">
        <f ca="1">ROUND(H7/B7*10000,0)</f>
        <v>54935</v>
      </c>
    </row>
    <row r="8" spans="1:9">
      <c r="D8" s="3395">
        <f ca="1">D7*10000</f>
        <v>2951730000</v>
      </c>
      <c r="E8" s="3395"/>
      <c r="F8" s="3396">
        <f ca="1">F7*10000</f>
        <v>904510000</v>
      </c>
      <c r="G8" s="3396"/>
      <c r="H8" s="3396">
        <f ca="1">H7*10000</f>
        <v>3856240000</v>
      </c>
      <c r="I8" s="3396"/>
    </row>
  </sheetData>
  <mergeCells count="10">
    <mergeCell ref="A1:I1"/>
    <mergeCell ref="D8:E8"/>
    <mergeCell ref="F8:G8"/>
    <mergeCell ref="H8:I8"/>
    <mergeCell ref="A2:A3"/>
    <mergeCell ref="B2:B3"/>
    <mergeCell ref="C2:C3"/>
    <mergeCell ref="D2:E2"/>
    <mergeCell ref="F2:G2"/>
    <mergeCell ref="H2:I2"/>
  </mergeCells>
  <phoneticPr fontId="141" type="noConversion"/>
  <dataValidations count="4">
    <dataValidation type="list" allowBlank="1" showInputMessage="1" showErrorMessage="1" sqref="F2:G2" xr:uid="{00000000-0002-0000-1200-000000000000}">
      <formula1>"建筑物价值,在建建筑物价值,建筑物/在建建筑物价值"</formula1>
    </dataValidation>
    <dataValidation type="list" allowBlank="1" showInputMessage="1" showErrorMessage="1" sqref="D2:E2" xr:uid="{00000000-0002-0000-1200-000001000000}">
      <formula1>"出让国有建设用地使用权价值,划拨国有建设用地使用权价值"</formula1>
    </dataValidation>
    <dataValidation type="list" allowBlank="1" showInputMessage="1" showErrorMessage="1" sqref="C2:C3" xr:uid="{00000000-0002-0000-1200-000002000000}">
      <formula1>"土地面积,分摊土地面积,（分摊）土地面积"</formula1>
    </dataValidation>
    <dataValidation type="list" allowBlank="1" showInputMessage="1" showErrorMessage="1" sqref="B2:B3" xr:uid="{00000000-0002-0000-1200-000003000000}">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95" t="str">
        <f>项目基本情况!B1</f>
        <v>北京市房地产抵押价值预评估</v>
      </c>
      <c r="C37" s="3295"/>
      <c r="D37" s="3295"/>
      <c r="E37" s="3295"/>
      <c r="F37" s="3295"/>
      <c r="G37" s="3295"/>
      <c r="H37" s="3295"/>
      <c r="I37" s="3295"/>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1887</v>
      </c>
      <c r="B1" s="1900"/>
      <c r="C1" s="1901" t="s">
        <v>27</v>
      </c>
      <c r="D1" s="1900"/>
      <c r="E1" s="1900"/>
      <c r="F1" s="1902" t="s">
        <v>1888</v>
      </c>
      <c r="G1" s="1714" t="s">
        <v>3339</v>
      </c>
      <c r="H1" s="1903" t="str">
        <f>IF(G1="现房","——","估价对象范围")</f>
        <v>——</v>
      </c>
      <c r="I1" s="1904" t="s">
        <v>3416</v>
      </c>
    </row>
    <row r="2" spans="1:12" ht="21.75" customHeight="1" thickBot="1">
      <c r="A2" s="3433" t="str">
        <f>项目基本情况!S2</f>
        <v>北京市房地产</v>
      </c>
      <c r="B2" s="3434"/>
      <c r="C2" s="3434"/>
      <c r="D2" s="3434"/>
      <c r="E2" s="3434"/>
      <c r="F2" s="3434"/>
      <c r="G2" s="3434"/>
      <c r="H2" s="3434"/>
      <c r="I2" s="3435"/>
    </row>
    <row r="3" spans="1:12" ht="12.75">
      <c r="A3" s="3437" t="s">
        <v>1889</v>
      </c>
      <c r="B3" s="3438"/>
      <c r="C3" s="3438"/>
      <c r="D3" s="3438"/>
      <c r="E3" s="3438"/>
      <c r="F3" s="3438"/>
      <c r="G3" s="3438"/>
      <c r="H3" s="3438"/>
      <c r="I3" s="3438"/>
    </row>
    <row r="4" spans="1:12" ht="14.25">
      <c r="A4" s="1907" t="s">
        <v>1890</v>
      </c>
      <c r="B4" s="1908" t="s">
        <v>1891</v>
      </c>
      <c r="C4" s="1909" t="s">
        <v>3418</v>
      </c>
      <c r="D4" s="1909" t="s">
        <v>3208</v>
      </c>
      <c r="E4" s="3439" t="s">
        <v>1892</v>
      </c>
      <c r="F4" s="3440"/>
      <c r="G4" s="3440"/>
      <c r="H4" s="3440"/>
      <c r="I4" s="344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3" t="s">
        <v>1893</v>
      </c>
      <c r="B5" s="3400">
        <v>25</v>
      </c>
      <c r="C5" s="3416"/>
      <c r="D5" s="3436"/>
      <c r="E5" s="136" t="s">
        <v>1894</v>
      </c>
      <c r="F5" s="1910"/>
      <c r="G5" s="1910"/>
      <c r="H5" s="1910"/>
      <c r="I5" s="1525"/>
    </row>
    <row r="6" spans="1:12" ht="12.75">
      <c r="A6" s="3413"/>
      <c r="B6" s="3400"/>
      <c r="C6" s="3417"/>
      <c r="D6" s="3436"/>
      <c r="E6" s="136" t="s">
        <v>1895</v>
      </c>
      <c r="F6" s="1910"/>
      <c r="G6" s="1910"/>
      <c r="H6" s="1910"/>
      <c r="I6" s="1525"/>
    </row>
    <row r="7" spans="1:12" ht="12.75">
      <c r="A7" s="3413"/>
      <c r="B7" s="3400"/>
      <c r="C7" s="3418"/>
      <c r="D7" s="3436"/>
      <c r="E7" s="136" t="s">
        <v>1896</v>
      </c>
      <c r="F7" s="1910"/>
      <c r="G7" s="1910"/>
      <c r="H7" s="1910"/>
      <c r="I7" s="1525"/>
    </row>
    <row r="8" spans="1:12" ht="12.75">
      <c r="A8" s="3413" t="s">
        <v>1897</v>
      </c>
      <c r="B8" s="3400">
        <v>15</v>
      </c>
      <c r="C8" s="3416"/>
      <c r="D8" s="3436"/>
      <c r="E8" s="136" t="s">
        <v>1898</v>
      </c>
      <c r="F8" s="1910"/>
      <c r="G8" s="1910"/>
      <c r="H8" s="1910"/>
      <c r="I8" s="1525"/>
    </row>
    <row r="9" spans="1:12" ht="12.75">
      <c r="A9" s="3413"/>
      <c r="B9" s="3400"/>
      <c r="C9" s="3418"/>
      <c r="D9" s="3436"/>
      <c r="E9" s="136" t="s">
        <v>1899</v>
      </c>
      <c r="F9" s="1910"/>
      <c r="G9" s="1910"/>
      <c r="H9" s="1910"/>
      <c r="I9" s="1525"/>
    </row>
    <row r="10" spans="1:12" ht="12.75">
      <c r="A10" s="3413" t="s">
        <v>1900</v>
      </c>
      <c r="B10" s="3400">
        <v>15</v>
      </c>
      <c r="C10" s="3416"/>
      <c r="D10" s="3436"/>
      <c r="E10" s="136" t="s">
        <v>1901</v>
      </c>
      <c r="F10" s="1910"/>
      <c r="G10" s="1910"/>
      <c r="H10" s="1910"/>
      <c r="I10" s="1525"/>
    </row>
    <row r="11" spans="1:12" ht="12.75">
      <c r="A11" s="3413"/>
      <c r="B11" s="3400"/>
      <c r="C11" s="3418"/>
      <c r="D11" s="3436"/>
      <c r="E11" s="136" t="s">
        <v>1902</v>
      </c>
      <c r="F11" s="1910"/>
      <c r="G11" s="1910"/>
      <c r="H11" s="1910"/>
      <c r="I11" s="1525"/>
    </row>
    <row r="12" spans="1:12" ht="12.75">
      <c r="A12" s="3413" t="s">
        <v>1903</v>
      </c>
      <c r="B12" s="3400">
        <v>15</v>
      </c>
      <c r="C12" s="3416"/>
      <c r="D12" s="3436"/>
      <c r="E12" s="136" t="s">
        <v>1904</v>
      </c>
      <c r="F12" s="1910"/>
      <c r="G12" s="1910"/>
      <c r="H12" s="1910"/>
      <c r="I12" s="1525"/>
    </row>
    <row r="13" spans="1:12" ht="12.75">
      <c r="A13" s="3413"/>
      <c r="B13" s="3400"/>
      <c r="C13" s="3418"/>
      <c r="D13" s="3436"/>
      <c r="E13" s="136" t="s">
        <v>1905</v>
      </c>
      <c r="F13" s="1910"/>
      <c r="G13" s="1910"/>
      <c r="H13" s="1910"/>
      <c r="I13" s="1525"/>
    </row>
    <row r="14" spans="1:12" ht="12.75">
      <c r="A14" s="3413" t="s">
        <v>1906</v>
      </c>
      <c r="B14" s="3400">
        <v>30</v>
      </c>
      <c r="C14" s="3416">
        <v>5</v>
      </c>
      <c r="D14" s="3436">
        <f>10-C14</f>
        <v>5</v>
      </c>
      <c r="E14" s="136" t="s">
        <v>1907</v>
      </c>
      <c r="F14" s="1910"/>
      <c r="G14" s="1910"/>
      <c r="H14" s="1910"/>
      <c r="I14" s="1525"/>
    </row>
    <row r="15" spans="1:12" ht="12.75">
      <c r="A15" s="3413"/>
      <c r="B15" s="3400"/>
      <c r="C15" s="3417"/>
      <c r="D15" s="3436"/>
      <c r="E15" s="136" t="s">
        <v>1908</v>
      </c>
      <c r="F15" s="1910"/>
      <c r="G15" s="1910"/>
      <c r="H15" s="1910"/>
      <c r="I15" s="1525"/>
    </row>
    <row r="16" spans="1:12" ht="12.75">
      <c r="A16" s="3413"/>
      <c r="B16" s="3400"/>
      <c r="C16" s="3418"/>
      <c r="D16" s="3436"/>
      <c r="E16" s="136" t="s">
        <v>1909</v>
      </c>
      <c r="F16" s="1910"/>
      <c r="G16" s="1910"/>
      <c r="H16" s="1910"/>
      <c r="I16" s="1525"/>
    </row>
    <row r="17" spans="1:36" ht="15">
      <c r="A17" s="1911" t="s">
        <v>1910</v>
      </c>
      <c r="B17" s="60"/>
      <c r="C17" s="137">
        <f>SUM(C5:C16)</f>
        <v>5</v>
      </c>
      <c r="D17" s="137">
        <f>SUM(D5:D16)</f>
        <v>5</v>
      </c>
      <c r="E17" s="134"/>
      <c r="F17" s="134"/>
      <c r="G17" s="134"/>
      <c r="H17" s="134"/>
      <c r="I17" s="134"/>
      <c r="K17" s="308"/>
      <c r="L17" s="308" t="s">
        <v>1911</v>
      </c>
      <c r="M17" s="308" t="s">
        <v>1912</v>
      </c>
    </row>
    <row r="18" spans="1:36" ht="31.9" customHeight="1" thickBot="1">
      <c r="A18" s="1912" t="s">
        <v>1913</v>
      </c>
      <c r="B18" s="1913"/>
      <c r="C18" s="138">
        <f>ROUND(C17/SUM(C17:D17),2)</f>
        <v>0.5</v>
      </c>
      <c r="D18" s="138">
        <f>1-C18</f>
        <v>0.5</v>
      </c>
      <c r="E18" s="3423" t="s">
        <v>2812</v>
      </c>
      <c r="F18" s="3424"/>
      <c r="G18" s="3424"/>
      <c r="H18" s="3424"/>
      <c r="I18" s="3424"/>
      <c r="K18" s="308" t="s">
        <v>1914</v>
      </c>
      <c r="L18" s="308">
        <f>IF(C1="",'数据-汇总表'!E3,SUMIF(项目类型,C1,'数据-汇总表'!E17:E26)+SUMIF(项目类型,C1,'数据-汇总表'!I17:I26))</f>
        <v>56521.430000000008</v>
      </c>
      <c r="M18" s="308">
        <f>IF(C1="",'数据-汇总表'!E3,SUMIF(项目类型,C1,'数据-汇总表'!E17:E26))</f>
        <v>56521.430000000008</v>
      </c>
    </row>
    <row r="19" spans="1:36" ht="15">
      <c r="A19" s="1914" t="s">
        <v>1915</v>
      </c>
      <c r="B19" s="1915" t="s">
        <v>1916</v>
      </c>
      <c r="C19" s="139">
        <f ca="1">SUMIF(INDIRECT("'"&amp;C4&amp;"'"&amp;"!A:A"),结果表!B19,INDIRECT("'"&amp;C4&amp;"'"&amp;"!B:B"))</f>
        <v>360969</v>
      </c>
      <c r="D19" s="140">
        <f ca="1">SUMIF(INDIRECT("'"&amp;D4&amp;"'"&amp;"!A:A"),结果表!B19,INDIRECT("'"&amp;D4&amp;"'"&amp;"!B:B"))</f>
        <v>379546</v>
      </c>
      <c r="E19" s="1914" t="s">
        <v>1917</v>
      </c>
      <c r="F19" s="1915" t="s">
        <v>1916</v>
      </c>
      <c r="G19" s="141">
        <f ca="1">ROUND(C19*$C$18+D19*$D$18,0)</f>
        <v>370258</v>
      </c>
      <c r="H19" s="1916" t="s">
        <v>1918</v>
      </c>
      <c r="I19" s="134"/>
      <c r="K19" s="308" t="s">
        <v>1919</v>
      </c>
      <c r="L19" s="308">
        <f>IF(C1="",'数据-汇总表'!D3,SUMIF(项目类型,C1,'数据-汇总表'!D17:D26)+SUMIF(项目类型,C1,'数据-汇总表'!H17:H27))</f>
        <v>7691.58</v>
      </c>
      <c r="M19" s="308">
        <f>IF(C1="",'数据-汇总表'!D3,SUMIF(项目类型,C1,'数据-汇总表'!D17:D26))</f>
        <v>7691.58</v>
      </c>
    </row>
    <row r="20" spans="1:36" ht="15">
      <c r="A20" s="1917"/>
      <c r="B20" s="1156" t="s">
        <v>1920</v>
      </c>
      <c r="C20" s="142">
        <f ca="1">SUMIF(INDIRECT("'"&amp;C4&amp;"'"&amp;"!A:A"),结果表!B20,INDIRECT("'"&amp;C4&amp;"'"&amp;"!B:B"))</f>
        <v>63864</v>
      </c>
      <c r="D20" s="143">
        <f ca="1">SUMIF(INDIRECT("'"&amp;D4&amp;"'"&amp;"!A:A"),结果表!B20,INDIRECT("'"&amp;D4&amp;"'"&amp;"!B:B"))</f>
        <v>67151</v>
      </c>
      <c r="E20" s="1917"/>
      <c r="F20" s="1156" t="s">
        <v>1920</v>
      </c>
      <c r="G20" s="144">
        <f ca="1">ROUND(C20*$C$18+D20*$D$18,0)</f>
        <v>65508</v>
      </c>
      <c r="H20" s="916" t="s">
        <v>1921</v>
      </c>
      <c r="I20" s="134"/>
    </row>
    <row r="21" spans="1:36" ht="15" customHeight="1" thickBot="1">
      <c r="A21" s="936"/>
      <c r="B21" s="1918" t="s">
        <v>1922</v>
      </c>
      <c r="C21" s="728">
        <f ca="1">ROUND(C19*10000/L19,0)</f>
        <v>469304</v>
      </c>
      <c r="D21" s="729">
        <f ca="1">ROUND(D19*10000/L19,0)</f>
        <v>493456</v>
      </c>
      <c r="E21" s="936"/>
      <c r="F21" s="1918" t="s">
        <v>1922</v>
      </c>
      <c r="G21" s="145">
        <f ca="1">ROUND(G19*10000/L19,0)</f>
        <v>481381</v>
      </c>
      <c r="H21" s="1919" t="s">
        <v>1921</v>
      </c>
      <c r="I21" s="134"/>
    </row>
    <row r="22" spans="1:36" ht="15" thickBot="1">
      <c r="A22" s="1841" t="s">
        <v>1923</v>
      </c>
      <c r="B22" s="1920"/>
      <c r="C22" s="1921"/>
      <c r="D22" s="730">
        <f ca="1">IF(C19&lt;D19,D19/C19-1,C19/D19-1)</f>
        <v>5.1464253163014062E-2</v>
      </c>
      <c r="E22" s="134"/>
      <c r="F22" s="134"/>
      <c r="G22" s="134"/>
      <c r="H22" s="134"/>
      <c r="I22" s="134"/>
    </row>
    <row r="23" spans="1:36" ht="13.5" thickBot="1">
      <c r="A23" s="1900"/>
      <c r="B23" s="1900"/>
      <c r="C23" s="1900"/>
      <c r="D23" s="1900"/>
      <c r="E23" s="134"/>
      <c r="F23" s="134"/>
      <c r="G23" s="134"/>
      <c r="H23" s="134"/>
      <c r="I23" s="134"/>
    </row>
    <row r="24" spans="1:36" ht="14.25">
      <c r="A24" s="3407" t="s">
        <v>1924</v>
      </c>
      <c r="B24" s="1915" t="s">
        <v>1916</v>
      </c>
      <c r="C24" s="141">
        <f>IF(B30=0,0,D30)</f>
        <v>0</v>
      </c>
      <c r="D24" s="1922"/>
      <c r="E24" s="134"/>
      <c r="F24" s="134"/>
      <c r="G24" s="134"/>
      <c r="H24" s="134"/>
      <c r="I24" s="134"/>
    </row>
    <row r="25" spans="1:36" ht="14.25">
      <c r="A25" s="3408"/>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5"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1930</v>
      </c>
      <c r="B32" s="1927"/>
      <c r="C32" s="149">
        <f ca="1">IF(D32="总价",G19-C24,G20-C25)</f>
        <v>370258</v>
      </c>
      <c r="D32" s="1928" t="s">
        <v>3137</v>
      </c>
      <c r="E32" s="134"/>
      <c r="F32" s="134"/>
      <c r="G32" s="134"/>
      <c r="H32" s="134"/>
      <c r="I32" s="134"/>
    </row>
    <row r="33" spans="1:15" ht="15">
      <c r="A33" s="893" t="s">
        <v>1931</v>
      </c>
      <c r="B33" s="1929"/>
      <c r="C33" s="1930" t="s">
        <v>3431</v>
      </c>
      <c r="D33" s="1931" t="s">
        <v>3208</v>
      </c>
      <c r="E33" s="1932" t="s">
        <v>1932</v>
      </c>
      <c r="F33" s="1933" t="str">
        <f>IF(D32="楼面单价","取值（单价）","取值（总价）")</f>
        <v>取值（总价）</v>
      </c>
      <c r="G33" s="134"/>
      <c r="H33" s="134"/>
      <c r="I33" s="134"/>
    </row>
    <row r="34" spans="1:15" ht="15">
      <c r="A34" s="1934"/>
      <c r="B34" s="1935" t="s">
        <v>1933</v>
      </c>
      <c r="C34" s="153">
        <f ca="1">IF(C33="自定义",F34,C32-C35)</f>
        <v>291393</v>
      </c>
      <c r="D34" s="969">
        <f ca="1">IF(C33="自定义",ROUND(C34/C32,3),IF(C33="收益比率",SUMIF(INDIRECT("'"&amp;D33&amp;"'"&amp;"!b:b"),"土地收益比率",INDIRECT("'"&amp;D33&amp;"'"&amp;"!c:c")),SUMIF(INDIRECT("'"&amp;D33&amp;"'"&amp;"!b:b"),"土地成本比率",INDIRECT("'"&amp;D33&amp;"'"&amp;"!c:c"))))</f>
        <v>0.78700000000000003</v>
      </c>
      <c r="E34" s="1936" t="s">
        <v>1934</v>
      </c>
      <c r="F34" s="1468"/>
      <c r="G34" s="134"/>
      <c r="H34" s="134"/>
      <c r="I34" s="134"/>
    </row>
    <row r="35" spans="1:15" ht="15.75" thickBot="1">
      <c r="A35" s="1937"/>
      <c r="B35" s="1938" t="s">
        <v>1935</v>
      </c>
      <c r="C35" s="1302">
        <f ca="1">IF(C33="自定义",F35,ROUND(C32*D35,0))</f>
        <v>78865</v>
      </c>
      <c r="D35" s="1303">
        <f ca="1">IF(C33="自定义",ROUND(C35/C32,3),IF(C33="收益比率",SUMIF(INDIRECT("'"&amp;D33&amp;"'"&amp;"!b:b"),"建筑物收益比率",INDIRECT("'"&amp;D33&amp;"'"&amp;"!c:c")),SUMIF(INDIRECT("'"&amp;D33&amp;"'"&amp;"!b:b"),"建筑物成本比率",INDIRECT("'"&amp;D33&amp;"'"&amp;"!c:c"))))</f>
        <v>0.21299999999999999</v>
      </c>
      <c r="E35" s="1939" t="s">
        <v>1936</v>
      </c>
      <c r="F35" s="159"/>
      <c r="G35" s="134"/>
      <c r="H35" s="134"/>
      <c r="I35" s="134"/>
    </row>
    <row r="36" spans="1:15" ht="15.75" thickBot="1">
      <c r="A36" s="3427" t="s">
        <v>1937</v>
      </c>
      <c r="B36" s="1940" t="s">
        <v>1938</v>
      </c>
      <c r="C36" s="150"/>
      <c r="D36" s="1941"/>
      <c r="E36" s="1942"/>
      <c r="F36" s="1943"/>
      <c r="G36" s="134"/>
      <c r="H36" s="134"/>
      <c r="I36" s="134"/>
    </row>
    <row r="37" spans="1:15" ht="15.75" thickBot="1">
      <c r="A37" s="3428"/>
      <c r="B37" s="1827" t="s">
        <v>1939</v>
      </c>
      <c r="C37" s="152"/>
      <c r="D37" s="1271"/>
      <c r="E37" s="1271"/>
      <c r="F37" s="1943"/>
      <c r="G37" s="134"/>
      <c r="H37" s="134"/>
      <c r="I37" s="134"/>
    </row>
    <row r="38" spans="1:15" ht="15.75" thickBot="1">
      <c r="A38" s="3429"/>
      <c r="B38" s="1944" t="s">
        <v>1940</v>
      </c>
      <c r="C38" s="683"/>
      <c r="D38" s="1945" t="s">
        <v>1941</v>
      </c>
      <c r="E38" s="1271"/>
      <c r="F38" s="1943"/>
      <c r="G38" s="134"/>
      <c r="H38" s="134"/>
      <c r="I38" s="134"/>
    </row>
    <row r="39" spans="1:15" ht="15">
      <c r="A39" s="1917" t="s">
        <v>1942</v>
      </c>
      <c r="B39" s="1946" t="s">
        <v>1943</v>
      </c>
      <c r="C39" s="1947" t="s">
        <v>1944</v>
      </c>
      <c r="D39" s="1947" t="s">
        <v>1945</v>
      </c>
      <c r="E39" s="1948" t="s">
        <v>1946</v>
      </c>
      <c r="F39" s="1943"/>
      <c r="G39" s="134"/>
      <c r="H39" s="134"/>
      <c r="I39" s="134"/>
    </row>
    <row r="40" spans="1:15" ht="14.25">
      <c r="A40" s="1949" t="s">
        <v>1947</v>
      </c>
      <c r="B40" s="154"/>
      <c r="C40" s="155"/>
      <c r="D40" s="155"/>
      <c r="E40" s="156"/>
      <c r="F40" s="1943"/>
      <c r="G40" s="134"/>
      <c r="H40" s="134"/>
      <c r="I40" s="134"/>
    </row>
    <row r="41" spans="1:15" ht="14.25">
      <c r="A41" s="1949" t="s">
        <v>1948</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hidden="1">
      <c r="A44" s="1953" t="s">
        <v>1949</v>
      </c>
      <c r="B44" s="1954"/>
      <c r="C44" s="1954"/>
      <c r="D44" s="1955"/>
      <c r="E44" s="1955"/>
      <c r="F44" s="1956"/>
      <c r="G44" s="1956"/>
      <c r="H44" s="1956"/>
      <c r="I44" s="1956"/>
      <c r="J44" s="1957" t="s">
        <v>1950</v>
      </c>
      <c r="K44" s="1958"/>
      <c r="L44" s="1958"/>
      <c r="M44" s="1958"/>
      <c r="N44" s="1958"/>
      <c r="O44" s="1958"/>
    </row>
    <row r="45" spans="1:15" ht="14.25" hidden="1" customHeight="1" thickBot="1">
      <c r="A45" s="3404" t="s">
        <v>1951</v>
      </c>
      <c r="B45" s="3405"/>
      <c r="C45" s="3406"/>
      <c r="D45" s="160">
        <f ca="1">ROUND(H101*F45,0)</f>
        <v>236965</v>
      </c>
      <c r="E45" s="161" t="s">
        <v>1952</v>
      </c>
      <c r="F45" s="162">
        <v>0.64</v>
      </c>
      <c r="G45" s="163" t="s">
        <v>1953</v>
      </c>
      <c r="H45" s="134"/>
      <c r="I45" s="134"/>
      <c r="J45" s="3485" t="s">
        <v>1954</v>
      </c>
      <c r="K45" s="3485"/>
      <c r="L45" s="3485"/>
      <c r="M45" s="3485"/>
      <c r="N45" s="3485"/>
      <c r="O45" s="3485"/>
    </row>
    <row r="46" spans="1:15" ht="14.25" hidden="1" customHeight="1">
      <c r="A46" s="3401" t="s">
        <v>1955</v>
      </c>
      <c r="B46" s="3402"/>
      <c r="C46" s="3402"/>
      <c r="D46" s="3402"/>
      <c r="E46" s="3402"/>
      <c r="F46" s="3402"/>
      <c r="G46" s="3403"/>
      <c r="H46" s="1959"/>
      <c r="I46" s="164"/>
      <c r="J46" s="2715">
        <v>1</v>
      </c>
      <c r="K46" s="3466" t="s">
        <v>1956</v>
      </c>
      <c r="L46" s="3466"/>
      <c r="M46" s="3486"/>
      <c r="N46" s="3486"/>
      <c r="O46" s="3486"/>
    </row>
    <row r="47" spans="1:15" ht="12" hidden="1" customHeight="1">
      <c r="A47" s="165" t="s">
        <v>1957</v>
      </c>
      <c r="B47" s="166"/>
      <c r="C47" s="167"/>
      <c r="D47" s="1218" t="s">
        <v>1958</v>
      </c>
      <c r="E47" s="308" t="s">
        <v>1959</v>
      </c>
      <c r="F47" s="168" t="s">
        <v>1960</v>
      </c>
      <c r="G47" s="2738" t="s">
        <v>1961</v>
      </c>
      <c r="H47" s="2739"/>
      <c r="I47" s="164"/>
      <c r="J47" s="2715">
        <v>2</v>
      </c>
      <c r="K47" s="3466" t="s">
        <v>1962</v>
      </c>
      <c r="L47" s="3466"/>
      <c r="M47" s="3487">
        <f>'数据-取费表'!B2</f>
        <v>44665</v>
      </c>
      <c r="N47" s="3487"/>
      <c r="O47" s="3487"/>
    </row>
    <row r="48" spans="1:15" ht="25.5" hidden="1">
      <c r="A48" s="3432" t="s">
        <v>1963</v>
      </c>
      <c r="B48" s="3415"/>
      <c r="C48" s="3415"/>
      <c r="D48" s="2514">
        <f ca="1">IF(H48="情况1",0,IF(H48="情况2",D52,IF(H48="情况3",D53,IF(H48="情况4",D54))))</f>
        <v>12638</v>
      </c>
      <c r="E48" s="2524" t="str">
        <f>IF(H48="情况4","(销售额-原购置价)×税（费）率","销售额×税（费）率")</f>
        <v>销售额×税（费）率</v>
      </c>
      <c r="F48" s="2740">
        <f>IF(H48="情况1","免征",'数据-取费表'!B41)</f>
        <v>5.6000000000000001E-2</v>
      </c>
      <c r="G48" s="2741" t="s">
        <v>1964</v>
      </c>
      <c r="H48" s="2742" t="s">
        <v>3221</v>
      </c>
      <c r="I48" s="1959"/>
      <c r="J48" s="2715">
        <v>3</v>
      </c>
      <c r="K48" s="3466" t="s">
        <v>1965</v>
      </c>
      <c r="L48" s="3466"/>
      <c r="M48" s="3488">
        <f ca="1">H101</f>
        <v>370258</v>
      </c>
      <c r="N48" s="3488"/>
      <c r="O48" s="3488"/>
    </row>
    <row r="49" spans="1:35" ht="25.5" hidden="1" customHeight="1">
      <c r="A49" s="2523" t="s">
        <v>1966</v>
      </c>
      <c r="B49" s="3399" t="s">
        <v>1967</v>
      </c>
      <c r="C49" s="3399"/>
      <c r="D49" s="1743">
        <v>0</v>
      </c>
      <c r="E49" s="330" t="s">
        <v>1968</v>
      </c>
      <c r="F49" s="2617" t="s">
        <v>34</v>
      </c>
      <c r="G49" s="3472"/>
      <c r="H49" s="2495" t="s">
        <v>2815</v>
      </c>
      <c r="I49" s="2496"/>
      <c r="J49" s="2715">
        <v>4</v>
      </c>
      <c r="K49" s="3466" t="str">
        <f>IF(项目基本情况!E8="房地产抵押价值","房地产抵押价值","抵押担保权已注销时的房地产抵押价值")</f>
        <v>房地产抵押价值</v>
      </c>
      <c r="L49" s="3466"/>
      <c r="M49" s="3488">
        <f ca="1">IF(项目基本情况!E8="房地产抵押价值",H107,H109)</f>
        <v>370258</v>
      </c>
      <c r="N49" s="3488"/>
      <c r="O49" s="3488"/>
    </row>
    <row r="50" spans="1:35" ht="25.5" hidden="1" customHeight="1">
      <c r="A50" s="2743"/>
      <c r="B50" s="3399" t="s">
        <v>1969</v>
      </c>
      <c r="C50" s="3399"/>
      <c r="D50" s="2744"/>
      <c r="E50" s="338"/>
      <c r="F50" s="2617"/>
      <c r="G50" s="3473"/>
      <c r="H50" s="2497" t="s">
        <v>2816</v>
      </c>
      <c r="I50" s="2496"/>
      <c r="J50" s="3485" t="s">
        <v>1970</v>
      </c>
      <c r="K50" s="3485"/>
      <c r="L50" s="3485"/>
      <c r="M50" s="3485"/>
      <c r="N50" s="3485"/>
      <c r="O50" s="3485"/>
    </row>
    <row r="51" spans="1:35" ht="20.45" hidden="1" customHeight="1">
      <c r="A51" s="2745"/>
      <c r="B51" s="3399" t="s">
        <v>1971</v>
      </c>
      <c r="C51" s="3399"/>
      <c r="D51" s="1218"/>
      <c r="E51" s="333"/>
      <c r="F51" s="2617"/>
      <c r="G51" s="3474"/>
      <c r="H51" s="2497" t="s">
        <v>2817</v>
      </c>
      <c r="I51" s="2496"/>
      <c r="J51" s="2716" t="s">
        <v>1972</v>
      </c>
      <c r="K51" s="3466" t="s">
        <v>1973</v>
      </c>
      <c r="L51" s="3466"/>
      <c r="M51" s="2716" t="s">
        <v>1974</v>
      </c>
      <c r="N51" s="2716" t="s">
        <v>1975</v>
      </c>
      <c r="O51" s="2716" t="s">
        <v>1976</v>
      </c>
    </row>
    <row r="52" spans="1:35" ht="24" hidden="1" customHeight="1">
      <c r="A52" s="2525" t="s">
        <v>1977</v>
      </c>
      <c r="B52" s="3399" t="s">
        <v>1978</v>
      </c>
      <c r="C52" s="3399"/>
      <c r="D52" s="1218">
        <f ca="1">ROUND(D45*'数据-取费表'!B41/(1+'数据-取费表'!C42),0)</f>
        <v>12638</v>
      </c>
      <c r="E52" s="2524" t="s">
        <v>1979</v>
      </c>
      <c r="F52" s="2746">
        <f>'数据-取费表'!B41</f>
        <v>5.6000000000000001E-2</v>
      </c>
      <c r="G52" s="2747"/>
      <c r="H52" s="2736"/>
      <c r="I52" s="1960"/>
      <c r="J52" s="2715">
        <v>1</v>
      </c>
      <c r="K52" s="3467" t="s">
        <v>1980</v>
      </c>
      <c r="L52" s="3467"/>
      <c r="M52" s="2717">
        <f ca="1">D48</f>
        <v>12638</v>
      </c>
      <c r="N52" s="2715" t="str">
        <f>E48</f>
        <v>销售额×税（费）率</v>
      </c>
      <c r="O52" s="2718">
        <f>F48</f>
        <v>5.6000000000000001E-2</v>
      </c>
    </row>
    <row r="53" spans="1:35" ht="12" hidden="1" customHeight="1">
      <c r="A53" s="2525" t="s">
        <v>1981</v>
      </c>
      <c r="B53" s="3425" t="s">
        <v>2970</v>
      </c>
      <c r="C53" s="3426"/>
      <c r="D53" s="1218">
        <f ca="1">ROUND(D45*'数据-取费表'!B41/(1+'数据-取费表'!C42),0)</f>
        <v>12638</v>
      </c>
      <c r="E53" s="2524" t="s">
        <v>1979</v>
      </c>
      <c r="F53" s="2746">
        <f>'数据-取费表'!B41</f>
        <v>5.6000000000000001E-2</v>
      </c>
      <c r="G53" s="2747"/>
      <c r="H53" s="2736"/>
      <c r="I53" s="1960"/>
      <c r="J53" s="2715">
        <v>2</v>
      </c>
      <c r="K53" s="3467" t="s">
        <v>1982</v>
      </c>
      <c r="L53" s="3467"/>
      <c r="M53" s="2717">
        <f t="shared" ref="M53:O54" ca="1" si="0">D55</f>
        <v>118</v>
      </c>
      <c r="N53" s="2715" t="str">
        <f t="shared" si="0"/>
        <v>销售额×税（费）率</v>
      </c>
      <c r="O53" s="2718">
        <f t="shared" si="0"/>
        <v>5.0000000000000001E-4</v>
      </c>
    </row>
    <row r="54" spans="1:35" ht="12" hidden="1" customHeight="1">
      <c r="A54" s="2525" t="s">
        <v>1983</v>
      </c>
      <c r="B54" s="3425" t="s">
        <v>2971</v>
      </c>
      <c r="C54" s="3426"/>
      <c r="D54" s="1218">
        <f ca="1">C68</f>
        <v>12638</v>
      </c>
      <c r="E54" s="333" t="s">
        <v>1984</v>
      </c>
      <c r="F54" s="2746">
        <f>'数据-取费表'!B41</f>
        <v>5.6000000000000001E-2</v>
      </c>
      <c r="G54" s="2747"/>
      <c r="H54" s="2748"/>
      <c r="I54" s="1960"/>
      <c r="J54" s="2715">
        <v>3</v>
      </c>
      <c r="K54" s="3467" t="s">
        <v>1985</v>
      </c>
      <c r="L54" s="3467"/>
      <c r="M54" s="2717">
        <f t="shared" ca="1" si="0"/>
        <v>30318</v>
      </c>
      <c r="N54" s="2715" t="str">
        <f t="shared" si="0"/>
        <v>增值额×税（费）率</v>
      </c>
      <c r="O54" s="2719" t="str">
        <f t="shared" si="0"/>
        <v>——</v>
      </c>
    </row>
    <row r="55" spans="1:35" ht="24" hidden="1" customHeight="1">
      <c r="A55" s="3414" t="s">
        <v>1986</v>
      </c>
      <c r="B55" s="3415"/>
      <c r="C55" s="3415"/>
      <c r="D55" s="2514">
        <f ca="1">IF(H55="个人住宅",0,ROUND(D45*I55,0))</f>
        <v>118</v>
      </c>
      <c r="E55" s="2524" t="s">
        <v>1987</v>
      </c>
      <c r="F55" s="2746">
        <f>IF(H55="正常",I55,"免征")</f>
        <v>5.0000000000000001E-4</v>
      </c>
      <c r="G55" s="2747"/>
      <c r="H55" s="2742" t="s">
        <v>3222</v>
      </c>
      <c r="I55" s="170">
        <f>'数据-取费表'!B49</f>
        <v>5.0000000000000001E-4</v>
      </c>
      <c r="J55" s="2715" t="str">
        <f>IF(H59="非个人房产","",4)</f>
        <v/>
      </c>
      <c r="K55" s="3467" t="str">
        <f>IF(H59="非个人房产","——","个人所得税")</f>
        <v>——</v>
      </c>
      <c r="L55" s="3467"/>
      <c r="M55" s="2720" t="str">
        <f>D59</f>
        <v>——</v>
      </c>
      <c r="N55" s="2195" t="str">
        <f>E59</f>
        <v>——</v>
      </c>
      <c r="O55" s="2721" t="str">
        <f>F59</f>
        <v>——</v>
      </c>
    </row>
    <row r="56" spans="1:35" ht="24.75" hidden="1">
      <c r="A56" s="3414" t="s">
        <v>1988</v>
      </c>
      <c r="B56" s="3415"/>
      <c r="C56" s="3415"/>
      <c r="D56" s="2514">
        <f ca="1">IF(H56="个人住宅",D57,D58)</f>
        <v>30318</v>
      </c>
      <c r="E56" s="2524" t="s">
        <v>1989</v>
      </c>
      <c r="F56" s="2746" t="str">
        <f>IF(H56="正常",F58,"免征")</f>
        <v>——</v>
      </c>
      <c r="G56" s="2749" t="s">
        <v>1990</v>
      </c>
      <c r="H56" s="2750" t="s">
        <v>3222</v>
      </c>
      <c r="I56" s="1961"/>
      <c r="J56" s="2715" t="str">
        <f>IF(项目基本情况!K6="上海银行",IF(J55="",4,J55+1),"")</f>
        <v/>
      </c>
      <c r="K56" s="3490" t="str">
        <f>IF(项目基本情况!K6="上海银行","其他处置费用","")</f>
        <v/>
      </c>
      <c r="L56" s="3491"/>
      <c r="M56" s="2717" t="str">
        <f>IF(项目基本情况!K6="上海银行",M69,"")</f>
        <v/>
      </c>
      <c r="N56" s="3490" t="str">
        <f>IF(项目基本情况!K6="上海银行","包含处置中涉及的律师、诉讼、拍卖、评估等费用","")</f>
        <v/>
      </c>
      <c r="O56" s="3493"/>
    </row>
    <row r="57" spans="1:35" ht="12.75" hidden="1">
      <c r="A57" s="2525" t="s">
        <v>1966</v>
      </c>
      <c r="B57" s="3425" t="s">
        <v>1991</v>
      </c>
      <c r="C57" s="3426"/>
      <c r="D57" s="1743">
        <v>0</v>
      </c>
      <c r="E57" s="330" t="s">
        <v>1968</v>
      </c>
      <c r="F57" s="308"/>
      <c r="G57" s="2747"/>
      <c r="H57" s="2751"/>
      <c r="I57" s="1961"/>
      <c r="J57" s="3467">
        <f>IF(AND(J55="",J56=""),4,IF(项目基本情况!K6="上海银行",结果表!J56+1,结果表!J55+1))</f>
        <v>4</v>
      </c>
      <c r="K57" s="3467" t="s">
        <v>1992</v>
      </c>
      <c r="L57" s="2722" t="s">
        <v>1993</v>
      </c>
      <c r="M57" s="2723"/>
      <c r="N57" s="2724">
        <f ca="1">SUMIF(M52:M56,"&lt;9e307")</f>
        <v>43074</v>
      </c>
      <c r="O57" s="2725"/>
      <c r="P57" s="2885">
        <f ca="1">N57/M49</f>
        <v>0.11633509606814707</v>
      </c>
    </row>
    <row r="58" spans="1:35" ht="24.75" hidden="1">
      <c r="A58" s="2525" t="s">
        <v>1977</v>
      </c>
      <c r="B58" s="3425" t="s">
        <v>1994</v>
      </c>
      <c r="C58" s="3399"/>
      <c r="D58" s="2514">
        <f ca="1">IF(H58="转让取得",C81,C97)</f>
        <v>30318</v>
      </c>
      <c r="E58" s="2524" t="s">
        <v>1989</v>
      </c>
      <c r="F58" s="308" t="s">
        <v>34</v>
      </c>
      <c r="G58" s="2747"/>
      <c r="H58" s="2750" t="s">
        <v>3223</v>
      </c>
      <c r="I58" s="1961"/>
      <c r="J58" s="3467"/>
      <c r="K58" s="3467"/>
      <c r="L58" s="2722" t="s">
        <v>1995</v>
      </c>
      <c r="M58" s="2726"/>
      <c r="N58" s="2727" t="str">
        <f ca="1">NUMBERSTRING(INT(N57*10000),2)&amp;"元整"</f>
        <v>肆亿叁仟零柒拾肆万元整</v>
      </c>
      <c r="O58" s="2728"/>
    </row>
    <row r="59" spans="1:35" ht="24.75" hidden="1" thickBot="1">
      <c r="A59" s="3470" t="s">
        <v>1996</v>
      </c>
      <c r="B59" s="3471"/>
      <c r="C59" s="3471"/>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68">
        <f>J57+1</f>
        <v>5</v>
      </c>
      <c r="K59" s="3467" t="s">
        <v>1997</v>
      </c>
      <c r="L59" s="2715" t="s">
        <v>1993</v>
      </c>
      <c r="M59" s="2729"/>
      <c r="N59" s="2730">
        <f ca="1">M49-N57</f>
        <v>327184</v>
      </c>
      <c r="O59" s="2731"/>
    </row>
    <row r="60" spans="1:35" ht="12" hidden="1" customHeight="1">
      <c r="A60" s="1962"/>
      <c r="B60" s="1900"/>
      <c r="C60" s="1900"/>
      <c r="D60" s="1900"/>
      <c r="E60" s="1731"/>
      <c r="F60" s="1961"/>
      <c r="G60" s="1961"/>
      <c r="H60" s="1963"/>
      <c r="I60" s="134"/>
      <c r="J60" s="3469"/>
      <c r="K60" s="3467"/>
      <c r="L60" s="2722" t="s">
        <v>1995</v>
      </c>
      <c r="M60" s="2726"/>
      <c r="N60" s="2727" t="str">
        <f ca="1">NUMBERSTRING(INT(N59*10000),2)&amp;"元整"</f>
        <v>叁拾贰亿柒仟壹佰捌拾肆万元整</v>
      </c>
      <c r="O60" s="2728"/>
    </row>
    <row r="61" spans="1:35" ht="13.5" hidden="1" thickBot="1">
      <c r="A61" s="3412" t="s">
        <v>1998</v>
      </c>
      <c r="B61" s="3412"/>
      <c r="C61" s="3412"/>
      <c r="D61" s="3412"/>
      <c r="E61" s="3412"/>
      <c r="F61" s="1961"/>
      <c r="G61" s="1961"/>
      <c r="H61" s="1963"/>
      <c r="I61" s="134"/>
      <c r="J61" s="2715">
        <f>J59+1</f>
        <v>6</v>
      </c>
      <c r="K61" s="3467" t="s">
        <v>1999</v>
      </c>
      <c r="L61" s="3467"/>
      <c r="M61" s="2732"/>
      <c r="N61" s="2733">
        <f ca="1">ROUND(N59*10000/'数据-汇总表'!E3,0)</f>
        <v>46610</v>
      </c>
      <c r="O61" s="2734"/>
    </row>
    <row r="62" spans="1:35" ht="12.75" hidden="1">
      <c r="A62" s="3430" t="s">
        <v>2000</v>
      </c>
      <c r="B62" s="3431"/>
      <c r="C62" s="2176"/>
      <c r="D62" s="2176" t="s">
        <v>2001</v>
      </c>
      <c r="E62" s="171" t="s">
        <v>2002</v>
      </c>
      <c r="F62" s="1961"/>
      <c r="G62" s="1961"/>
      <c r="H62" s="1963"/>
      <c r="I62" s="134"/>
    </row>
    <row r="63" spans="1:35" ht="12.75" hidden="1">
      <c r="A63" s="178" t="s">
        <v>775</v>
      </c>
      <c r="B63" s="172" t="s">
        <v>2003</v>
      </c>
      <c r="C63" s="2756">
        <f ca="1">ROUND((C64+C65)/(1+'数据-取费表'!C42),0)</f>
        <v>225681</v>
      </c>
      <c r="D63" s="172"/>
      <c r="E63" s="173"/>
      <c r="F63" s="1961"/>
      <c r="G63" s="1961"/>
      <c r="H63" s="1963"/>
      <c r="I63" s="134"/>
      <c r="J63" s="3492" t="s">
        <v>2004</v>
      </c>
      <c r="K63" s="1470" t="s">
        <v>2005</v>
      </c>
      <c r="L63" s="1470">
        <f ca="1">IF(M49&gt;10000,M49*0.5%,IF(AND(M49&gt;1000,M49&lt;=10000),M49*1%,IF(AND(M49&gt;100,M49&lt;=1000),M49*3%,IF(AND(M49&gt;10,M49&lt;=100),M49*5%,M49*8%))))</f>
        <v>1851.29</v>
      </c>
      <c r="M63" s="308">
        <f ca="1">ROUND(L63,1)</f>
        <v>1851.3</v>
      </c>
      <c r="N63" s="2735"/>
      <c r="Z63" s="1905"/>
      <c r="AI63" s="1906"/>
    </row>
    <row r="64" spans="1:35" ht="14.25" hidden="1" customHeight="1">
      <c r="A64" s="174" t="s">
        <v>770</v>
      </c>
      <c r="B64" s="175" t="s">
        <v>2006</v>
      </c>
      <c r="C64" s="2757">
        <f ca="1">D45</f>
        <v>236965</v>
      </c>
      <c r="D64" s="175" t="s">
        <v>32</v>
      </c>
      <c r="E64" s="177"/>
      <c r="F64" s="1961"/>
      <c r="G64" s="1961"/>
      <c r="H64" s="1963"/>
      <c r="I64" s="134"/>
      <c r="J64" s="3492"/>
      <c r="K64" s="1470" t="s">
        <v>2007</v>
      </c>
      <c r="L64" s="1470">
        <f ca="1">IF(M49&gt;2000,M49*0.5%,IF(AND(M49&gt;1000,M49&lt;=2000),M49*0.6%,IF(AND(M49&gt;500,M49&lt;=1000),M49*0.7%,IF(AND(M49&gt;200,M49&lt;=500),M49*0.8%,IF(AND(M49&gt;100,M49&lt;=200),M49*0.9%,IF(AND(M49&gt;50,M49&lt;=100),M49*1%,IF(AND(M49&gt;20,M49&lt;=50),M49*1.5%,IF(AND(M49&gt;10,M49&lt;=20),M49*2%,IF(AND(M49&gt;1,M49&lt;=10),M49*2.5%)))))))))</f>
        <v>1851.29</v>
      </c>
      <c r="M64" s="308">
        <f t="shared" ref="M64:M65" ca="1" si="1">ROUND(L64,1)</f>
        <v>1851.3</v>
      </c>
      <c r="N64" s="2736" t="s">
        <v>2008</v>
      </c>
      <c r="Z64" s="1905"/>
      <c r="AI64" s="1906"/>
    </row>
    <row r="65" spans="1:35" ht="14.25" hidden="1" customHeight="1">
      <c r="A65" s="174" t="s">
        <v>771</v>
      </c>
      <c r="B65" s="175" t="s">
        <v>2009</v>
      </c>
      <c r="C65" s="2758"/>
      <c r="D65" s="175"/>
      <c r="E65" s="177"/>
      <c r="F65" s="1961"/>
      <c r="G65" s="1961"/>
      <c r="H65" s="1963"/>
      <c r="I65" s="134"/>
      <c r="J65" s="3492"/>
      <c r="K65" s="1470" t="s">
        <v>2010</v>
      </c>
      <c r="L65" s="1470">
        <f ca="1">IF(M49&gt;1000,M49*0.1%,IF(AND(M49&gt;500,M49&lt;=1000),M49*0.5%,IF(AND(M49&gt;50,M49&lt;=500),M49*1%,IF(AND(M49&gt;1,M49&lt;=50),M49*1.5%))))</f>
        <v>370.25799999999998</v>
      </c>
      <c r="M65" s="308">
        <f t="shared" ca="1" si="1"/>
        <v>370.3</v>
      </c>
      <c r="N65" s="2736" t="s">
        <v>2008</v>
      </c>
      <c r="Z65" s="1905"/>
      <c r="AI65" s="1906"/>
    </row>
    <row r="66" spans="1:35" ht="14.25" hidden="1" customHeight="1">
      <c r="A66" s="178" t="s">
        <v>772</v>
      </c>
      <c r="B66" s="179" t="s">
        <v>2011</v>
      </c>
      <c r="C66" s="2759"/>
      <c r="D66" s="179" t="s">
        <v>32</v>
      </c>
      <c r="E66" s="1477" t="s">
        <v>1277</v>
      </c>
      <c r="F66" s="1961"/>
      <c r="G66" s="1961"/>
      <c r="H66" s="1963"/>
      <c r="I66" s="134"/>
      <c r="J66" s="3492"/>
      <c r="K66" s="1470" t="s">
        <v>2012</v>
      </c>
      <c r="L66" s="1470">
        <f ca="1">M49*0.5%</f>
        <v>1851.29</v>
      </c>
      <c r="M66" s="308">
        <f ca="1">IF(L66&gt;0.5,0.5,ROUND(L66,0))</f>
        <v>0.5</v>
      </c>
      <c r="N66" s="2736" t="s">
        <v>2013</v>
      </c>
      <c r="Z66" s="1905"/>
      <c r="AI66" s="1906"/>
    </row>
    <row r="67" spans="1:35" ht="14.25" hidden="1" customHeight="1">
      <c r="A67" s="178" t="s">
        <v>773</v>
      </c>
      <c r="B67" s="179" t="s">
        <v>2014</v>
      </c>
      <c r="C67" s="2760">
        <f ca="1">C63-C66</f>
        <v>225681</v>
      </c>
      <c r="D67" s="175" t="s">
        <v>32</v>
      </c>
      <c r="E67" s="177"/>
      <c r="F67" s="1961"/>
      <c r="G67" s="1961"/>
      <c r="H67" s="1963"/>
      <c r="I67" s="134"/>
      <c r="J67" s="3492"/>
      <c r="K67" s="1470" t="s">
        <v>2015</v>
      </c>
      <c r="L67" s="1470">
        <f ca="1">IF(M49&gt;=10000,(8.25+(M49-10000)*0.01%),IF(AND(M49&gt;=8000,M49&lt;10000),(7.85+(M49-8000)*0.02%),IF(AND(M49&gt;=5000,M49&lt;8000),(6.65+(M49-5000)*0.04%),IF(AND(M49&gt;=2000,M49&lt;5000),(4.25+(PM49-2000)*0.08%),IF(AND(M49&gt;=1000,M49&lt;2000),(2.75+(M49-1000)*0.15%),IF(AND(M49&gt;=100,M49&lt;1000),(0.5+(M49-100)*0.25%),IF(AND(M49&gt;0,M49&lt;100),M49*0.5%)))))))</f>
        <v>44.275800000000004</v>
      </c>
      <c r="M67" s="308">
        <f ca="1">ROUND(L67*0.9,1)</f>
        <v>39.799999999999997</v>
      </c>
      <c r="N67" s="2735"/>
      <c r="Z67" s="1905"/>
      <c r="AI67" s="1906"/>
    </row>
    <row r="68" spans="1:35" ht="14.25" hidden="1" customHeight="1" thickBot="1">
      <c r="A68" s="181" t="s">
        <v>774</v>
      </c>
      <c r="B68" s="182" t="s">
        <v>2016</v>
      </c>
      <c r="C68" s="2761">
        <f ca="1">IF(C67&lt;=0,0,ROUND(C67*D68,0))</f>
        <v>12638</v>
      </c>
      <c r="D68" s="2762">
        <f>'数据-取费表'!B41</f>
        <v>5.6000000000000001E-2</v>
      </c>
      <c r="E68" s="184"/>
      <c r="F68" s="1961"/>
      <c r="G68" s="1961"/>
      <c r="H68" s="1963"/>
      <c r="I68" s="134"/>
      <c r="J68" s="3492"/>
      <c r="K68" s="1470" t="s">
        <v>2017</v>
      </c>
      <c r="L68" s="1470">
        <f ca="1">IF(M49&gt;10000,M49*0.5%,IF(AND(M49&gt;5000,M49&lt;=10000),M49*1%,IF(AND(M49&gt;1000,M49&lt;=5000),M49*2%,IF(AND(M49&gt;200,M49&lt;=1000),M49*3%,M49*5%))))</f>
        <v>1851.29</v>
      </c>
      <c r="M68" s="308">
        <f ca="1">ROUND(L68,1)</f>
        <v>1851.3</v>
      </c>
      <c r="N68" s="2735"/>
      <c r="Z68" s="1905"/>
      <c r="AI68" s="1906"/>
    </row>
    <row r="69" spans="1:35" s="1925" customFormat="1" ht="16.5" hidden="1" customHeight="1">
      <c r="A69" s="1964"/>
      <c r="B69" s="1965"/>
      <c r="C69" s="1966"/>
      <c r="D69" s="1967"/>
      <c r="E69" s="1968"/>
      <c r="F69" s="1731"/>
      <c r="G69" s="1731"/>
      <c r="H69" s="1730"/>
      <c r="I69" s="1900"/>
      <c r="J69" s="3492"/>
      <c r="K69" s="1470" t="s">
        <v>2018</v>
      </c>
      <c r="L69" s="1470"/>
      <c r="M69" s="308">
        <f ca="1">ROUND(SUM(M63:M68),0)</f>
        <v>5965</v>
      </c>
      <c r="N69" s="2737">
        <f ca="1">M69/M49</f>
        <v>1.6110387891686336E-2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hidden="1" thickBot="1">
      <c r="A70" s="3451" t="s">
        <v>2019</v>
      </c>
      <c r="B70" s="3452"/>
      <c r="C70" s="3452"/>
      <c r="D70" s="3452"/>
      <c r="E70" s="3452"/>
      <c r="F70" s="3452"/>
      <c r="G70" s="3452"/>
      <c r="H70" s="3452"/>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hidden="1">
      <c r="A71" s="3430" t="s">
        <v>2000</v>
      </c>
      <c r="B71" s="3431"/>
      <c r="C71" s="2176"/>
      <c r="D71" s="2176"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hidden="1">
      <c r="A72" s="178" t="s">
        <v>775</v>
      </c>
      <c r="B72" s="179" t="s">
        <v>2020</v>
      </c>
      <c r="C72" s="2760">
        <f ca="1">ROUND(D45/(1+'数据-取费表'!C42),0)</f>
        <v>225681</v>
      </c>
      <c r="D72" s="175" t="s">
        <v>32</v>
      </c>
      <c r="E72" s="2521"/>
      <c r="F72" s="2520"/>
      <c r="G72" s="2520"/>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hidden="1">
      <c r="A73" s="178" t="s">
        <v>772</v>
      </c>
      <c r="B73" s="168" t="s">
        <v>2021</v>
      </c>
      <c r="C73" s="2760">
        <f ca="1">C74+C78</f>
        <v>1354</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25" t="s">
        <v>2027</v>
      </c>
      <c r="F76" s="3399"/>
      <c r="G76" s="3399"/>
      <c r="H76" s="3450"/>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2514" t="s">
        <v>2029</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1354</v>
      </c>
      <c r="D78" s="2769">
        <f>'数据-取费表'!B43</f>
        <v>6.000000000000001E-3</v>
      </c>
      <c r="E78" s="3409" t="s">
        <v>2031</v>
      </c>
      <c r="F78" s="3410"/>
      <c r="G78" s="3410"/>
      <c r="H78" s="3419"/>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hidden="1">
      <c r="A79" s="178" t="s">
        <v>779</v>
      </c>
      <c r="B79" s="179" t="s">
        <v>2032</v>
      </c>
      <c r="C79" s="2760">
        <f ca="1">C72-C73</f>
        <v>224327</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165.67725258493354</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hidden="1" thickBot="1">
      <c r="A81" s="181" t="s">
        <v>781</v>
      </c>
      <c r="B81" s="182" t="s">
        <v>2034</v>
      </c>
      <c r="C81" s="2771">
        <f ca="1">ROUND(IF(C79&lt;=0,0,IF(C80&gt;=200%,C79*60%-C73*35%,IF(C80&gt;=100%,C79*50%-C73*15%,IF(C80&gt;=50%,C79*40%-C73*5%,IF(C80&lt;50%,C79*30%,0))))),0)</f>
        <v>134122</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hidden="1" thickBot="1">
      <c r="A83" s="3451" t="s">
        <v>2035</v>
      </c>
      <c r="B83" s="3452"/>
      <c r="C83" s="3452"/>
      <c r="D83" s="3452"/>
      <c r="E83" s="3452"/>
      <c r="F83" s="3452"/>
      <c r="G83" s="3452"/>
      <c r="H83" s="3452"/>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hidden="1">
      <c r="A84" s="3430" t="s">
        <v>2000</v>
      </c>
      <c r="B84" s="3431"/>
      <c r="C84" s="2176"/>
      <c r="D84" s="2176"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hidden="1">
      <c r="A85" s="178" t="s">
        <v>775</v>
      </c>
      <c r="B85" s="179" t="s">
        <v>2020</v>
      </c>
      <c r="C85" s="2760">
        <f ca="1">ROUND(D45/(1+'数据-取费表'!C42),0)</f>
        <v>225681</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hidden="1">
      <c r="A86" s="178" t="s">
        <v>772</v>
      </c>
      <c r="B86" s="168" t="s">
        <v>2021</v>
      </c>
      <c r="C86" s="2760">
        <f ca="1">IF(H88="仅含出让金",C87+C90+C91+C92+C93+C94,C87+C91+C92+C93+C94)</f>
        <v>133231.17170000001</v>
      </c>
      <c r="D86" s="2773"/>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hidden="1">
      <c r="A87" s="174" t="s">
        <v>770</v>
      </c>
      <c r="B87" s="175" t="s">
        <v>2036</v>
      </c>
      <c r="C87" s="2768">
        <f>C88+C89</f>
        <v>21444.171699999999</v>
      </c>
      <c r="D87" s="2769"/>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hidden="1">
      <c r="A88" s="174" t="s">
        <v>776</v>
      </c>
      <c r="B88" s="175" t="s">
        <v>2037</v>
      </c>
      <c r="C88" s="2774">
        <f>信息!B22+信息!E22</f>
        <v>20809.171699999999</v>
      </c>
      <c r="D88" s="2769"/>
      <c r="E88" s="199" t="s">
        <v>2038</v>
      </c>
      <c r="F88" s="2517"/>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hidden="1">
      <c r="A89" s="174" t="s">
        <v>777</v>
      </c>
      <c r="B89" s="175" t="s">
        <v>2028</v>
      </c>
      <c r="C89" s="2768">
        <f>ROUND(C88*D89,0)</f>
        <v>635</v>
      </c>
      <c r="D89" s="2769">
        <f>'数据-取费表'!B48+'数据-取费表'!B49</f>
        <v>3.0499999999999999E-2</v>
      </c>
      <c r="E89" s="199" t="s">
        <v>2040</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hidden="1">
      <c r="A90" s="174" t="s">
        <v>771</v>
      </c>
      <c r="B90" s="175" t="s">
        <v>2041</v>
      </c>
      <c r="C90" s="2774"/>
      <c r="D90" s="2769"/>
      <c r="E90" s="199" t="str">
        <f>IF(H88="-","土地取得成本中已包含该笔费用"," ")</f>
        <v xml:space="preserve"> </v>
      </c>
      <c r="F90" s="2517"/>
      <c r="G90" s="3494" t="s">
        <v>2810</v>
      </c>
      <c r="H90" s="3495"/>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2042</v>
      </c>
      <c r="B91" s="175" t="s">
        <v>2043</v>
      </c>
      <c r="C91" s="2768">
        <f>IF(H91="——",成本法!C33,I91)</f>
        <v>80000</v>
      </c>
      <c r="D91" s="2769"/>
      <c r="E91" s="3409" t="s">
        <v>2044</v>
      </c>
      <c r="F91" s="3410"/>
      <c r="G91" s="341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2045</v>
      </c>
      <c r="B92" s="175" t="s">
        <v>2046</v>
      </c>
      <c r="C92" s="2768">
        <f>ROUND((C87+C90+C91)*D92,0)</f>
        <v>10144</v>
      </c>
      <c r="D92" s="2775">
        <v>0.1</v>
      </c>
      <c r="E92" s="3409" t="s">
        <v>2047</v>
      </c>
      <c r="F92" s="3410"/>
      <c r="G92" s="3410"/>
      <c r="H92" s="3419"/>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2048</v>
      </c>
      <c r="B93" s="175" t="s">
        <v>2030</v>
      </c>
      <c r="C93" s="2768">
        <f ca="1">ROUND(D45*D93/(1+'数据-取费表'!C42),0)</f>
        <v>1354</v>
      </c>
      <c r="D93" s="2769">
        <f>'数据-取费表'!B43</f>
        <v>6.000000000000001E-3</v>
      </c>
      <c r="E93" s="3409" t="s">
        <v>2031</v>
      </c>
      <c r="F93" s="3410"/>
      <c r="G93" s="3410"/>
      <c r="H93" s="3419"/>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2049</v>
      </c>
      <c r="B94" s="175" t="s">
        <v>2050</v>
      </c>
      <c r="C94" s="2774">
        <f>ROUND((C87+C90+C91)*D94,0)</f>
        <v>20289</v>
      </c>
      <c r="D94" s="2769">
        <v>0.2</v>
      </c>
      <c r="E94" s="3420" t="s">
        <v>2051</v>
      </c>
      <c r="F94" s="3421"/>
      <c r="G94" s="3421"/>
      <c r="H94" s="3422"/>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hidden="1">
      <c r="A95" s="178" t="s">
        <v>779</v>
      </c>
      <c r="B95" s="179" t="s">
        <v>2032</v>
      </c>
      <c r="C95" s="2760">
        <f ca="1">ROUND(C85-C86,0)</f>
        <v>92450</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2033</v>
      </c>
      <c r="C96" s="2770">
        <f ca="1">IF(C95&lt;=0,0,C95/C86)</f>
        <v>0.69390667979841836</v>
      </c>
      <c r="D96" s="175" t="s">
        <v>32</v>
      </c>
      <c r="E96" s="25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hidden="1" thickBot="1">
      <c r="A97" s="181" t="s">
        <v>781</v>
      </c>
      <c r="B97" s="182" t="s">
        <v>2034</v>
      </c>
      <c r="C97" s="2771">
        <f ca="1">ROUND(IF(C95&lt;=0,0,IF(C96&gt;=200%,C95*60%-C86*35%,IF(C96&gt;=100%,C95*50%-C86*15%,IF(C96&gt;=50%,C95*40%-C86*5%,IF(C96&lt;50%,C95*30%,0))))),0)</f>
        <v>30318</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hidden="1" customHeight="1" thickBot="1">
      <c r="A99" s="1953" t="s">
        <v>2052</v>
      </c>
      <c r="B99" s="1900"/>
      <c r="C99" s="1900"/>
      <c r="D99" s="1900"/>
      <c r="E99" s="1731"/>
      <c r="F99" s="1731"/>
      <c r="G99" s="1731"/>
      <c r="H99" s="1730"/>
      <c r="I99" s="134"/>
    </row>
    <row r="100" spans="1:35" ht="18.75" hidden="1" customHeight="1">
      <c r="A100" s="3388" t="s">
        <v>2053</v>
      </c>
      <c r="B100" s="3389"/>
      <c r="C100" s="3389"/>
      <c r="D100" s="3411"/>
      <c r="E100" s="3389" t="s">
        <v>2054</v>
      </c>
      <c r="F100" s="3389"/>
      <c r="G100" s="3389"/>
      <c r="H100" s="3411"/>
      <c r="I100" s="134"/>
    </row>
    <row r="101" spans="1:35" ht="18.75" hidden="1" customHeight="1">
      <c r="A101" s="3475" t="s">
        <v>2055</v>
      </c>
      <c r="B101" s="3476"/>
      <c r="C101" s="2777" t="str">
        <f>C4</f>
        <v>典型户型修正 (办公)</v>
      </c>
      <c r="D101" s="2778" t="str">
        <f>D4</f>
        <v>收益法</v>
      </c>
      <c r="E101" s="3489" t="s">
        <v>2056</v>
      </c>
      <c r="F101" s="3443"/>
      <c r="G101" s="1980" t="s">
        <v>2057</v>
      </c>
      <c r="H101" s="2787">
        <f ca="1">H118</f>
        <v>370258</v>
      </c>
      <c r="I101" s="134"/>
    </row>
    <row r="102" spans="1:35" ht="18.75" hidden="1" customHeight="1">
      <c r="A102" s="3445" t="s">
        <v>2058</v>
      </c>
      <c r="B102" s="2776" t="s">
        <v>2057</v>
      </c>
      <c r="C102" s="2777">
        <f ca="1">C19</f>
        <v>360969</v>
      </c>
      <c r="D102" s="2778">
        <f ca="1">D19</f>
        <v>379546</v>
      </c>
      <c r="E102" s="3489"/>
      <c r="F102" s="3443"/>
      <c r="G102" s="1980" t="s">
        <v>2059</v>
      </c>
      <c r="H102" s="2747">
        <f ca="1">I118</f>
        <v>65508</v>
      </c>
      <c r="I102" s="134"/>
    </row>
    <row r="103" spans="1:35" ht="42.75" hidden="1" customHeight="1">
      <c r="A103" s="3445"/>
      <c r="B103" s="2776" t="s">
        <v>2059</v>
      </c>
      <c r="C103" s="2779">
        <f ca="1">C20</f>
        <v>63864</v>
      </c>
      <c r="D103" s="2780">
        <f ca="1">D20</f>
        <v>67151</v>
      </c>
      <c r="E103" s="3483" t="s">
        <v>2060</v>
      </c>
      <c r="F103" s="3484"/>
      <c r="G103" s="1981" t="s">
        <v>2061</v>
      </c>
      <c r="H103" s="2787">
        <f>IF(D36="正常操作",H104+H105+H106,H105+H106)</f>
        <v>0</v>
      </c>
      <c r="I103" s="134"/>
    </row>
    <row r="104" spans="1:35" ht="18.75" hidden="1" customHeight="1">
      <c r="A104" s="3445" t="s">
        <v>2062</v>
      </c>
      <c r="B104" s="2781" t="s">
        <v>2057</v>
      </c>
      <c r="C104" s="2782">
        <f ca="1">H118</f>
        <v>370258</v>
      </c>
      <c r="D104" s="2783"/>
      <c r="E104" s="1827" t="s">
        <v>2063</v>
      </c>
      <c r="F104" s="1819"/>
      <c r="G104" s="1981" t="s">
        <v>2061</v>
      </c>
      <c r="H104" s="2788">
        <f>IF(D36="同一抵押权人同一抵押物续贷",C36&amp;"（续贷，未扣减，详见特别提示）",C36)</f>
        <v>0</v>
      </c>
      <c r="I104" s="134"/>
    </row>
    <row r="105" spans="1:35" ht="18.75" hidden="1" customHeight="1" thickBot="1">
      <c r="A105" s="3446"/>
      <c r="B105" s="2784" t="s">
        <v>2059</v>
      </c>
      <c r="C105" s="2785">
        <f ca="1">I118</f>
        <v>65508</v>
      </c>
      <c r="D105" s="2786"/>
      <c r="E105" s="1827" t="s">
        <v>2064</v>
      </c>
      <c r="F105" s="1819"/>
      <c r="G105" s="1981" t="s">
        <v>2061</v>
      </c>
      <c r="H105" s="2789">
        <f>C37</f>
        <v>0</v>
      </c>
      <c r="I105" s="134"/>
    </row>
    <row r="106" spans="1:35" ht="18.75" hidden="1" customHeight="1">
      <c r="A106" s="1900" t="s">
        <v>2065</v>
      </c>
      <c r="B106" s="1900"/>
      <c r="C106" s="1900"/>
      <c r="D106" s="1900"/>
      <c r="E106" s="1982" t="s">
        <v>2066</v>
      </c>
      <c r="F106" s="1819"/>
      <c r="G106" s="1981" t="s">
        <v>2061</v>
      </c>
      <c r="H106" s="2789">
        <f>C38</f>
        <v>0</v>
      </c>
      <c r="I106" s="134"/>
    </row>
    <row r="107" spans="1:35" ht="18.75" hidden="1" customHeight="1">
      <c r="A107" s="134"/>
      <c r="B107" s="134"/>
      <c r="C107" s="134"/>
      <c r="D107" s="134"/>
      <c r="E107" s="3442" t="str">
        <f>IF(项目基本情况!E8="已注销","——","3.房地产抵押价值")</f>
        <v>3.房地产抵押价值</v>
      </c>
      <c r="F107" s="3443"/>
      <c r="G107" s="1980" t="s">
        <v>2057</v>
      </c>
      <c r="H107" s="2787">
        <f ca="1">IF(E107="——","——",H101-H103)</f>
        <v>370258</v>
      </c>
      <c r="I107" s="134"/>
    </row>
    <row r="108" spans="1:35" ht="18.75" hidden="1" customHeight="1">
      <c r="A108" s="134"/>
      <c r="B108" s="134"/>
      <c r="C108" s="134"/>
      <c r="D108" s="134"/>
      <c r="E108" s="3442"/>
      <c r="F108" s="3443"/>
      <c r="G108" s="1980" t="s">
        <v>2059</v>
      </c>
      <c r="H108" s="2747">
        <f ca="1">ROUND(H107*10000/'数据-汇总表'!E3,0)</f>
        <v>52746</v>
      </c>
      <c r="I108" s="134"/>
    </row>
    <row r="109" spans="1:35" ht="18.75" hidden="1" customHeight="1">
      <c r="A109" s="134"/>
      <c r="B109" s="134"/>
      <c r="C109" s="134"/>
      <c r="D109" s="134"/>
      <c r="E109" s="3442" t="str">
        <f>IF(项目基本情况!E8="已注销及未注销","4.抵押担保权已注销时的房地产抵押价值",IF(项目基本情况!E8="已注销","3.抵押担保权已注销时的房地产抵押价值","——"))</f>
        <v>——</v>
      </c>
      <c r="F109" s="3443"/>
      <c r="G109" s="1980" t="s">
        <v>2057</v>
      </c>
      <c r="H109" s="2790" t="str">
        <f>IF(E109="——","——",H101-H105-H106)</f>
        <v>——</v>
      </c>
      <c r="I109" s="134"/>
    </row>
    <row r="110" spans="1:35" ht="18.75" hidden="1" customHeight="1">
      <c r="A110" s="134"/>
      <c r="B110" s="134"/>
      <c r="C110" s="134"/>
      <c r="D110" s="134"/>
      <c r="E110" s="3442"/>
      <c r="F110" s="3443"/>
      <c r="G110" s="1980" t="s">
        <v>2059</v>
      </c>
      <c r="H110" s="2747" t="str">
        <f>IF(H109="——","——",ROUND(H109*10000/'数据-汇总表'!E3,0))</f>
        <v>——</v>
      </c>
      <c r="I110" s="134"/>
    </row>
    <row r="111" spans="1:35" ht="18.75" hidden="1" customHeight="1">
      <c r="A111" s="134"/>
      <c r="B111" s="134"/>
      <c r="C111" s="134"/>
      <c r="D111" s="134"/>
      <c r="E111" s="3477" t="str">
        <f>IF(项目基本情况!E9="抵押净值",IF(OR(项目基本情况!E8="已注销",项目基本情况!E8="房地产抵押价值"),"4.抵押净值","5.抵押净值"),"——")</f>
        <v>4.抵押净值</v>
      </c>
      <c r="F111" s="3444"/>
      <c r="G111" s="1980" t="s">
        <v>2057</v>
      </c>
      <c r="H111" s="2787">
        <f ca="1">IF(E111="——","——",N59)</f>
        <v>327184</v>
      </c>
      <c r="I111" s="134"/>
    </row>
    <row r="112" spans="1:35" ht="18.75" hidden="1" customHeight="1" thickBot="1">
      <c r="A112" s="134"/>
      <c r="B112" s="134"/>
      <c r="C112" s="134"/>
      <c r="D112" s="134"/>
      <c r="E112" s="3478"/>
      <c r="F112" s="3479"/>
      <c r="G112" s="1983" t="s">
        <v>2059</v>
      </c>
      <c r="H112" s="2791">
        <f ca="1">IF(E111="——","——",N61)</f>
        <v>46610</v>
      </c>
      <c r="I112" s="134"/>
    </row>
    <row r="113" spans="1:27" ht="18.75" hidden="1" customHeight="1">
      <c r="A113" s="134"/>
      <c r="B113" s="134"/>
      <c r="C113" s="134"/>
      <c r="D113" s="134"/>
      <c r="E113" s="3447" t="s">
        <v>2065</v>
      </c>
      <c r="F113" s="3447"/>
      <c r="G113" s="3447"/>
      <c r="H113" s="3447"/>
      <c r="I113" s="134"/>
    </row>
    <row r="114" spans="1:27" ht="3.75" customHeight="1">
      <c r="A114" s="1900"/>
      <c r="B114" s="1900"/>
      <c r="C114" s="1900"/>
      <c r="D114" s="1900"/>
      <c r="E114" s="1962"/>
      <c r="F114" s="1962"/>
      <c r="G114" s="1962"/>
      <c r="H114" s="1962"/>
      <c r="I114" s="1900"/>
    </row>
    <row r="115" spans="1:27" ht="18.75" customHeight="1">
      <c r="A115" s="3460" t="s">
        <v>2067</v>
      </c>
      <c r="B115" s="3461"/>
      <c r="C115" s="3461"/>
      <c r="D115" s="3461"/>
      <c r="E115" s="3461"/>
      <c r="F115" s="3461"/>
      <c r="G115" s="3461"/>
      <c r="H115" s="3461"/>
      <c r="I115" s="3462"/>
    </row>
    <row r="116" spans="1:27" ht="27" customHeight="1">
      <c r="A116" s="3413" t="s">
        <v>2068</v>
      </c>
      <c r="B116" s="3448" t="s">
        <v>2069</v>
      </c>
      <c r="C116" s="3448" t="s">
        <v>2070</v>
      </c>
      <c r="D116" s="3464" t="s">
        <v>2071</v>
      </c>
      <c r="E116" s="3465"/>
      <c r="F116" s="3456" t="s">
        <v>3433</v>
      </c>
      <c r="G116" s="3456"/>
      <c r="H116" s="3413" t="s">
        <v>2073</v>
      </c>
      <c r="I116" s="3413"/>
    </row>
    <row r="117" spans="1:27" ht="18.75" customHeight="1">
      <c r="A117" s="3413"/>
      <c r="B117" s="3449"/>
      <c r="C117" s="3449"/>
      <c r="D117" s="2519" t="s">
        <v>2074</v>
      </c>
      <c r="E117" s="2519" t="s">
        <v>2075</v>
      </c>
      <c r="F117" s="2519" t="s">
        <v>2074</v>
      </c>
      <c r="G117" s="2519" t="s">
        <v>2076</v>
      </c>
      <c r="H117" s="2519" t="s">
        <v>2074</v>
      </c>
      <c r="I117" s="2519" t="s">
        <v>2076</v>
      </c>
    </row>
    <row r="118" spans="1:27" ht="24.75" customHeight="1">
      <c r="A118" s="2792" t="str">
        <f>项目基本情况!S2</f>
        <v>北京市房地产</v>
      </c>
      <c r="B118" s="2519">
        <f>M18</f>
        <v>56521.430000000008</v>
      </c>
      <c r="C118" s="2519">
        <f>M19</f>
        <v>7691.58</v>
      </c>
      <c r="D118" s="2519">
        <f ca="1">ROUND(IF(D32="总价",C34,E118*B118/10000),0)</f>
        <v>291393</v>
      </c>
      <c r="E118" s="2519">
        <f ca="1">ROUND(IF(C33="自定义",IF(D32="楼面单价",C34,D118*10000/B118),I118-G118),0)</f>
        <v>51555</v>
      </c>
      <c r="F118" s="2519">
        <f ca="1">ROUND(IF(D32="总价",C35,G118*B118/10000),0)</f>
        <v>78865</v>
      </c>
      <c r="G118" s="2519">
        <f ca="1">ROUND(IF(D32="楼面单价",C35,F118*10000/B118),0)</f>
        <v>13953</v>
      </c>
      <c r="H118" s="2519">
        <f ca="1">ROUND(IF(D32="总价",C32,I118*B118/10000),0)</f>
        <v>370258</v>
      </c>
      <c r="I118" s="2519">
        <f ca="1">ROUND(IF(D32="楼面单价",C32,H118*10000/B118),0)</f>
        <v>65508</v>
      </c>
    </row>
    <row r="119" spans="1:27" ht="18.75" customHeight="1">
      <c r="A119" s="3413" t="s">
        <v>2077</v>
      </c>
      <c r="B119" s="3413"/>
      <c r="C119" s="3413"/>
      <c r="D119" s="3453" t="str">
        <f ca="1">NUMBERSTRING(INT(D118*10000),2)&amp;"元整"</f>
        <v>贰拾玖亿壹仟叁佰玖拾叁万元整</v>
      </c>
      <c r="E119" s="3455"/>
      <c r="F119" s="3453" t="str">
        <f ca="1">NUMBERSTRING(INT(F118*10000),2)&amp;"元整"</f>
        <v>柒亿捌仟捌佰陆拾伍万元整</v>
      </c>
      <c r="G119" s="3455"/>
      <c r="H119" s="3453" t="str">
        <f ca="1">NUMBERSTRING(INT(H118*10000),2)&amp;"元整"</f>
        <v>叁拾柒亿零贰佰伍拾捌万元整</v>
      </c>
      <c r="I119" s="3455"/>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7" t="s">
        <v>2077</v>
      </c>
      <c r="B121" s="3458"/>
      <c r="C121" s="3459"/>
      <c r="D121" s="3453" t="str">
        <f>IF(D120=0,"零元整",NUMBERSTRING(INT(D120*10000),2)&amp;"元整")</f>
        <v>零元整</v>
      </c>
      <c r="E121" s="3454"/>
      <c r="F121" s="3454"/>
      <c r="G121" s="3454"/>
      <c r="H121" s="3454"/>
      <c r="I121" s="3455"/>
      <c r="AA121" s="734"/>
    </row>
    <row r="122" spans="1:27" ht="18.75" customHeight="1">
      <c r="A122" s="3444" t="str">
        <f>IF(项目基本情况!B9="房地产市场价值","",MID(E107,3,LEN(E107)-2))</f>
        <v>房地产抵押价值</v>
      </c>
      <c r="B122" s="3444"/>
      <c r="C122" s="3444"/>
      <c r="D122" s="3480">
        <f ca="1">H107</f>
        <v>370258</v>
      </c>
      <c r="E122" s="3481"/>
      <c r="F122" s="3481"/>
      <c r="G122" s="3481"/>
      <c r="H122" s="3481"/>
      <c r="I122" s="3482"/>
      <c r="AA122" s="734"/>
    </row>
    <row r="123" spans="1:27" ht="18.75" customHeight="1">
      <c r="A123" s="3413" t="s">
        <v>2077</v>
      </c>
      <c r="B123" s="3413"/>
      <c r="C123" s="3413"/>
      <c r="D123" s="3453" t="str">
        <f ca="1">NUMBERSTRING(INT(D122*10000),2)&amp;"元整"</f>
        <v>叁拾柒亿零贰佰伍拾捌万元整</v>
      </c>
      <c r="E123" s="3454"/>
      <c r="F123" s="3454"/>
      <c r="G123" s="3454"/>
      <c r="H123" s="3454"/>
      <c r="I123" s="3455"/>
      <c r="AA123" s="734"/>
    </row>
    <row r="124" spans="1:27" ht="18.75" customHeight="1">
      <c r="A124" s="3444" t="str">
        <f>IF(项目基本情况!B9="房地产市场价值","",MID(E109,3,LEN(E109)-2))</f>
        <v/>
      </c>
      <c r="B124" s="3444"/>
      <c r="C124" s="3444"/>
      <c r="D124" s="3480" t="str">
        <f>H109</f>
        <v>——</v>
      </c>
      <c r="E124" s="3481"/>
      <c r="F124" s="3481"/>
      <c r="G124" s="3481"/>
      <c r="H124" s="3481"/>
      <c r="I124" s="3482"/>
      <c r="AA124" s="734"/>
    </row>
    <row r="125" spans="1:27" ht="18.75" customHeight="1">
      <c r="A125" s="3413" t="s">
        <v>2077</v>
      </c>
      <c r="B125" s="3413"/>
      <c r="C125" s="3413"/>
      <c r="D125" s="3453" t="e">
        <f>NUMBERSTRING(INT(D124*10000),2)&amp;"元整"</f>
        <v>#VALUE!</v>
      </c>
      <c r="E125" s="3454"/>
      <c r="F125" s="3454"/>
      <c r="G125" s="3454"/>
      <c r="H125" s="3454"/>
      <c r="I125" s="3455"/>
      <c r="AA125" s="734"/>
    </row>
    <row r="126" spans="1:27" ht="18.75" customHeight="1">
      <c r="A126" s="3444" t="str">
        <f>IF(项目基本情况!B9="房地产市场价值","",MID(E111,3,LEN(E111)-2))</f>
        <v>抵押净值</v>
      </c>
      <c r="B126" s="3444"/>
      <c r="C126" s="3444"/>
      <c r="D126" s="3480">
        <f ca="1">H111</f>
        <v>327184</v>
      </c>
      <c r="E126" s="3481"/>
      <c r="F126" s="3481"/>
      <c r="G126" s="3481"/>
      <c r="H126" s="3481"/>
      <c r="I126" s="3482"/>
      <c r="AA126" s="734"/>
    </row>
    <row r="127" spans="1:27" ht="18.75" customHeight="1">
      <c r="A127" s="3413" t="s">
        <v>2077</v>
      </c>
      <c r="B127" s="3413"/>
      <c r="C127" s="3413"/>
      <c r="D127" s="3453" t="str">
        <f ca="1">NUMBERSTRING(INT(D126*10000),2)&amp;"元整"</f>
        <v>叁拾贰亿柒仟壹佰捌拾肆万元整</v>
      </c>
      <c r="E127" s="3454"/>
      <c r="F127" s="3454"/>
      <c r="G127" s="3454"/>
      <c r="H127" s="3454"/>
      <c r="I127" s="3455"/>
      <c r="AA127" s="734"/>
    </row>
    <row r="128" spans="1:27" ht="21.75" customHeight="1">
      <c r="A128" s="3463" t="s">
        <v>2078</v>
      </c>
      <c r="B128" s="3463"/>
      <c r="C128" s="3463"/>
      <c r="D128" s="3463"/>
      <c r="E128" s="3463"/>
      <c r="F128" s="3463"/>
      <c r="G128" s="3463"/>
      <c r="H128" s="3463"/>
      <c r="I128" s="3463"/>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2"/>
      <c r="C1" s="2012" t="s">
        <v>2188</v>
      </c>
      <c r="D1" s="204"/>
      <c r="E1" s="204"/>
      <c r="F1" s="204"/>
      <c r="G1" s="1259">
        <f>MATCH(B1,'数据-取费表'!A6:A16,0)+5</f>
        <v>9</v>
      </c>
      <c r="H1" s="1191" t="str">
        <f>IF(ISERROR(FIND("住宅",B1)),"非住宅","住宅")</f>
        <v>非住宅</v>
      </c>
    </row>
    <row r="2" spans="1:8" s="206" customFormat="1" ht="18" customHeight="1">
      <c r="A2" s="207" t="s">
        <v>2087</v>
      </c>
      <c r="B2" s="208">
        <f ca="1">ROUND(IF(D2="——",C52/10000,C52/10000-E2),0)</f>
        <v>60759</v>
      </c>
      <c r="C2" s="205" t="s">
        <v>2088</v>
      </c>
      <c r="D2" s="2006" t="s">
        <v>70</v>
      </c>
      <c r="E2" s="1301" t="e">
        <f ca="1">SUMIF(INDIRECT("'"&amp;G2&amp;"'"&amp;"!A:A"),"承租人权益价值",INDIRECT("'"&amp;G2&amp;"'"&amp;"!c:c"))</f>
        <v>#REF!</v>
      </c>
      <c r="F2" s="2007" t="s">
        <v>2088</v>
      </c>
      <c r="G2" s="2008"/>
    </row>
    <row r="3" spans="1:8" s="206" customFormat="1" ht="18" customHeight="1" thickBot="1">
      <c r="A3" s="209" t="s">
        <v>2089</v>
      </c>
      <c r="B3" s="210">
        <f ca="1">ROUND(B2*10000/(IF(B1="",'数据-汇总表'!E3,INDIRECT("'数据-取费表'!k"&amp;$G$1))),0)</f>
        <v>8656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14039294</v>
      </c>
      <c r="D5" s="217" t="s">
        <v>2094</v>
      </c>
      <c r="E5" s="218" t="s">
        <v>2095</v>
      </c>
      <c r="F5" s="218" t="s">
        <v>2096</v>
      </c>
      <c r="G5" s="219"/>
    </row>
    <row r="6" spans="1:8" s="220" customFormat="1" ht="13.5" customHeight="1">
      <c r="A6" s="885" t="s">
        <v>2097</v>
      </c>
      <c r="B6" s="221" t="s">
        <v>2098</v>
      </c>
      <c r="C6" s="222"/>
      <c r="D6" s="223"/>
      <c r="E6" s="224"/>
      <c r="F6" s="224"/>
      <c r="G6" s="225"/>
    </row>
    <row r="7" spans="1:8" s="220" customFormat="1" ht="13.5" customHeight="1">
      <c r="A7" s="885" t="s">
        <v>2099</v>
      </c>
      <c r="B7" s="221" t="s">
        <v>2100</v>
      </c>
      <c r="C7" s="226">
        <f>ROUND(C6*F7,0)</f>
        <v>0</v>
      </c>
      <c r="D7" s="226"/>
      <c r="E7" s="224"/>
      <c r="F7" s="227">
        <f>IF(项目基本情况!B8="出让",0,'数据-取费表'!B48+'数据-取费表'!B49)</f>
        <v>3.0499999999999999E-2</v>
      </c>
      <c r="G7" s="225"/>
    </row>
    <row r="8" spans="1:8" s="229" customFormat="1">
      <c r="A8" s="885" t="s">
        <v>2101</v>
      </c>
      <c r="B8" s="221" t="s">
        <v>2102</v>
      </c>
      <c r="C8" s="226">
        <f ca="1">IF(G8="已包含在土地购买价格中",0,C9+C10)</f>
        <v>14039294</v>
      </c>
      <c r="D8" s="228"/>
      <c r="E8" s="226"/>
      <c r="F8" s="227"/>
      <c r="G8" s="2009"/>
    </row>
    <row r="9" spans="1:8" s="220" customFormat="1" ht="13.5" customHeight="1">
      <c r="A9" s="886" t="s">
        <v>800</v>
      </c>
      <c r="B9" s="230" t="s">
        <v>2103</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2105</v>
      </c>
      <c r="C10" s="231">
        <f ca="1">ROUND(D10*E10,0)</f>
        <v>14039294</v>
      </c>
      <c r="D10" s="953">
        <f ca="1">IF(B1="",'数据-汇总表'!E6,IF(INDIRECT("'数据-取费表'!c"&amp;$G$1)="住宅",INDIRECT("'数据-取费表'!s"&amp;$G$1),INDIRECT("'数据-取费表'!k"&amp;$G$1)+INDIRECT("'数据-取费表'!s"&amp;$G$1)))</f>
        <v>70196.47</v>
      </c>
      <c r="E10" s="231">
        <f>'数据-取费表'!B28</f>
        <v>200</v>
      </c>
      <c r="F10" s="227"/>
      <c r="G10" s="232"/>
    </row>
    <row r="11" spans="1:8" s="220" customFormat="1" ht="13.5" hidden="1" customHeight="1">
      <c r="A11" s="233" t="s">
        <v>7</v>
      </c>
      <c r="B11" s="221" t="s">
        <v>2106</v>
      </c>
      <c r="C11" s="217"/>
      <c r="D11" s="955"/>
      <c r="E11" s="224"/>
      <c r="F11" s="224"/>
      <c r="G11" s="225"/>
    </row>
    <row r="12" spans="1:8" s="220" customFormat="1" ht="13.5" hidden="1" customHeight="1">
      <c r="A12" s="233" t="s">
        <v>8</v>
      </c>
      <c r="B12" s="221" t="s">
        <v>2189</v>
      </c>
      <c r="C12" s="217">
        <v>0</v>
      </c>
      <c r="D12" s="955"/>
      <c r="E12" s="234"/>
      <c r="F12" s="227">
        <v>3.0499999999999999E-2</v>
      </c>
      <c r="G12" s="225"/>
    </row>
    <row r="13" spans="1:8" s="220" customFormat="1" ht="13.5" hidden="1" customHeight="1">
      <c r="A13" s="233" t="s">
        <v>9</v>
      </c>
      <c r="B13" s="221" t="s">
        <v>2190</v>
      </c>
      <c r="C13" s="217"/>
      <c r="D13" s="955"/>
      <c r="E13" s="224"/>
      <c r="F13" s="224"/>
      <c r="G13" s="225"/>
    </row>
    <row r="14" spans="1:8" s="220" customFormat="1" ht="13.5" hidden="1" customHeight="1">
      <c r="A14" s="233" t="s">
        <v>10</v>
      </c>
      <c r="B14" s="221" t="s">
        <v>2102</v>
      </c>
      <c r="C14" s="217"/>
      <c r="D14" s="955"/>
      <c r="E14" s="224"/>
      <c r="F14" s="224"/>
      <c r="G14" s="225" t="s">
        <v>2191</v>
      </c>
    </row>
    <row r="15" spans="1:8" s="220" customFormat="1" ht="13.5" hidden="1" customHeight="1">
      <c r="A15" s="233" t="s">
        <v>11</v>
      </c>
      <c r="B15" s="221" t="s">
        <v>2192</v>
      </c>
      <c r="C15" s="226"/>
      <c r="D15" s="955"/>
      <c r="E15" s="224"/>
      <c r="F15" s="224"/>
      <c r="G15" s="225" t="s">
        <v>2193</v>
      </c>
    </row>
    <row r="16" spans="1:8" s="220" customFormat="1" ht="13.5" hidden="1" customHeight="1">
      <c r="A16" s="233" t="s">
        <v>12</v>
      </c>
      <c r="B16" s="221" t="s">
        <v>2102</v>
      </c>
      <c r="C16" s="226"/>
      <c r="D16" s="955"/>
      <c r="E16" s="224"/>
      <c r="F16" s="224"/>
      <c r="G16" s="225"/>
    </row>
    <row r="17" spans="1:7" s="220" customFormat="1" ht="13.5" hidden="1" customHeight="1">
      <c r="A17" s="233" t="s">
        <v>13</v>
      </c>
      <c r="B17" s="221" t="s">
        <v>2194</v>
      </c>
      <c r="C17" s="235"/>
      <c r="D17" s="956"/>
      <c r="E17" s="235"/>
      <c r="F17" s="235"/>
      <c r="G17" s="225" t="s">
        <v>2193</v>
      </c>
    </row>
    <row r="18" spans="1:7" s="220" customFormat="1" ht="13.5" hidden="1" customHeight="1">
      <c r="A18" s="233" t="s">
        <v>14</v>
      </c>
      <c r="B18" s="221" t="s">
        <v>2195</v>
      </c>
      <c r="C18" s="226">
        <v>0</v>
      </c>
      <c r="D18" s="955"/>
      <c r="E18" s="224"/>
      <c r="F18" s="227">
        <v>3.0499999999999999E-2</v>
      </c>
      <c r="G18" s="225" t="s">
        <v>2196</v>
      </c>
    </row>
    <row r="19" spans="1:7" s="229" customFormat="1" ht="13.5" customHeight="1">
      <c r="A19" s="261" t="s">
        <v>2197</v>
      </c>
      <c r="B19" s="216" t="s">
        <v>2198</v>
      </c>
      <c r="C19" s="217">
        <f ca="1">IF(G19="已包含在土地取得成本中","0",ROUND(D19*E19,0))</f>
        <v>14039294</v>
      </c>
      <c r="D19" s="957">
        <f ca="1">D9+D10</f>
        <v>70196.47</v>
      </c>
      <c r="E19" s="217">
        <f>'数据-取费表'!B31</f>
        <v>200</v>
      </c>
      <c r="F19" s="237"/>
      <c r="G19" s="2009"/>
    </row>
    <row r="20" spans="1:7" s="220" customFormat="1" ht="13.5" customHeight="1">
      <c r="A20" s="261" t="s">
        <v>2199</v>
      </c>
      <c r="B20" s="216" t="s">
        <v>2200</v>
      </c>
      <c r="C20" s="238">
        <f ca="1">ROUND((C5+C19)*F20,0)</f>
        <v>842358</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60">
        <f ca="1">ROUND(SUM(C23:C25),0)</f>
        <v>3742196</v>
      </c>
      <c r="D22" s="241">
        <f ca="1">C26</f>
        <v>1.9E-3</v>
      </c>
      <c r="E22" s="242" t="s">
        <v>2204</v>
      </c>
      <c r="F22" s="243">
        <f ca="1">'数据-取费表'!B40</f>
        <v>4.2000000000000003E-2</v>
      </c>
      <c r="G22" s="240" t="str">
        <f>IF('数据-取费表'!B22&lt;=1,"单利计息","复利计息")</f>
        <v>复利计息</v>
      </c>
    </row>
    <row r="23" spans="1:7" s="220" customFormat="1" ht="13.5" customHeight="1">
      <c r="A23" s="887" t="s">
        <v>2097</v>
      </c>
      <c r="B23" s="221" t="s">
        <v>2208</v>
      </c>
      <c r="C23" s="1261">
        <f ca="1">ROUND(IF('数据-取费表'!B22&lt;=1,C5*F22*'数据-取费表'!B22,C5*(POWER((1+F22),'数据-取费表'!B22)-1)),0)</f>
        <v>1844287</v>
      </c>
      <c r="D23" s="244"/>
      <c r="E23" s="244"/>
      <c r="F23" s="245"/>
      <c r="G23" s="246" t="s">
        <v>2209</v>
      </c>
    </row>
    <row r="24" spans="1:7" s="220" customFormat="1" ht="13.5" customHeight="1">
      <c r="A24" s="887" t="s">
        <v>2099</v>
      </c>
      <c r="B24" s="221" t="s">
        <v>2210</v>
      </c>
      <c r="C24" s="1261">
        <f ca="1">ROUND(IF('数据-取费表'!B22&lt;=1,C19*F22*('数据-取费表'!B19/2+'数据-取费表'!B20),C19*(POWER((1+F22),('数据-取费表'!B19/2+'数据-取费表'!B20))-1)),0)</f>
        <v>1844287</v>
      </c>
      <c r="D24" s="244"/>
      <c r="E24" s="244"/>
      <c r="F24" s="245"/>
      <c r="G24" s="246" t="s">
        <v>2211</v>
      </c>
    </row>
    <row r="25" spans="1:7" s="220" customFormat="1" ht="24">
      <c r="A25" s="887" t="s">
        <v>2101</v>
      </c>
      <c r="B25" s="221" t="s">
        <v>2212</v>
      </c>
      <c r="C25" s="1261">
        <f ca="1">ROUND(IF('数据-取费表'!B22&lt;=1,C20*F22*'数据-取费表'!B22/2,C20*(POWER((1+F22),'数据-取费表'!B22/2)-1)),0)</f>
        <v>53622</v>
      </c>
      <c r="D25" s="244"/>
      <c r="E25" s="247"/>
      <c r="F25" s="245"/>
      <c r="G25" s="248" t="s">
        <v>2213</v>
      </c>
    </row>
    <row r="26" spans="1:7" s="220" customFormat="1">
      <c r="A26" s="887" t="s">
        <v>795</v>
      </c>
      <c r="B26" s="221" t="s">
        <v>2136</v>
      </c>
      <c r="C26" s="244">
        <f ca="1">ROUND(IF('数据-取费表'!B22&lt;=1,F21*F22*'数据-取费表'!B22/2,F21*(POWER((1+F22),'数据-取费表'!B22/2)-1)),4)</f>
        <v>1.9E-3</v>
      </c>
      <c r="D26" s="244"/>
      <c r="E26" s="247"/>
      <c r="F26" s="245"/>
      <c r="G26" s="249"/>
    </row>
    <row r="27" spans="1:7" s="220" customFormat="1" ht="24.75">
      <c r="A27" s="261" t="s">
        <v>2137</v>
      </c>
      <c r="B27" s="250" t="s">
        <v>2138</v>
      </c>
      <c r="C27" s="251">
        <f ca="1">C28</f>
        <v>6362608</v>
      </c>
      <c r="D27" s="241">
        <f ca="1">C29</f>
        <v>6.6E-3</v>
      </c>
      <c r="E27" s="242" t="s">
        <v>2139</v>
      </c>
      <c r="F27" s="252">
        <f ca="1">IF(B1="",'数据-取费表'!Q16,INDIRECT("'数据-取费表'!q"&amp;$G$1))</f>
        <v>0.22</v>
      </c>
      <c r="G27" s="253" t="s">
        <v>2140</v>
      </c>
    </row>
    <row r="28" spans="1:7" s="220" customFormat="1" ht="13.5" customHeight="1">
      <c r="A28" s="887" t="s">
        <v>791</v>
      </c>
      <c r="B28" s="254" t="s">
        <v>2141</v>
      </c>
      <c r="C28" s="255">
        <f ca="1">ROUND((C5+C19+C20)*F27,0)</f>
        <v>6362608</v>
      </c>
      <c r="D28" s="241"/>
      <c r="E28" s="242"/>
      <c r="F28" s="252"/>
      <c r="G28" s="253"/>
    </row>
    <row r="29" spans="1:7" s="220" customFormat="1" ht="13.5" customHeight="1">
      <c r="A29" s="887" t="s">
        <v>792</v>
      </c>
      <c r="B29" s="254" t="s">
        <v>2142</v>
      </c>
      <c r="C29" s="244">
        <f ca="1">ROUND(C21*F27,4)</f>
        <v>6.6E-3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42970436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387835497</v>
      </c>
      <c r="D33" s="238"/>
      <c r="E33" s="218"/>
      <c r="F33" s="247"/>
      <c r="G33" s="240"/>
    </row>
    <row r="34" spans="1:7" s="264" customFormat="1" ht="13.5" customHeight="1">
      <c r="A34" s="887" t="s">
        <v>791</v>
      </c>
      <c r="B34" s="221" t="s">
        <v>2150</v>
      </c>
      <c r="C34" s="226">
        <f ca="1">ROUND(IF(B1="",SUMPRODUCT('数据-取费表'!K6:K14,'数据-取费表'!L6:L14),INDIRECT("'数据-取费表'!l"&amp;$G$1)*INDIRECT("'数据-取费表'!k"&amp;$G$1)+'数据-取费表'!L14*INDIRECT("'数据-取费表'!S"&amp;$G$1)),0)</f>
        <v>350982350</v>
      </c>
      <c r="D34" s="223"/>
      <c r="E34" s="226"/>
      <c r="F34" s="263"/>
      <c r="G34" s="225"/>
    </row>
    <row r="35" spans="1:7" ht="13.5" customHeight="1">
      <c r="A35" s="887" t="s">
        <v>796</v>
      </c>
      <c r="B35" s="221" t="s">
        <v>2152</v>
      </c>
      <c r="C35" s="226">
        <f ca="1">ROUND(C34*F35,0)</f>
        <v>17549118</v>
      </c>
      <c r="D35" s="226"/>
      <c r="E35" s="226"/>
      <c r="F35" s="265">
        <f>'数据-取费表'!B33</f>
        <v>0.05</v>
      </c>
      <c r="G35" s="225" t="s">
        <v>2153</v>
      </c>
    </row>
    <row r="36" spans="1:7" ht="24">
      <c r="A36" s="887"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7" t="s">
        <v>798</v>
      </c>
      <c r="B37" s="221" t="s">
        <v>2156</v>
      </c>
      <c r="C37" s="255">
        <f ca="1">ROUND(E37*D37,0)</f>
        <v>14039294</v>
      </c>
      <c r="D37" s="223">
        <f ca="1">D19</f>
        <v>70196.47</v>
      </c>
      <c r="E37" s="255">
        <f>'数据-取费表'!B35</f>
        <v>200</v>
      </c>
      <c r="F37" s="265"/>
      <c r="G37" s="267"/>
    </row>
    <row r="38" spans="1:7" ht="13.5" customHeight="1">
      <c r="A38" s="887" t="s">
        <v>799</v>
      </c>
      <c r="B38" s="221" t="s">
        <v>2158</v>
      </c>
      <c r="C38" s="226">
        <f ca="1">ROUND(C34*F38,0)</f>
        <v>5264735</v>
      </c>
      <c r="D38" s="226"/>
      <c r="E38" s="226"/>
      <c r="F38" s="265">
        <f>'数据-取费表'!B36</f>
        <v>1.4999999999999999E-2</v>
      </c>
      <c r="G38" s="225" t="s">
        <v>2153</v>
      </c>
    </row>
    <row r="39" spans="1:7" s="220" customFormat="1" ht="13.5" customHeight="1">
      <c r="A39" s="261" t="s">
        <v>2159</v>
      </c>
      <c r="B39" s="216" t="s">
        <v>2160</v>
      </c>
      <c r="C39" s="238">
        <f ca="1">ROUND(C33*F20,0)</f>
        <v>11635065</v>
      </c>
      <c r="D39" s="238"/>
      <c r="E39" s="238"/>
      <c r="F39" s="2502">
        <f>F20</f>
        <v>0.03</v>
      </c>
      <c r="G39" s="240" t="s">
        <v>2161</v>
      </c>
    </row>
    <row r="40" spans="1:7" s="220" customFormat="1" ht="13.5" customHeight="1">
      <c r="A40" s="261" t="s">
        <v>2162</v>
      </c>
      <c r="B40" s="216" t="s">
        <v>2163</v>
      </c>
      <c r="C40" s="1465">
        <f>F21</f>
        <v>0.03</v>
      </c>
      <c r="D40" s="242" t="s">
        <v>2164</v>
      </c>
      <c r="E40" s="238"/>
      <c r="F40" s="2502">
        <f>F21</f>
        <v>0.03</v>
      </c>
      <c r="G40" s="240" t="s">
        <v>2165</v>
      </c>
    </row>
    <row r="41" spans="1:7" s="220" customFormat="1" ht="13.5" customHeight="1">
      <c r="A41" s="261" t="s">
        <v>2166</v>
      </c>
      <c r="B41" s="216" t="s">
        <v>2167</v>
      </c>
      <c r="C41" s="238">
        <f ca="1">ROUND(SUM(C42:C43),0)</f>
        <v>25429074</v>
      </c>
      <c r="D41" s="241">
        <f ca="1">C44</f>
        <v>1.9E-3</v>
      </c>
      <c r="E41" s="242" t="s">
        <v>2164</v>
      </c>
      <c r="F41" s="2503">
        <f ca="1">F22</f>
        <v>4.2000000000000003E-2</v>
      </c>
      <c r="G41" s="240" t="str">
        <f>IF('数据-取费表'!B22&lt;=1,"单利计息","复利计息")</f>
        <v>复利计息</v>
      </c>
    </row>
    <row r="42" spans="1:7" ht="13.5" customHeight="1">
      <c r="A42" s="887" t="s">
        <v>791</v>
      </c>
      <c r="B42" s="221" t="s">
        <v>2168</v>
      </c>
      <c r="C42" s="244">
        <f ca="1">ROUND(IF('数据-取费表'!B22&lt;=1,C33*F22*'数据-取费表'!B20/2,C33*(POWER((1+F22),'数据-取费表'!B20/2)-1)),0)</f>
        <v>24688421</v>
      </c>
      <c r="D42" s="244"/>
      <c r="E42" s="244"/>
      <c r="F42" s="245"/>
      <c r="G42" s="3496" t="s">
        <v>2216</v>
      </c>
    </row>
    <row r="43" spans="1:7" ht="13.5" customHeight="1">
      <c r="A43" s="887" t="s">
        <v>792</v>
      </c>
      <c r="B43" s="221" t="s">
        <v>2170</v>
      </c>
      <c r="C43" s="244">
        <f ca="1">ROUND(IF('数据-取费表'!B22&lt;=1,C39*F22*'数据-取费表'!B20/2,C39*(POWER((1+F22),'数据-取费表'!B20/2)-1)),0)</f>
        <v>740653</v>
      </c>
      <c r="D43" s="244"/>
      <c r="E43" s="244"/>
      <c r="F43" s="245"/>
      <c r="G43" s="3497"/>
    </row>
    <row r="44" spans="1:7" ht="13.5" customHeight="1">
      <c r="A44" s="887" t="s">
        <v>793</v>
      </c>
      <c r="B44" s="221" t="s">
        <v>2171</v>
      </c>
      <c r="C44" s="244">
        <f ca="1">ROUND(IF('数据-取费表'!B22&lt;=1,C40*F22*'数据-取费表'!B20/2,C40*(POWER((1+F22),'数据-取费表'!B20/2)-1)),4)</f>
        <v>1.9E-3</v>
      </c>
      <c r="D44" s="244"/>
      <c r="E44" s="244"/>
      <c r="F44" s="245"/>
      <c r="G44" s="3498"/>
    </row>
    <row r="45" spans="1:7" s="220" customFormat="1" ht="13.5" customHeight="1">
      <c r="A45" s="261" t="s">
        <v>2172</v>
      </c>
      <c r="B45" s="250" t="s">
        <v>2138</v>
      </c>
      <c r="C45" s="251">
        <f ca="1">C46</f>
        <v>87883524</v>
      </c>
      <c r="D45" s="241">
        <f ca="1">C47</f>
        <v>6.6E-3</v>
      </c>
      <c r="E45" s="242" t="s">
        <v>2164</v>
      </c>
      <c r="F45" s="2504">
        <f ca="1">F27</f>
        <v>0.22</v>
      </c>
      <c r="G45" s="253" t="s">
        <v>2173</v>
      </c>
    </row>
    <row r="46" spans="1:7" s="220" customFormat="1" ht="13.5" customHeight="1">
      <c r="A46" s="887" t="s">
        <v>791</v>
      </c>
      <c r="B46" s="254" t="s">
        <v>2174</v>
      </c>
      <c r="C46" s="255">
        <f ca="1">ROUND((C33+C39)*F27,0)</f>
        <v>87883524</v>
      </c>
      <c r="D46" s="269"/>
      <c r="E46" s="242"/>
      <c r="F46" s="252"/>
      <c r="G46" s="253"/>
    </row>
    <row r="47" spans="1:7" s="220" customFormat="1" ht="13.5" customHeight="1">
      <c r="A47" s="887" t="s">
        <v>792</v>
      </c>
      <c r="B47" s="254" t="s">
        <v>2175</v>
      </c>
      <c r="C47" s="244">
        <f ca="1">ROUND(C40*F27,4)</f>
        <v>6.6E-3</v>
      </c>
      <c r="D47" s="269"/>
      <c r="E47" s="242"/>
      <c r="F47" s="252"/>
      <c r="G47" s="253"/>
    </row>
    <row r="48" spans="1:7" s="220" customFormat="1" ht="13.5" customHeight="1">
      <c r="A48" s="261" t="s">
        <v>2137</v>
      </c>
      <c r="B48" s="216" t="s">
        <v>2176</v>
      </c>
      <c r="C48" s="268">
        <f>ROUND(F30/(1+'数据-取费表'!C42),4)</f>
        <v>5.33E-2</v>
      </c>
      <c r="D48" s="242" t="s">
        <v>2164</v>
      </c>
      <c r="E48" s="238"/>
      <c r="F48" s="2503">
        <f>F30</f>
        <v>5.6000000000000001E-2</v>
      </c>
      <c r="G48" s="240" t="s">
        <v>2177</v>
      </c>
    </row>
    <row r="49" spans="1:7" ht="16.5" customHeight="1">
      <c r="A49" s="261" t="s">
        <v>2143</v>
      </c>
      <c r="B49" s="216" t="s">
        <v>2217</v>
      </c>
      <c r="C49" s="238">
        <f ca="1">ROUND((C33+C39+C41+C45)/(1-C40-D41-D45-C48),0)</f>
        <v>564614799</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564614799</v>
      </c>
      <c r="D51" s="238"/>
      <c r="E51" s="238"/>
      <c r="F51" s="270"/>
      <c r="G51" s="240" t="s">
        <v>2185</v>
      </c>
    </row>
    <row r="52" spans="1:7" s="214" customFormat="1" ht="16.5" thickBot="1">
      <c r="A52" s="271" t="s">
        <v>2186</v>
      </c>
      <c r="B52" s="272"/>
      <c r="C52" s="273">
        <f ca="1">C31+C51</f>
        <v>607585235</v>
      </c>
      <c r="D52" s="272"/>
      <c r="E52" s="272"/>
      <c r="F52" s="272"/>
      <c r="G52" s="274"/>
    </row>
    <row r="55" spans="1:7" ht="15">
      <c r="B55" s="276" t="s">
        <v>2187</v>
      </c>
      <c r="C55" s="277"/>
    </row>
    <row r="56" spans="1:7">
      <c r="B56" s="279" t="s">
        <v>1418</v>
      </c>
      <c r="C56" s="281">
        <f ca="1">1-C57</f>
        <v>7.0999999999999952E-2</v>
      </c>
    </row>
    <row r="57" spans="1:7">
      <c r="B57" s="279" t="s">
        <v>1419</v>
      </c>
      <c r="C57" s="280">
        <f ca="1">ROUND(C51/C52,3)</f>
        <v>0.92900000000000005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2219</v>
      </c>
      <c r="B1" s="1323"/>
      <c r="C1" s="1324"/>
      <c r="D1" s="1322"/>
      <c r="E1" s="3003"/>
      <c r="F1" s="3003"/>
      <c r="G1" s="2866"/>
      <c r="H1" s="3003"/>
      <c r="I1" s="3003"/>
      <c r="J1" s="3003"/>
      <c r="K1" s="3004">
        <f>MATCH(C1,'数据-取费表'!A6:A16,0)+5</f>
        <v>9</v>
      </c>
    </row>
    <row r="2" spans="1:33" ht="18" customHeight="1">
      <c r="A2" s="207" t="s">
        <v>2087</v>
      </c>
      <c r="B2" s="210">
        <f ca="1">C32</f>
        <v>-1714</v>
      </c>
      <c r="C2" s="282" t="s">
        <v>2220</v>
      </c>
      <c r="D2" s="282"/>
      <c r="E2" s="3003"/>
      <c r="F2" s="3003"/>
      <c r="G2" s="3003"/>
      <c r="H2" s="3003"/>
      <c r="I2" s="3003"/>
      <c r="J2" s="3003"/>
      <c r="K2" s="3003"/>
    </row>
    <row r="3" spans="1:33" ht="18" customHeight="1" thickBot="1">
      <c r="A3" s="209" t="s">
        <v>2089</v>
      </c>
      <c r="B3" s="210">
        <f ca="1">ROUND(B2*10000/IF(C1="",'数据-汇总表'!E3,INDIRECT("'数据-取费表'!K"&amp;$K$1)),0)</f>
        <v>-244</v>
      </c>
      <c r="C3" s="282" t="s">
        <v>2221</v>
      </c>
      <c r="D3" s="282"/>
      <c r="E3" s="3003"/>
      <c r="F3" s="3003"/>
      <c r="G3" s="3003"/>
      <c r="H3" s="3003"/>
      <c r="I3" s="3003"/>
      <c r="J3" s="3003"/>
      <c r="K3" s="3003"/>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3" t="s">
        <v>2225</v>
      </c>
      <c r="D5" s="2013" t="s">
        <v>2226</v>
      </c>
      <c r="E5" s="2013" t="s">
        <v>2227</v>
      </c>
      <c r="F5" s="2013"/>
      <c r="G5" s="2013"/>
      <c r="H5" s="2013"/>
      <c r="I5" s="2013"/>
      <c r="J5" s="2013"/>
      <c r="K5" s="201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10390.25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4" t="s">
        <v>2231</v>
      </c>
      <c r="B8" s="169"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5"/>
      <c r="F12" s="912">
        <f>'数据-取费表'!B33</f>
        <v>0.05</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5"/>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70196.47</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6"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70196.47</v>
      </c>
      <c r="E17" s="24">
        <f>'数据-取费表'!B32</f>
        <v>0</v>
      </c>
      <c r="F17" s="914"/>
      <c r="G17" s="136" t="s">
        <v>2251</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1404</v>
      </c>
      <c r="D18" s="954"/>
      <c r="E18" s="24"/>
      <c r="F18" s="912"/>
      <c r="G18" s="2015"/>
      <c r="H18" s="1319"/>
      <c r="I18" s="2016"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2255</v>
      </c>
      <c r="C20" s="24">
        <f ca="1">ROUND(D20*E20/10000,0)</f>
        <v>1404</v>
      </c>
      <c r="D20" s="954">
        <f ca="1">IF(C1="",'数据-汇总表'!E6,IF(INDIRECT("'数据-取费表'!c"&amp;$K$1)="住宅",INDIRECT("'数据-取费表'!s"&amp;$K$1),INDIRECT("'数据-取费表'!k"&amp;$K$1)+INDIRECT("'数据-取费表'!s"&amp;$K$1)))</f>
        <v>70196.47</v>
      </c>
      <c r="E20" s="24">
        <f>'数据-取费表'!B28</f>
        <v>200</v>
      </c>
      <c r="F20" s="912"/>
      <c r="G20" s="15"/>
      <c r="H20" s="917"/>
      <c r="I20" s="917"/>
      <c r="J20" s="917"/>
      <c r="K20" s="918"/>
    </row>
    <row r="21" spans="1:33" s="911" customFormat="1" ht="13.5" customHeight="1">
      <c r="A21" s="897" t="s">
        <v>802</v>
      </c>
      <c r="B21" s="921" t="s">
        <v>2256</v>
      </c>
      <c r="C21" s="922">
        <f ca="1">C16+C17+C18</f>
        <v>1404</v>
      </c>
      <c r="D21" s="923"/>
      <c r="E21" s="287"/>
      <c r="F21" s="287"/>
      <c r="G21" s="136" t="s">
        <v>2257</v>
      </c>
      <c r="H21" s="915"/>
      <c r="I21" s="915"/>
      <c r="J21" s="915"/>
      <c r="K21" s="916"/>
    </row>
    <row r="22" spans="1:33" s="911" customFormat="1" ht="13.5" customHeight="1">
      <c r="A22" s="897" t="s">
        <v>2229</v>
      </c>
      <c r="B22" s="921" t="s">
        <v>2258</v>
      </c>
      <c r="C22" s="922">
        <f ca="1">ROUND(C21*F22,0)</f>
        <v>42</v>
      </c>
      <c r="D22" s="287"/>
      <c r="E22" s="287"/>
      <c r="F22" s="924">
        <f>'数据-取费表'!B37</f>
        <v>0.03</v>
      </c>
      <c r="G22" s="8" t="s">
        <v>2259</v>
      </c>
      <c r="H22" s="904"/>
      <c r="I22" s="904"/>
      <c r="J22" s="904"/>
      <c r="K22" s="905"/>
    </row>
    <row r="23" spans="1:33" s="911" customFormat="1" ht="13.5" customHeight="1">
      <c r="A23" s="897" t="s">
        <v>2231</v>
      </c>
      <c r="B23" s="921" t="s">
        <v>2260</v>
      </c>
      <c r="C23" s="922">
        <f ca="1">ROUND(C4*F23*F11,0)</f>
        <v>0</v>
      </c>
      <c r="D23" s="287"/>
      <c r="E23" s="287"/>
      <c r="F23" s="924">
        <f>'数据-取费表'!B38</f>
        <v>0.03</v>
      </c>
      <c r="G23" s="8" t="s">
        <v>2261</v>
      </c>
      <c r="H23" s="904"/>
      <c r="I23" s="904"/>
      <c r="J23" s="904"/>
      <c r="K23" s="905"/>
    </row>
    <row r="24" spans="1:33" s="911" customFormat="1" ht="13.5" customHeight="1">
      <c r="A24" s="897" t="s">
        <v>2262</v>
      </c>
      <c r="B24" s="921" t="s">
        <v>2263</v>
      </c>
      <c r="C24" s="286">
        <f>ROUND(F24/(1+'数据-取费表'!C42),4)</f>
        <v>2.9000000000000001E-2</v>
      </c>
      <c r="D24" s="287" t="s">
        <v>15</v>
      </c>
      <c r="E24" s="287"/>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2267</v>
      </c>
      <c r="C26" s="1238">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2268</v>
      </c>
      <c r="C27" s="1239">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5"/>
      <c r="I27" s="915"/>
      <c r="J27" s="915"/>
      <c r="K27" s="916"/>
    </row>
    <row r="28" spans="1:33" s="295" customFormat="1" ht="13.5" customHeight="1">
      <c r="A28" s="897" t="s">
        <v>2269</v>
      </c>
      <c r="B28" s="2018" t="s">
        <v>2270</v>
      </c>
      <c r="C28" s="293">
        <f ca="1">C30</f>
        <v>318</v>
      </c>
      <c r="D28" s="286">
        <f ca="1">C29</f>
        <v>0</v>
      </c>
      <c r="E28" s="288" t="s">
        <v>15</v>
      </c>
      <c r="F28" s="294">
        <f ca="1">IF(C1="",'数据-取费表'!Q16,INDIRECT("'数据-取费表'!q"&amp;$K$1))</f>
        <v>0.22</v>
      </c>
      <c r="G28" s="925"/>
      <c r="H28" s="926"/>
      <c r="I28" s="926"/>
      <c r="J28" s="926"/>
      <c r="K28" s="927"/>
    </row>
    <row r="29" spans="1:33" s="297" customFormat="1" ht="13.5" customHeight="1">
      <c r="A29" s="907" t="s">
        <v>803</v>
      </c>
      <c r="B29" s="930" t="s">
        <v>2271</v>
      </c>
      <c r="C29" s="290">
        <f ca="1">ROUND((1+C24)*F28*'数据-取费表'!B24/'数据-取费表'!B20,4)</f>
        <v>0</v>
      </c>
      <c r="D29" s="290"/>
      <c r="E29" s="291"/>
      <c r="F29" s="296"/>
      <c r="G29" s="136" t="s">
        <v>2272</v>
      </c>
      <c r="H29" s="915"/>
      <c r="I29" s="915"/>
      <c r="J29" s="915"/>
      <c r="K29" s="916"/>
    </row>
    <row r="30" spans="1:33" s="297" customFormat="1" ht="13.5" customHeight="1">
      <c r="A30" s="907" t="s">
        <v>804</v>
      </c>
      <c r="B30" s="930" t="s">
        <v>2273</v>
      </c>
      <c r="C30" s="298">
        <f ca="1">ROUND((C21+C22+C23)*F28,0)</f>
        <v>318</v>
      </c>
      <c r="D30" s="290"/>
      <c r="E30" s="291"/>
      <c r="F30" s="296"/>
      <c r="G30" s="136"/>
      <c r="H30" s="915"/>
      <c r="I30" s="915"/>
      <c r="J30" s="915"/>
      <c r="K30" s="916"/>
    </row>
    <row r="31" spans="1:33" s="911" customFormat="1" ht="13.5" customHeight="1" thickBot="1">
      <c r="A31" s="2019" t="s">
        <v>2274</v>
      </c>
      <c r="B31" s="941" t="s">
        <v>2275</v>
      </c>
      <c r="C31" s="942">
        <f>ROUND(C4*F31/(1+'数据-取费表'!C42),0)</f>
        <v>0</v>
      </c>
      <c r="D31" s="943"/>
      <c r="E31" s="944"/>
      <c r="F31" s="945">
        <f>'数据-取费表'!B41</f>
        <v>5.6000000000000001E-2</v>
      </c>
      <c r="G31" s="946" t="s">
        <v>2276</v>
      </c>
      <c r="H31" s="947"/>
      <c r="I31" s="947"/>
      <c r="J31" s="947"/>
      <c r="K31" s="948"/>
    </row>
    <row r="32" spans="1:33" s="906" customFormat="1" ht="13.5" customHeight="1" thickBot="1">
      <c r="A32" s="936" t="s">
        <v>2277</v>
      </c>
      <c r="B32" s="937"/>
      <c r="C32" s="938">
        <f ca="1">ROUND((C4-C21-C22-C23-C25-C28-C31)/(1+C24+D25+D28),0)</f>
        <v>-1714</v>
      </c>
      <c r="D32" s="937"/>
      <c r="E32" s="937"/>
      <c r="F32" s="937"/>
      <c r="G32" s="939" t="s">
        <v>2278</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5" zoomScale="90" zoomScaleNormal="70" zoomScaleSheetLayoutView="90" workbookViewId="0">
      <selection activeCell="E48" sqref="E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2288</v>
      </c>
      <c r="B1" s="2110" t="s">
        <v>2446</v>
      </c>
      <c r="C1" s="1362" t="s">
        <v>2290</v>
      </c>
      <c r="D1" s="1363" t="s">
        <v>3374</v>
      </c>
      <c r="E1" s="1372"/>
      <c r="F1" s="2032" t="s">
        <v>3336</v>
      </c>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f>IF(C2="——",ROUND(C50*D3/10000,0),ROUND(C50*D3/10000,0)-D2)</f>
        <v>0</v>
      </c>
      <c r="C2" s="2034" t="s">
        <v>70</v>
      </c>
      <c r="D2" s="1246" t="e">
        <f ca="1">SUMIF(INDIRECT("'"&amp;F2&amp;"'"&amp;"!A:A"),"承租人权益价值",INDIRECT("'"&amp;F2&amp;"'"&amp;"!c:c"))</f>
        <v>#REF!</v>
      </c>
      <c r="E2" s="2035" t="s">
        <v>2088</v>
      </c>
      <c r="F2" s="2036"/>
      <c r="G2" s="1038"/>
      <c r="H2" s="1038"/>
      <c r="I2" s="1038"/>
      <c r="J2" s="1038"/>
      <c r="K2" s="1038"/>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61854</v>
      </c>
      <c r="C3" s="360" t="s">
        <v>2404</v>
      </c>
      <c r="D3" s="359">
        <f>IF(D1="",'数据-汇总表'!E3,SUMIF('数据-汇总表'!$C19:$C33,D1,'数据-汇总表'!$E19:$E33))</f>
        <v>0</v>
      </c>
      <c r="E3" s="2107"/>
      <c r="F3" s="1039"/>
      <c r="G3" s="1038"/>
      <c r="H3" s="1038"/>
      <c r="I3" s="1038"/>
      <c r="J3" s="1038"/>
      <c r="K3" s="1040"/>
      <c r="L3" s="2929"/>
      <c r="M3" s="2930"/>
      <c r="N3" s="2930"/>
      <c r="O3" s="2930"/>
      <c r="P3" s="708"/>
      <c r="Q3" s="708"/>
      <c r="R3" s="708"/>
      <c r="S3" s="708"/>
      <c r="T3" s="708"/>
      <c r="U3" s="708"/>
      <c r="V3" s="708"/>
      <c r="W3" s="708"/>
      <c r="X3" s="708"/>
      <c r="Y3" s="708"/>
      <c r="Z3" s="708"/>
      <c r="AA3" s="708"/>
      <c r="AB3" s="708"/>
      <c r="AC3" s="709"/>
    </row>
    <row r="4" spans="1:29" ht="15">
      <c r="A4" s="361" t="s">
        <v>2405</v>
      </c>
      <c r="B4" s="362"/>
      <c r="C4" s="3517" t="s">
        <v>2406</v>
      </c>
      <c r="D4" s="3518"/>
      <c r="E4" s="3519" t="s">
        <v>2407</v>
      </c>
      <c r="F4" s="3520"/>
      <c r="G4" s="3517" t="s">
        <v>2408</v>
      </c>
      <c r="H4" s="3518"/>
      <c r="I4" s="3517" t="s">
        <v>2409</v>
      </c>
      <c r="J4" s="3518"/>
      <c r="K4" s="567" t="s">
        <v>2410</v>
      </c>
      <c r="L4" s="2910"/>
      <c r="M4" s="2911"/>
      <c r="N4" s="2911"/>
      <c r="O4" s="2911"/>
      <c r="P4" s="3521" t="s">
        <v>2411</v>
      </c>
      <c r="Q4" s="3522"/>
      <c r="R4" s="3527" t="s">
        <v>2407</v>
      </c>
      <c r="S4" s="3528"/>
      <c r="T4" s="3527" t="s">
        <v>2408</v>
      </c>
      <c r="U4" s="3528"/>
      <c r="V4" s="3533" t="s">
        <v>2409</v>
      </c>
      <c r="W4" s="3533"/>
      <c r="X4" s="2111"/>
      <c r="Y4" s="3527" t="s">
        <v>2411</v>
      </c>
      <c r="Z4" s="3528"/>
      <c r="AA4" s="3546" t="s">
        <v>2407</v>
      </c>
      <c r="AB4" s="3546" t="s">
        <v>2408</v>
      </c>
      <c r="AC4" s="3514" t="s">
        <v>2409</v>
      </c>
    </row>
    <row r="5" spans="1:29" ht="15">
      <c r="A5" s="364"/>
      <c r="B5" s="365"/>
      <c r="C5" s="3543" t="s">
        <v>2302</v>
      </c>
      <c r="D5" s="3538"/>
      <c r="E5" s="3549" t="s">
        <v>3420</v>
      </c>
      <c r="F5" s="3550"/>
      <c r="G5" s="3537" t="s">
        <v>3342</v>
      </c>
      <c r="H5" s="3538"/>
      <c r="I5" s="3537" t="s">
        <v>3343</v>
      </c>
      <c r="J5" s="3538"/>
      <c r="K5" s="567"/>
      <c r="L5" s="2910"/>
      <c r="M5" s="2911"/>
      <c r="N5" s="2911"/>
      <c r="O5" s="2911"/>
      <c r="P5" s="3523"/>
      <c r="Q5" s="3524"/>
      <c r="R5" s="3529"/>
      <c r="S5" s="3530"/>
      <c r="T5" s="3529"/>
      <c r="U5" s="3530"/>
      <c r="V5" s="3534"/>
      <c r="W5" s="3534"/>
      <c r="X5" s="1507"/>
      <c r="Y5" s="3529"/>
      <c r="Z5" s="3530"/>
      <c r="AA5" s="3547"/>
      <c r="AB5" s="3547"/>
      <c r="AC5" s="3515"/>
    </row>
    <row r="6" spans="1:29" ht="15.75" thickBot="1">
      <c r="A6" s="366"/>
      <c r="B6" s="367"/>
      <c r="C6" s="3535" t="s">
        <v>2306</v>
      </c>
      <c r="D6" s="3536"/>
      <c r="E6" s="3544" t="s">
        <v>2306</v>
      </c>
      <c r="F6" s="3545"/>
      <c r="G6" s="3535" t="s">
        <v>2306</v>
      </c>
      <c r="H6" s="3536"/>
      <c r="I6" s="3535" t="s">
        <v>2306</v>
      </c>
      <c r="J6" s="3536"/>
      <c r="K6" s="567" t="s">
        <v>2307</v>
      </c>
      <c r="L6" s="2910"/>
      <c r="M6" s="2911"/>
      <c r="N6" s="2911"/>
      <c r="O6" s="2911"/>
      <c r="P6" s="3525"/>
      <c r="Q6" s="3526"/>
      <c r="R6" s="3529"/>
      <c r="S6" s="3530"/>
      <c r="T6" s="3531"/>
      <c r="U6" s="3532"/>
      <c r="V6" s="3534"/>
      <c r="W6" s="3534"/>
      <c r="X6" s="1507"/>
      <c r="Y6" s="3531"/>
      <c r="Z6" s="3532"/>
      <c r="AA6" s="3548"/>
      <c r="AB6" s="3548"/>
      <c r="AC6" s="3516"/>
    </row>
    <row r="7" spans="1:29" s="113" customFormat="1" ht="15.75" thickBot="1">
      <c r="A7" s="368" t="s">
        <v>2308</v>
      </c>
      <c r="B7" s="369"/>
      <c r="C7" s="370">
        <f>'数据-取费表'!B2</f>
        <v>44665</v>
      </c>
      <c r="D7" s="371">
        <v>100</v>
      </c>
      <c r="E7" s="372">
        <f>C7</f>
        <v>44665</v>
      </c>
      <c r="F7" s="373">
        <f>SUMIF(59:59,YEAR(E7)&amp;"-"&amp;MONTH(E7),60:60)</f>
        <v>100</v>
      </c>
      <c r="G7" s="372">
        <f>C7</f>
        <v>44665</v>
      </c>
      <c r="H7" s="371">
        <f>SUMIF(59:59,YEAR(G7)&amp;"-"&amp;MONTH(G7),60:60)</f>
        <v>100</v>
      </c>
      <c r="I7" s="372">
        <f>C7</f>
        <v>44665</v>
      </c>
      <c r="J7" s="371">
        <f>SUMIF(59:59,YEAR(I7)&amp;"-"&amp;MONTH(I7),60:60)</f>
        <v>100</v>
      </c>
      <c r="K7" s="568"/>
      <c r="L7" s="2912"/>
      <c r="M7" s="2913"/>
      <c r="N7" s="2913"/>
      <c r="O7" s="2913"/>
      <c r="P7" s="3539" t="s">
        <v>2309</v>
      </c>
      <c r="Q7" s="3542"/>
      <c r="R7" s="710" t="s">
        <v>17</v>
      </c>
      <c r="S7" s="711">
        <f t="shared" ref="S7:S15" si="0">F7</f>
        <v>100</v>
      </c>
      <c r="T7" s="710" t="s">
        <v>17</v>
      </c>
      <c r="U7" s="711">
        <f t="shared" ref="U7:U15" si="1">H7</f>
        <v>100</v>
      </c>
      <c r="V7" s="710" t="s">
        <v>17</v>
      </c>
      <c r="W7" s="711">
        <f t="shared" ref="W7:W15" si="2">J7</f>
        <v>100</v>
      </c>
      <c r="X7" s="712"/>
      <c r="Y7" s="3541" t="s">
        <v>2309</v>
      </c>
      <c r="Z7" s="3540"/>
      <c r="AA7" s="713">
        <f>D7/F7</f>
        <v>1</v>
      </c>
      <c r="AB7" s="713">
        <f>D7/H7</f>
        <v>1</v>
      </c>
      <c r="AC7" s="2112">
        <f>D7/J7</f>
        <v>1</v>
      </c>
    </row>
    <row r="8" spans="1:29" s="113" customFormat="1" ht="15.75" thickBot="1">
      <c r="A8" s="368" t="s">
        <v>2310</v>
      </c>
      <c r="B8" s="369"/>
      <c r="C8" s="374" t="s">
        <v>2412</v>
      </c>
      <c r="D8" s="371">
        <v>100</v>
      </c>
      <c r="E8" s="374" t="s">
        <v>3222</v>
      </c>
      <c r="F8" s="373">
        <f>SUMIF(62:62,E8,63:63)-SUMIF(62:62,C8,63:63)+100</f>
        <v>100</v>
      </c>
      <c r="G8" s="374" t="s">
        <v>3222</v>
      </c>
      <c r="H8" s="371">
        <f>SUMIF(62:62,G8,63:63)-SUMIF(62:62,C8,63:63)+100</f>
        <v>100</v>
      </c>
      <c r="I8" s="374" t="s">
        <v>3222</v>
      </c>
      <c r="J8" s="371">
        <f>SUMIF(62:62,I8,63:63)-SUMIF(62:62,C8,63:63)+100</f>
        <v>100</v>
      </c>
      <c r="K8" s="568"/>
      <c r="L8" s="2912"/>
      <c r="M8" s="2913"/>
      <c r="N8" s="2913"/>
      <c r="O8" s="2913"/>
      <c r="P8" s="3539" t="s">
        <v>2312</v>
      </c>
      <c r="Q8" s="3540"/>
      <c r="R8" s="710" t="s">
        <v>17</v>
      </c>
      <c r="S8" s="711">
        <f t="shared" si="0"/>
        <v>100</v>
      </c>
      <c r="T8" s="710" t="s">
        <v>17</v>
      </c>
      <c r="U8" s="711">
        <f t="shared" si="1"/>
        <v>100</v>
      </c>
      <c r="V8" s="710" t="s">
        <v>17</v>
      </c>
      <c r="W8" s="711">
        <f t="shared" si="2"/>
        <v>100</v>
      </c>
      <c r="X8" s="712"/>
      <c r="Y8" s="3541" t="s">
        <v>2312</v>
      </c>
      <c r="Z8" s="3540"/>
      <c r="AA8" s="713">
        <f t="shared" ref="AA8:AA47" si="3">D8/F8</f>
        <v>1</v>
      </c>
      <c r="AB8" s="713">
        <f t="shared" ref="AB8:AB47" si="4">D8/H8</f>
        <v>1</v>
      </c>
      <c r="AC8" s="2112">
        <f t="shared" ref="AC8:AC47" si="5">D8/J8</f>
        <v>1</v>
      </c>
    </row>
    <row r="9" spans="1:29" s="113" customFormat="1">
      <c r="A9" s="375" t="s">
        <v>2313</v>
      </c>
      <c r="B9" s="67" t="s">
        <v>2314</v>
      </c>
      <c r="C9" s="3272" t="s">
        <v>3341</v>
      </c>
      <c r="D9" s="131">
        <v>100</v>
      </c>
      <c r="E9" s="379" t="s">
        <v>27</v>
      </c>
      <c r="F9" s="131">
        <f>SUMIF(64:64,E9,65:65)-SUMIF(64:64,C9,65:65)+100</f>
        <v>100</v>
      </c>
      <c r="G9" s="377" t="s">
        <v>27</v>
      </c>
      <c r="H9" s="131">
        <f>SUMIF(64:64,G9,65:65)-SUMIF(64:64,C9,65:65)+100</f>
        <v>100</v>
      </c>
      <c r="I9" s="377" t="s">
        <v>27</v>
      </c>
      <c r="J9" s="131">
        <f>SUMIF(64:64,I9,65:65)-SUMIF(64:64,C9,65:65)+100</f>
        <v>100</v>
      </c>
      <c r="K9" s="568"/>
      <c r="L9" s="2912"/>
      <c r="M9" s="2913"/>
      <c r="N9" s="2913"/>
      <c r="O9" s="2913"/>
      <c r="P9" s="3499" t="s">
        <v>2315</v>
      </c>
      <c r="Q9" s="1495"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2112">
        <f t="shared" si="5"/>
        <v>1</v>
      </c>
    </row>
    <row r="10" spans="1:29" s="386" customFormat="1" ht="27">
      <c r="A10" s="380"/>
      <c r="B10" s="381" t="s">
        <v>2317</v>
      </c>
      <c r="C10" s="382" t="s">
        <v>3344</v>
      </c>
      <c r="D10" s="132">
        <v>100</v>
      </c>
      <c r="E10" s="382" t="s">
        <v>3344</v>
      </c>
      <c r="F10" s="132">
        <f>SUMIF(66:66,E10,67:67)-SUMIF(66:66,C10,67:67)+100</f>
        <v>100</v>
      </c>
      <c r="G10" s="383" t="s">
        <v>3344</v>
      </c>
      <c r="H10" s="132">
        <f>SUMIF(66:66,G10,67:67)-SUMIF(66:66,C10,67:67)+100</f>
        <v>100</v>
      </c>
      <c r="I10" s="382" t="s">
        <v>3344</v>
      </c>
      <c r="J10" s="132">
        <f>SUMIF(66:66,I10,67:67)-SUMIF(66:66,C10,67:67)+100</f>
        <v>100</v>
      </c>
      <c r="K10" s="569">
        <v>2</v>
      </c>
      <c r="L10" s="2914"/>
      <c r="M10" s="2915"/>
      <c r="N10" s="2915"/>
      <c r="O10" s="2915"/>
      <c r="P10" s="3499"/>
      <c r="Q10" s="1495"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2112">
        <f t="shared" si="5"/>
        <v>1</v>
      </c>
    </row>
    <row r="11" spans="1:29" ht="15">
      <c r="A11" s="387"/>
      <c r="B11" s="381" t="s">
        <v>2318</v>
      </c>
      <c r="C11" s="388">
        <v>5</v>
      </c>
      <c r="D11" s="132">
        <v>100</v>
      </c>
      <c r="E11" s="388">
        <v>5.0999999999999996</v>
      </c>
      <c r="F11" s="132">
        <f>LOOKUP(E11,69:69,70:70)-LOOKUP(C11,69:69,70:70)+100</f>
        <v>100</v>
      </c>
      <c r="G11" s="3274">
        <v>5</v>
      </c>
      <c r="H11" s="132">
        <f>LOOKUP(G11,69:69,70:70)-LOOKUP(C11,69:69,70:70)+100</f>
        <v>100</v>
      </c>
      <c r="I11" s="388">
        <v>5</v>
      </c>
      <c r="J11" s="132">
        <f>LOOKUP(I11,69:69,70:70)-LOOKUP(C11,69:69,70:70)+100</f>
        <v>100</v>
      </c>
      <c r="K11" s="569"/>
      <c r="L11" s="2916"/>
      <c r="M11" s="2911"/>
      <c r="N11" s="2911"/>
      <c r="O11" s="2911"/>
      <c r="P11" s="3499"/>
      <c r="Q11" s="1495" t="str">
        <f t="shared" si="6"/>
        <v>容积率</v>
      </c>
      <c r="R11" s="710" t="s">
        <v>17</v>
      </c>
      <c r="S11" s="711">
        <f t="shared" si="0"/>
        <v>100</v>
      </c>
      <c r="T11" s="710" t="s">
        <v>17</v>
      </c>
      <c r="U11" s="711">
        <f t="shared" si="1"/>
        <v>100</v>
      </c>
      <c r="V11" s="710" t="s">
        <v>17</v>
      </c>
      <c r="W11" s="711">
        <f t="shared" si="2"/>
        <v>100</v>
      </c>
      <c r="X11" s="712"/>
      <c r="Y11" s="3400"/>
      <c r="Z11" s="55" t="str">
        <f t="shared" si="7"/>
        <v>容积率</v>
      </c>
      <c r="AA11" s="713">
        <f t="shared" si="3"/>
        <v>1</v>
      </c>
      <c r="AB11" s="713">
        <f t="shared" si="4"/>
        <v>1</v>
      </c>
      <c r="AC11" s="2112">
        <f t="shared" si="5"/>
        <v>1</v>
      </c>
    </row>
    <row r="12" spans="1:29" s="113" customFormat="1" ht="15">
      <c r="A12" s="390"/>
      <c r="B12" s="2046">
        <v>111</v>
      </c>
      <c r="C12" s="391"/>
      <c r="D12" s="392">
        <v>100</v>
      </c>
      <c r="E12" s="391"/>
      <c r="F12" s="132">
        <f>SUMIF(71:71,E12,72:72)-SUMIF(71:71,C12,72:72)+100</f>
        <v>100</v>
      </c>
      <c r="G12" s="2113"/>
      <c r="H12" s="132">
        <f>SUMIF(71:71,G12,72:72)-SUMIF(71:71,C12,72:72)+100</f>
        <v>100</v>
      </c>
      <c r="I12" s="391"/>
      <c r="J12" s="132">
        <f>SUMIF(71:71,I12,72:72)-SUMIF(71:71,C12,72:72)+100</f>
        <v>100</v>
      </c>
      <c r="K12" s="570"/>
      <c r="L12" s="2912"/>
      <c r="M12" s="2913"/>
      <c r="N12" s="2913"/>
      <c r="O12" s="2913"/>
      <c r="P12" s="3499"/>
      <c r="Q12" s="1495">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7"/>
      <c r="M13" s="2911"/>
      <c r="N13" s="2911"/>
      <c r="O13" s="2911"/>
      <c r="P13" s="3499"/>
      <c r="Q13" s="1495">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7"/>
      <c r="M14" s="2911"/>
      <c r="N14" s="2911"/>
      <c r="O14" s="2911"/>
      <c r="P14" s="3499"/>
      <c r="Q14" s="1495">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2112">
        <f t="shared" si="5"/>
        <v>1</v>
      </c>
    </row>
    <row r="15" spans="1:29" ht="15">
      <c r="A15" s="399" t="s">
        <v>2319</v>
      </c>
      <c r="B15" s="585" t="s">
        <v>2447</v>
      </c>
      <c r="C15" s="2114" t="str">
        <f>估价对象房地状况!C5</f>
        <v>好</v>
      </c>
      <c r="D15" s="400">
        <v>100</v>
      </c>
      <c r="E15" s="403"/>
      <c r="F15" s="400">
        <f>SUMIF(77:77,E16,78:78)-SUMIF(77:77,C16,78:78)+100</f>
        <v>95</v>
      </c>
      <c r="G15" s="401"/>
      <c r="H15" s="400">
        <f>SUMIF(77:77,G16,78:78)-SUMIF(77:77,C16,78:78)+100</f>
        <v>95</v>
      </c>
      <c r="I15" s="401"/>
      <c r="J15" s="400">
        <f>SUMIF(77:77,I16,78:78)-SUMIF(77:77,C16,78:78)+100</f>
        <v>90</v>
      </c>
      <c r="K15" s="571">
        <v>5</v>
      </c>
      <c r="L15" s="2917"/>
      <c r="M15" s="2911"/>
      <c r="N15" s="2911"/>
      <c r="O15" s="2911"/>
      <c r="P15" s="3505" t="s">
        <v>2320</v>
      </c>
      <c r="Q15" s="1504" t="str">
        <f t="shared" si="6"/>
        <v>办公集聚程度</v>
      </c>
      <c r="R15" s="714" t="s">
        <v>17</v>
      </c>
      <c r="S15" s="715">
        <f t="shared" si="0"/>
        <v>95</v>
      </c>
      <c r="T15" s="714" t="s">
        <v>17</v>
      </c>
      <c r="U15" s="715">
        <f t="shared" si="1"/>
        <v>95</v>
      </c>
      <c r="V15" s="714" t="s">
        <v>17</v>
      </c>
      <c r="W15" s="715">
        <f t="shared" si="2"/>
        <v>90</v>
      </c>
      <c r="X15" s="1507"/>
      <c r="Y15" s="3507" t="s">
        <v>2320</v>
      </c>
      <c r="Z15" s="1508" t="str">
        <f t="shared" si="7"/>
        <v>办公集聚程度</v>
      </c>
      <c r="AA15" s="1505">
        <f t="shared" si="3"/>
        <v>1.0526315789473684</v>
      </c>
      <c r="AB15" s="1505">
        <f t="shared" si="4"/>
        <v>1.0526315789473684</v>
      </c>
      <c r="AC15" s="2115">
        <f t="shared" si="5"/>
        <v>1.1111111111111112</v>
      </c>
    </row>
    <row r="16" spans="1:29" ht="15">
      <c r="A16" s="387"/>
      <c r="B16" s="586"/>
      <c r="C16" s="2057" t="s">
        <v>3294</v>
      </c>
      <c r="D16" s="407"/>
      <c r="E16" s="406" t="s">
        <v>3296</v>
      </c>
      <c r="F16" s="407"/>
      <c r="G16" s="2057" t="s">
        <v>3296</v>
      </c>
      <c r="H16" s="409"/>
      <c r="I16" s="406" t="s">
        <v>3322</v>
      </c>
      <c r="J16" s="407"/>
      <c r="K16" s="572"/>
      <c r="L16" s="2917"/>
      <c r="M16" s="2911"/>
      <c r="N16" s="2911"/>
      <c r="O16" s="2911"/>
      <c r="P16" s="3506"/>
      <c r="Q16" s="1504"/>
      <c r="R16" s="714"/>
      <c r="S16" s="715"/>
      <c r="T16" s="714"/>
      <c r="U16" s="715"/>
      <c r="V16" s="714"/>
      <c r="W16" s="715"/>
      <c r="X16" s="1507"/>
      <c r="Y16" s="3508"/>
      <c r="Z16" s="1508"/>
      <c r="AA16" s="1505">
        <v>1</v>
      </c>
      <c r="AB16" s="1505">
        <v>1</v>
      </c>
      <c r="AC16" s="2115">
        <v>1</v>
      </c>
    </row>
    <row r="17" spans="1:29" ht="15">
      <c r="A17" s="387"/>
      <c r="B17" s="587" t="s">
        <v>1884</v>
      </c>
      <c r="C17" s="2116" t="str">
        <f>估价对象房地状况!C6</f>
        <v>较好</v>
      </c>
      <c r="D17" s="409">
        <v>100</v>
      </c>
      <c r="E17" s="413"/>
      <c r="F17" s="409">
        <f>SUMIF(79:79,E18,80:80)-SUMIF(79:79,C18,80:80)+100</f>
        <v>100</v>
      </c>
      <c r="G17" s="411"/>
      <c r="H17" s="414">
        <f>SUMIF(79:79,G18,80:80)-SUMIF(79:79,C18,80:80)+100</f>
        <v>100</v>
      </c>
      <c r="I17" s="411"/>
      <c r="J17" s="414">
        <f>SUMIF(79:79,I18,80:80)-SUMIF(79:79,C18,80:80)+100</f>
        <v>97</v>
      </c>
      <c r="K17" s="571">
        <v>3</v>
      </c>
      <c r="L17" s="2917"/>
      <c r="M17" s="2911"/>
      <c r="N17" s="2911"/>
      <c r="O17" s="2911"/>
      <c r="P17" s="3506"/>
      <c r="Q17" s="1504" t="str">
        <f>B17</f>
        <v>交通便捷度</v>
      </c>
      <c r="R17" s="714" t="s">
        <v>17</v>
      </c>
      <c r="S17" s="715">
        <f>F17</f>
        <v>100</v>
      </c>
      <c r="T17" s="714" t="s">
        <v>17</v>
      </c>
      <c r="U17" s="715">
        <f>H17</f>
        <v>100</v>
      </c>
      <c r="V17" s="714" t="s">
        <v>17</v>
      </c>
      <c r="W17" s="715">
        <f>J17</f>
        <v>97</v>
      </c>
      <c r="X17" s="1507"/>
      <c r="Y17" s="3508"/>
      <c r="Z17" s="1508" t="str">
        <f>Q17</f>
        <v>交通便捷度</v>
      </c>
      <c r="AA17" s="1505">
        <f t="shared" si="3"/>
        <v>1</v>
      </c>
      <c r="AB17" s="1505">
        <f t="shared" si="4"/>
        <v>1</v>
      </c>
      <c r="AC17" s="2115">
        <f t="shared" si="5"/>
        <v>1.0309278350515463</v>
      </c>
    </row>
    <row r="18" spans="1:29" ht="15">
      <c r="A18" s="387"/>
      <c r="B18" s="588"/>
      <c r="C18" s="2117" t="s">
        <v>3296</v>
      </c>
      <c r="D18" s="409"/>
      <c r="E18" s="2055" t="s">
        <v>3296</v>
      </c>
      <c r="F18" s="409"/>
      <c r="G18" s="2056" t="s">
        <v>3296</v>
      </c>
      <c r="H18" s="407"/>
      <c r="I18" s="2056" t="s">
        <v>3322</v>
      </c>
      <c r="J18" s="407"/>
      <c r="K18" s="572"/>
      <c r="L18" s="2917"/>
      <c r="M18" s="2911"/>
      <c r="N18" s="2911"/>
      <c r="O18" s="2911"/>
      <c r="P18" s="3506"/>
      <c r="Q18" s="1504"/>
      <c r="R18" s="714"/>
      <c r="S18" s="715"/>
      <c r="T18" s="714"/>
      <c r="U18" s="715"/>
      <c r="V18" s="714"/>
      <c r="W18" s="715"/>
      <c r="X18" s="1507"/>
      <c r="Y18" s="3508"/>
      <c r="Z18" s="1508"/>
      <c r="AA18" s="1505">
        <v>1</v>
      </c>
      <c r="AB18" s="1505">
        <v>1</v>
      </c>
      <c r="AC18" s="2115">
        <v>1</v>
      </c>
    </row>
    <row r="19" spans="1:29" ht="15">
      <c r="A19" s="387"/>
      <c r="B19" s="587" t="s">
        <v>2448</v>
      </c>
      <c r="C19" s="2116" t="str">
        <f>估价对象房地状况!C7</f>
        <v>好</v>
      </c>
      <c r="D19" s="414">
        <v>100</v>
      </c>
      <c r="E19" s="418"/>
      <c r="F19" s="414">
        <f>SUMIF(81:81,E20,82:82)-SUMIF(81:81,C20,82:82)+100</f>
        <v>97</v>
      </c>
      <c r="G19" s="416"/>
      <c r="H19" s="409">
        <f>SUMIF(81:81,G20,82:82)-SUMIF(81:81,C20,82:82)+100</f>
        <v>97</v>
      </c>
      <c r="I19" s="416"/>
      <c r="J19" s="409">
        <f>SUMIF(81:81,I20,82:82)-SUMIF(81:81,C20,82:82)+100</f>
        <v>97</v>
      </c>
      <c r="K19" s="571">
        <v>3</v>
      </c>
      <c r="L19" s="2917"/>
      <c r="M19" s="2911"/>
      <c r="N19" s="2911"/>
      <c r="O19" s="2911"/>
      <c r="P19" s="3506"/>
      <c r="Q19" s="1504" t="str">
        <f>B19</f>
        <v>公共配套设施</v>
      </c>
      <c r="R19" s="714" t="s">
        <v>17</v>
      </c>
      <c r="S19" s="715">
        <f>F19</f>
        <v>97</v>
      </c>
      <c r="T19" s="714" t="s">
        <v>17</v>
      </c>
      <c r="U19" s="715">
        <f>H19</f>
        <v>97</v>
      </c>
      <c r="V19" s="714" t="s">
        <v>17</v>
      </c>
      <c r="W19" s="715">
        <f>J19</f>
        <v>97</v>
      </c>
      <c r="X19" s="1507"/>
      <c r="Y19" s="3508"/>
      <c r="Z19" s="1508" t="str">
        <f>Q19</f>
        <v>公共配套设施</v>
      </c>
      <c r="AA19" s="1505">
        <f t="shared" si="3"/>
        <v>1.0309278350515463</v>
      </c>
      <c r="AB19" s="1505">
        <f t="shared" si="4"/>
        <v>1.0309278350515463</v>
      </c>
      <c r="AC19" s="2115">
        <f t="shared" si="5"/>
        <v>1.0309278350515463</v>
      </c>
    </row>
    <row r="20" spans="1:29" ht="15">
      <c r="A20" s="387"/>
      <c r="B20" s="588"/>
      <c r="C20" s="2057" t="s">
        <v>3294</v>
      </c>
      <c r="D20" s="407"/>
      <c r="E20" s="2050" t="s">
        <v>3296</v>
      </c>
      <c r="F20" s="407"/>
      <c r="G20" s="2051" t="s">
        <v>3296</v>
      </c>
      <c r="H20" s="407"/>
      <c r="I20" s="2051" t="s">
        <v>3296</v>
      </c>
      <c r="J20" s="407"/>
      <c r="K20" s="572"/>
      <c r="L20" s="2917"/>
      <c r="M20" s="2911"/>
      <c r="N20" s="2911"/>
      <c r="O20" s="2911"/>
      <c r="P20" s="3506"/>
      <c r="Q20" s="1504"/>
      <c r="R20" s="714"/>
      <c r="S20" s="715"/>
      <c r="T20" s="714"/>
      <c r="U20" s="715"/>
      <c r="V20" s="714"/>
      <c r="W20" s="715"/>
      <c r="X20" s="1507"/>
      <c r="Y20" s="3508"/>
      <c r="Z20" s="1508"/>
      <c r="AA20" s="1505">
        <v>1</v>
      </c>
      <c r="AB20" s="1505">
        <v>1</v>
      </c>
      <c r="AC20" s="2115">
        <v>1</v>
      </c>
    </row>
    <row r="21" spans="1:29" ht="15">
      <c r="A21" s="387"/>
      <c r="B21" s="589" t="s">
        <v>2449</v>
      </c>
      <c r="C21" s="2116"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17"/>
      <c r="M21" s="2911"/>
      <c r="N21" s="2911"/>
      <c r="O21" s="2911"/>
      <c r="P21" s="3506"/>
      <c r="Q21" s="1504" t="str">
        <f>B21</f>
        <v>基础设施水平</v>
      </c>
      <c r="R21" s="714" t="s">
        <v>17</v>
      </c>
      <c r="S21" s="715">
        <f>F21</f>
        <v>100</v>
      </c>
      <c r="T21" s="714" t="s">
        <v>17</v>
      </c>
      <c r="U21" s="715">
        <f>H21</f>
        <v>100</v>
      </c>
      <c r="V21" s="714" t="s">
        <v>17</v>
      </c>
      <c r="W21" s="715">
        <f>J21</f>
        <v>100</v>
      </c>
      <c r="X21" s="1507"/>
      <c r="Y21" s="3508"/>
      <c r="Z21" s="1508" t="str">
        <f>Q21</f>
        <v>基础设施水平</v>
      </c>
      <c r="AA21" s="1505">
        <f t="shared" ref="AA21" si="8">D21/F21</f>
        <v>1</v>
      </c>
      <c r="AB21" s="1505">
        <f t="shared" ref="AB21" si="9">D21/H21</f>
        <v>1</v>
      </c>
      <c r="AC21" s="2115">
        <f t="shared" ref="AC21" si="10">D21/J21</f>
        <v>1</v>
      </c>
    </row>
    <row r="22" spans="1:29" ht="15">
      <c r="A22" s="387"/>
      <c r="B22" s="589"/>
      <c r="C22" s="2117" t="s">
        <v>3298</v>
      </c>
      <c r="D22" s="407"/>
      <c r="E22" s="2117" t="s">
        <v>3298</v>
      </c>
      <c r="F22" s="407"/>
      <c r="G22" s="2117" t="s">
        <v>3298</v>
      </c>
      <c r="H22" s="407"/>
      <c r="I22" s="2117" t="s">
        <v>3298</v>
      </c>
      <c r="J22" s="407"/>
      <c r="K22" s="1263"/>
      <c r="L22" s="2917"/>
      <c r="M22" s="2911"/>
      <c r="N22" s="2911"/>
      <c r="O22" s="2911"/>
      <c r="P22" s="3506"/>
      <c r="Q22" s="1504"/>
      <c r="R22" s="714"/>
      <c r="S22" s="715"/>
      <c r="T22" s="714"/>
      <c r="U22" s="715"/>
      <c r="V22" s="714"/>
      <c r="W22" s="715"/>
      <c r="X22" s="1507"/>
      <c r="Y22" s="3508"/>
      <c r="Z22" s="1508"/>
      <c r="AA22" s="1505">
        <v>1</v>
      </c>
      <c r="AB22" s="1505">
        <v>1</v>
      </c>
      <c r="AC22" s="2115">
        <v>1</v>
      </c>
    </row>
    <row r="23" spans="1:29" ht="15">
      <c r="A23" s="387"/>
      <c r="B23" s="587" t="s">
        <v>2450</v>
      </c>
      <c r="C23" s="211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17"/>
      <c r="M23" s="2911"/>
      <c r="N23" s="2911"/>
      <c r="O23" s="2911"/>
      <c r="P23" s="3506"/>
      <c r="Q23" s="1504" t="str">
        <f>B23</f>
        <v>环境质量</v>
      </c>
      <c r="R23" s="714" t="s">
        <v>17</v>
      </c>
      <c r="S23" s="715">
        <f>F23</f>
        <v>100</v>
      </c>
      <c r="T23" s="714" t="s">
        <v>17</v>
      </c>
      <c r="U23" s="715">
        <f>H23</f>
        <v>100</v>
      </c>
      <c r="V23" s="714" t="s">
        <v>17</v>
      </c>
      <c r="W23" s="715">
        <f>J23</f>
        <v>100</v>
      </c>
      <c r="X23" s="1507"/>
      <c r="Y23" s="3508"/>
      <c r="Z23" s="1508" t="str">
        <f>Q23</f>
        <v>环境质量</v>
      </c>
      <c r="AA23" s="1505">
        <f t="shared" si="3"/>
        <v>1</v>
      </c>
      <c r="AB23" s="1505">
        <f t="shared" si="4"/>
        <v>1</v>
      </c>
      <c r="AC23" s="2115">
        <f t="shared" si="5"/>
        <v>1</v>
      </c>
    </row>
    <row r="24" spans="1:29" ht="15">
      <c r="A24" s="387"/>
      <c r="B24" s="589"/>
      <c r="C24" s="2057" t="s">
        <v>3296</v>
      </c>
      <c r="D24" s="407"/>
      <c r="E24" s="2057" t="s">
        <v>3296</v>
      </c>
      <c r="F24" s="407"/>
      <c r="G24" s="2057" t="s">
        <v>3296</v>
      </c>
      <c r="H24" s="407"/>
      <c r="I24" s="2057" t="s">
        <v>3296</v>
      </c>
      <c r="J24" s="407"/>
      <c r="K24" s="572"/>
      <c r="L24" s="2917"/>
      <c r="M24" s="2911"/>
      <c r="N24" s="2911"/>
      <c r="O24" s="2911"/>
      <c r="P24" s="3506"/>
      <c r="Q24" s="1504"/>
      <c r="R24" s="714"/>
      <c r="S24" s="715"/>
      <c r="T24" s="714"/>
      <c r="U24" s="715"/>
      <c r="V24" s="714"/>
      <c r="W24" s="715"/>
      <c r="X24" s="1507"/>
      <c r="Y24" s="3508"/>
      <c r="Z24" s="1508"/>
      <c r="AA24" s="1505">
        <v>1</v>
      </c>
      <c r="AB24" s="1505">
        <v>1</v>
      </c>
      <c r="AC24" s="2115">
        <v>1</v>
      </c>
    </row>
    <row r="25" spans="1:29" ht="27">
      <c r="A25" s="364"/>
      <c r="B25" s="587" t="s">
        <v>2451</v>
      </c>
      <c r="C25" s="2061"/>
      <c r="D25" s="394">
        <v>100</v>
      </c>
      <c r="E25" s="393"/>
      <c r="F25" s="394">
        <f>SUMIF(87:87,E26,88:88)-SUMIF(87:87,C26,88:88)+100</f>
        <v>100</v>
      </c>
      <c r="G25" s="2061"/>
      <c r="H25" s="394">
        <f>SUMIF(87:87,G26,88:88)-SUMIF(87:87,C26,88:88)+100</f>
        <v>100</v>
      </c>
      <c r="I25" s="393"/>
      <c r="J25" s="394">
        <f>SUMIF(87:87,I26,88:88)-SUMIF(87:87,C26,88:88)+100</f>
        <v>100</v>
      </c>
      <c r="K25" s="571"/>
      <c r="L25" s="2917"/>
      <c r="M25" s="2911"/>
      <c r="N25" s="2911"/>
      <c r="O25" s="2911"/>
      <c r="P25" s="3506"/>
      <c r="Q25" s="1504" t="str">
        <f>B25</f>
        <v>毗邻道路的类型与等级</v>
      </c>
      <c r="R25" s="714" t="s">
        <v>17</v>
      </c>
      <c r="S25" s="715">
        <f>F25</f>
        <v>100</v>
      </c>
      <c r="T25" s="714" t="s">
        <v>17</v>
      </c>
      <c r="U25" s="715">
        <f>H25</f>
        <v>100</v>
      </c>
      <c r="V25" s="714" t="s">
        <v>17</v>
      </c>
      <c r="W25" s="715">
        <f>J25</f>
        <v>100</v>
      </c>
      <c r="X25" s="1507"/>
      <c r="Y25" s="3508"/>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7"/>
      <c r="M26" s="2911"/>
      <c r="N26" s="2911"/>
      <c r="O26" s="2911"/>
      <c r="P26" s="3506"/>
      <c r="Q26" s="1504"/>
      <c r="R26" s="714"/>
      <c r="S26" s="715"/>
      <c r="T26" s="714"/>
      <c r="U26" s="715"/>
      <c r="V26" s="714"/>
      <c r="W26" s="715"/>
      <c r="X26" s="1507"/>
      <c r="Y26" s="3508"/>
      <c r="Z26" s="1508"/>
      <c r="AA26" s="1505">
        <v>1</v>
      </c>
      <c r="AB26" s="1505">
        <v>1</v>
      </c>
      <c r="AC26" s="2115">
        <v>1</v>
      </c>
    </row>
    <row r="27" spans="1:29" ht="15">
      <c r="A27" s="387"/>
      <c r="B27" s="588" t="s">
        <v>2419</v>
      </c>
      <c r="C27" s="590" t="s">
        <v>3381</v>
      </c>
      <c r="D27" s="394">
        <v>100</v>
      </c>
      <c r="E27" s="573" t="s">
        <v>3346</v>
      </c>
      <c r="F27" s="394">
        <f>SUMIF(89:89,E27,90:90)-SUMIF(89:89,C27,90:90)+100</f>
        <v>103</v>
      </c>
      <c r="G27" s="590" t="s">
        <v>3346</v>
      </c>
      <c r="H27" s="394">
        <f>SUMIF(89:89,G27,90:90)-SUMIF(89:89,C27,90:90)+100</f>
        <v>103</v>
      </c>
      <c r="I27" s="573" t="s">
        <v>3346</v>
      </c>
      <c r="J27" s="394">
        <f>SUMIF(89:89,I27,90:90)-SUMIF(89:89,C27,90:90)+100</f>
        <v>103</v>
      </c>
      <c r="K27" s="569">
        <v>3</v>
      </c>
      <c r="L27" s="2917"/>
      <c r="M27" s="2911"/>
      <c r="N27" s="2911"/>
      <c r="O27" s="2911"/>
      <c r="P27" s="3506"/>
      <c r="Q27" s="1504" t="str">
        <f t="shared" ref="Q27:Q47" si="11">B27</f>
        <v>楼层</v>
      </c>
      <c r="R27" s="714" t="s">
        <v>17</v>
      </c>
      <c r="S27" s="715">
        <f>F27</f>
        <v>103</v>
      </c>
      <c r="T27" s="714" t="s">
        <v>17</v>
      </c>
      <c r="U27" s="715">
        <f>H27</f>
        <v>103</v>
      </c>
      <c r="V27" s="714" t="s">
        <v>17</v>
      </c>
      <c r="W27" s="715">
        <f>J27</f>
        <v>103</v>
      </c>
      <c r="X27" s="1507"/>
      <c r="Y27" s="3508"/>
      <c r="Z27" s="1508" t="str">
        <f>Q27</f>
        <v>楼层</v>
      </c>
      <c r="AA27" s="1505">
        <f t="shared" si="3"/>
        <v>0.970873786407767</v>
      </c>
      <c r="AB27" s="1505">
        <f t="shared" si="4"/>
        <v>0.970873786407767</v>
      </c>
      <c r="AC27" s="2115">
        <f t="shared" si="5"/>
        <v>0.970873786407767</v>
      </c>
    </row>
    <row r="28" spans="1:29" s="113" customFormat="1" ht="15">
      <c r="A28" s="390"/>
      <c r="B28" s="587" t="s">
        <v>2452</v>
      </c>
      <c r="C28" s="2118"/>
      <c r="D28" s="421">
        <v>100</v>
      </c>
      <c r="E28" s="2109"/>
      <c r="F28" s="421">
        <f>SUMIF(91:91,E28,92:92)-SUMIF(91:91,C28,92:92)+100</f>
        <v>100</v>
      </c>
      <c r="G28" s="2118"/>
      <c r="H28" s="421">
        <f>SUMIF(91:91,G28,92:92)-SUMIF(91:91,C28,92:92)+100</f>
        <v>100</v>
      </c>
      <c r="I28" s="2109"/>
      <c r="J28" s="421">
        <f>SUMIF(91:91,I28,92:92)-SUMIF(91:91,C28,92:92)+100</f>
        <v>100</v>
      </c>
      <c r="K28" s="569"/>
      <c r="L28" s="2912"/>
      <c r="M28" s="2913"/>
      <c r="N28" s="2913"/>
      <c r="O28" s="2913"/>
      <c r="P28" s="3506"/>
      <c r="Q28" s="1495" t="str">
        <f t="shared" si="11"/>
        <v>朝向</v>
      </c>
      <c r="R28" s="710" t="s">
        <v>17</v>
      </c>
      <c r="S28" s="711">
        <f>F28</f>
        <v>100</v>
      </c>
      <c r="T28" s="710" t="s">
        <v>17</v>
      </c>
      <c r="U28" s="711">
        <f>H28</f>
        <v>100</v>
      </c>
      <c r="V28" s="710" t="s">
        <v>17</v>
      </c>
      <c r="W28" s="711">
        <f>J28</f>
        <v>100</v>
      </c>
      <c r="X28" s="712"/>
      <c r="Y28" s="3508"/>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7"/>
      <c r="M29" s="2911"/>
      <c r="N29" s="2911"/>
      <c r="O29" s="2911"/>
      <c r="P29" s="3506"/>
      <c r="Q29" s="1504">
        <f t="shared" si="11"/>
        <v>111</v>
      </c>
      <c r="R29" s="714" t="s">
        <v>17</v>
      </c>
      <c r="S29" s="715">
        <f t="shared" ref="S29:S47" si="12">F29</f>
        <v>100</v>
      </c>
      <c r="T29" s="714" t="s">
        <v>17</v>
      </c>
      <c r="U29" s="715">
        <f t="shared" ref="U29:U47" si="13">H29</f>
        <v>100</v>
      </c>
      <c r="V29" s="714" t="s">
        <v>17</v>
      </c>
      <c r="W29" s="715">
        <f t="shared" ref="W29:W47" si="14">J29</f>
        <v>100</v>
      </c>
      <c r="X29" s="1507"/>
      <c r="Y29" s="3508"/>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7"/>
      <c r="M30" s="2911"/>
      <c r="N30" s="2911"/>
      <c r="O30" s="2911"/>
      <c r="P30" s="3506"/>
      <c r="Q30" s="1504">
        <f t="shared" si="11"/>
        <v>111</v>
      </c>
      <c r="R30" s="714" t="s">
        <v>17</v>
      </c>
      <c r="S30" s="715">
        <f t="shared" si="12"/>
        <v>100</v>
      </c>
      <c r="T30" s="714" t="s">
        <v>17</v>
      </c>
      <c r="U30" s="715">
        <f t="shared" si="13"/>
        <v>100</v>
      </c>
      <c r="V30" s="714" t="s">
        <v>17</v>
      </c>
      <c r="W30" s="715">
        <f t="shared" si="14"/>
        <v>100</v>
      </c>
      <c r="X30" s="1507"/>
      <c r="Y30" s="3508"/>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7"/>
      <c r="M31" s="2911"/>
      <c r="N31" s="2911"/>
      <c r="O31" s="2911"/>
      <c r="P31" s="3506"/>
      <c r="Q31" s="1504">
        <f t="shared" si="11"/>
        <v>111</v>
      </c>
      <c r="R31" s="714" t="s">
        <v>17</v>
      </c>
      <c r="S31" s="715">
        <f t="shared" si="12"/>
        <v>100</v>
      </c>
      <c r="T31" s="714" t="s">
        <v>17</v>
      </c>
      <c r="U31" s="715">
        <f t="shared" si="13"/>
        <v>100</v>
      </c>
      <c r="V31" s="714" t="s">
        <v>17</v>
      </c>
      <c r="W31" s="715">
        <f t="shared" si="14"/>
        <v>100</v>
      </c>
      <c r="X31" s="1507"/>
      <c r="Y31" s="3508"/>
      <c r="Z31" s="1508">
        <f t="shared" si="15"/>
        <v>111</v>
      </c>
      <c r="AA31" s="1505">
        <f t="shared" si="3"/>
        <v>1</v>
      </c>
      <c r="AB31" s="1505">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7"/>
      <c r="M32" s="2911"/>
      <c r="N32" s="2911"/>
      <c r="O32" s="2911"/>
      <c r="P32" s="3506"/>
      <c r="Q32" s="1504">
        <f t="shared" si="11"/>
        <v>111</v>
      </c>
      <c r="R32" s="714" t="s">
        <v>17</v>
      </c>
      <c r="S32" s="715">
        <f t="shared" si="12"/>
        <v>100</v>
      </c>
      <c r="T32" s="714" t="s">
        <v>17</v>
      </c>
      <c r="U32" s="715">
        <f t="shared" si="13"/>
        <v>100</v>
      </c>
      <c r="V32" s="714" t="s">
        <v>17</v>
      </c>
      <c r="W32" s="715">
        <f t="shared" si="14"/>
        <v>100</v>
      </c>
      <c r="X32" s="1507"/>
      <c r="Y32" s="3508"/>
      <c r="Z32" s="1508">
        <f t="shared" si="15"/>
        <v>111</v>
      </c>
      <c r="AA32" s="1505">
        <f t="shared" si="3"/>
        <v>1</v>
      </c>
      <c r="AB32" s="1505">
        <f t="shared" si="4"/>
        <v>1</v>
      </c>
      <c r="AC32" s="2115">
        <f t="shared" si="5"/>
        <v>1</v>
      </c>
    </row>
    <row r="33" spans="1:29" ht="15">
      <c r="A33" s="399" t="s">
        <v>2323</v>
      </c>
      <c r="B33" s="67" t="s">
        <v>2453</v>
      </c>
      <c r="C33" s="2120" t="s">
        <v>3349</v>
      </c>
      <c r="D33" s="426">
        <v>100</v>
      </c>
      <c r="E33" s="2120" t="s">
        <v>3349</v>
      </c>
      <c r="F33" s="420">
        <f>SUMIF(101:101,E33,102:102)-SUMIF(101:101,C33,102:102)+100</f>
        <v>100</v>
      </c>
      <c r="G33" s="2120" t="s">
        <v>3349</v>
      </c>
      <c r="H33" s="394">
        <f>SUMIF(101:101,G33,102:102)-SUMIF(101:101,C33,102:102)+100</f>
        <v>100</v>
      </c>
      <c r="I33" s="2120" t="s">
        <v>3349</v>
      </c>
      <c r="J33" s="426">
        <f>SUMIF(101:101,I33,102:102)-SUMIF(101:101,C33,102:102)+100</f>
        <v>100</v>
      </c>
      <c r="K33" s="569">
        <v>3</v>
      </c>
      <c r="L33" s="2917"/>
      <c r="M33" s="2911"/>
      <c r="N33" s="2911"/>
      <c r="O33" s="2911"/>
      <c r="P33" s="3509" t="s">
        <v>2325</v>
      </c>
      <c r="Q33" s="1504" t="str">
        <f t="shared" si="11"/>
        <v>建筑类型</v>
      </c>
      <c r="R33" s="714" t="s">
        <v>17</v>
      </c>
      <c r="S33" s="715">
        <f t="shared" si="12"/>
        <v>100</v>
      </c>
      <c r="T33" s="714" t="s">
        <v>17</v>
      </c>
      <c r="U33" s="715">
        <f t="shared" si="13"/>
        <v>100</v>
      </c>
      <c r="V33" s="714" t="s">
        <v>17</v>
      </c>
      <c r="W33" s="715">
        <f t="shared" si="14"/>
        <v>100</v>
      </c>
      <c r="X33" s="1507"/>
      <c r="Y33" s="3512" t="s">
        <v>2325</v>
      </c>
      <c r="Z33" s="1508" t="str">
        <f t="shared" si="15"/>
        <v>建筑类型</v>
      </c>
      <c r="AA33" s="1505">
        <f t="shared" si="3"/>
        <v>1</v>
      </c>
      <c r="AB33" s="1505">
        <f t="shared" si="4"/>
        <v>1</v>
      </c>
      <c r="AC33" s="2115">
        <f t="shared" si="5"/>
        <v>1</v>
      </c>
    </row>
    <row r="34" spans="1:29" s="430" customFormat="1" ht="15">
      <c r="A34" s="427"/>
      <c r="B34" s="381" t="s">
        <v>2326</v>
      </c>
      <c r="C34" s="428">
        <f>信息!B29</f>
        <v>1714.22</v>
      </c>
      <c r="D34" s="132">
        <v>100</v>
      </c>
      <c r="E34" s="389">
        <v>1619.7</v>
      </c>
      <c r="F34" s="384">
        <f>LOOKUP(E34,104:104,105:105)-LOOKUP(C34,104:104,105:105)+100</f>
        <v>100</v>
      </c>
      <c r="G34" s="388">
        <v>2136</v>
      </c>
      <c r="H34" s="132">
        <f>LOOKUP(G34,104:104,105:105)-LOOKUP(C34,104:104,105:105)+100</f>
        <v>98</v>
      </c>
      <c r="I34" s="388">
        <v>1318</v>
      </c>
      <c r="J34" s="132">
        <f>LOOKUP(I34,104:104,105:105)-LOOKUP(C34,104:104,105:105)+100</f>
        <v>102</v>
      </c>
      <c r="K34" s="570"/>
      <c r="L34" s="2916"/>
      <c r="M34" s="2918"/>
      <c r="N34" s="2918"/>
      <c r="O34" s="2918"/>
      <c r="P34" s="3510"/>
      <c r="Q34" s="716" t="str">
        <f t="shared" si="11"/>
        <v>项目建筑规模</v>
      </c>
      <c r="R34" s="717" t="s">
        <v>17</v>
      </c>
      <c r="S34" s="718">
        <f t="shared" si="12"/>
        <v>100</v>
      </c>
      <c r="T34" s="717" t="s">
        <v>17</v>
      </c>
      <c r="U34" s="718">
        <f t="shared" si="13"/>
        <v>98</v>
      </c>
      <c r="V34" s="717" t="s">
        <v>17</v>
      </c>
      <c r="W34" s="718">
        <f t="shared" si="14"/>
        <v>102</v>
      </c>
      <c r="X34" s="719"/>
      <c r="Y34" s="3512"/>
      <c r="Z34" s="720" t="str">
        <f t="shared" si="15"/>
        <v>项目建筑规模</v>
      </c>
      <c r="AA34" s="1505">
        <f t="shared" si="3"/>
        <v>1</v>
      </c>
      <c r="AB34" s="1505">
        <f t="shared" si="4"/>
        <v>1.0204081632653061</v>
      </c>
      <c r="AC34" s="2115">
        <f t="shared" si="5"/>
        <v>0.98039215686274506</v>
      </c>
    </row>
    <row r="35" spans="1:29" ht="15">
      <c r="A35" s="431"/>
      <c r="B35" s="381" t="s">
        <v>2327</v>
      </c>
      <c r="C35" s="419" t="s">
        <v>3351</v>
      </c>
      <c r="D35" s="394">
        <v>100</v>
      </c>
      <c r="E35" s="419" t="s">
        <v>3351</v>
      </c>
      <c r="F35" s="420">
        <f>SUMIF(106:106,E35,107:107)-SUMIF(106:106,C35,107:107)+100</f>
        <v>100</v>
      </c>
      <c r="G35" s="419" t="s">
        <v>3351</v>
      </c>
      <c r="H35" s="394">
        <f>SUMIF(106:106,G35,107:107)-SUMIF(106:106,C35,107:107)+100</f>
        <v>100</v>
      </c>
      <c r="I35" s="419" t="s">
        <v>3351</v>
      </c>
      <c r="J35" s="394">
        <f>SUMIF(106:106,I35,107:107)-SUMIF(106:106,C35,107:107)+100</f>
        <v>100</v>
      </c>
      <c r="K35" s="569">
        <v>2</v>
      </c>
      <c r="L35" s="2917"/>
      <c r="M35" s="2911"/>
      <c r="N35" s="2911"/>
      <c r="O35" s="2911"/>
      <c r="P35" s="3510"/>
      <c r="Q35" s="1504" t="str">
        <f t="shared" si="11"/>
        <v>建筑结构</v>
      </c>
      <c r="R35" s="714" t="s">
        <v>17</v>
      </c>
      <c r="S35" s="715">
        <f t="shared" si="12"/>
        <v>100</v>
      </c>
      <c r="T35" s="714" t="s">
        <v>17</v>
      </c>
      <c r="U35" s="715">
        <f t="shared" si="13"/>
        <v>100</v>
      </c>
      <c r="V35" s="714" t="s">
        <v>17</v>
      </c>
      <c r="W35" s="715">
        <f t="shared" si="14"/>
        <v>100</v>
      </c>
      <c r="X35" s="1507"/>
      <c r="Y35" s="3512"/>
      <c r="Z35" s="1508" t="str">
        <f t="shared" si="15"/>
        <v>建筑结构</v>
      </c>
      <c r="AA35" s="1505">
        <f t="shared" si="3"/>
        <v>1</v>
      </c>
      <c r="AB35" s="1505">
        <f t="shared" si="4"/>
        <v>1</v>
      </c>
      <c r="AC35" s="2115">
        <f t="shared" si="5"/>
        <v>1</v>
      </c>
    </row>
    <row r="36" spans="1:29" ht="15">
      <c r="A36" s="431"/>
      <c r="B36" s="381" t="s">
        <v>2421</v>
      </c>
      <c r="C36" s="419" t="s">
        <v>3353</v>
      </c>
      <c r="D36" s="394">
        <v>100</v>
      </c>
      <c r="E36" s="419" t="s">
        <v>3353</v>
      </c>
      <c r="F36" s="420">
        <f>SUMIF(108:108,E36,109:109)-SUMIF(108:108,C36,109:109)+100</f>
        <v>100</v>
      </c>
      <c r="G36" s="419" t="s">
        <v>3353</v>
      </c>
      <c r="H36" s="394">
        <f>SUMIF(108:108,G36,109:109)-SUMIF(108:108,C36,109:109)+100</f>
        <v>100</v>
      </c>
      <c r="I36" s="419" t="s">
        <v>3353</v>
      </c>
      <c r="J36" s="394">
        <f>SUMIF(108:108,I36,109:109)-SUMIF(108:108,C36,109:109)+100</f>
        <v>100</v>
      </c>
      <c r="K36" s="569">
        <v>2</v>
      </c>
      <c r="L36" s="2917"/>
      <c r="M36" s="2911"/>
      <c r="N36" s="2911"/>
      <c r="O36" s="2911"/>
      <c r="P36" s="3510"/>
      <c r="Q36" s="1504" t="str">
        <f t="shared" si="11"/>
        <v>公共部分装修</v>
      </c>
      <c r="R36" s="714" t="s">
        <v>17</v>
      </c>
      <c r="S36" s="715">
        <f t="shared" si="12"/>
        <v>100</v>
      </c>
      <c r="T36" s="714" t="s">
        <v>17</v>
      </c>
      <c r="U36" s="715">
        <f t="shared" si="13"/>
        <v>100</v>
      </c>
      <c r="V36" s="714" t="s">
        <v>17</v>
      </c>
      <c r="W36" s="715">
        <f t="shared" si="14"/>
        <v>100</v>
      </c>
      <c r="X36" s="1507"/>
      <c r="Y36" s="3512"/>
      <c r="Z36" s="1508" t="str">
        <f t="shared" si="15"/>
        <v>公共部分装修</v>
      </c>
      <c r="AA36" s="1505">
        <f t="shared" si="3"/>
        <v>1</v>
      </c>
      <c r="AB36" s="1505">
        <f t="shared" si="4"/>
        <v>1</v>
      </c>
      <c r="AC36" s="2115">
        <f t="shared" si="5"/>
        <v>1</v>
      </c>
    </row>
    <row r="37" spans="1:29" ht="15">
      <c r="A37" s="431"/>
      <c r="B37" s="381" t="s">
        <v>2422</v>
      </c>
      <c r="C37" s="433">
        <v>1</v>
      </c>
      <c r="D37" s="394">
        <v>100</v>
      </c>
      <c r="E37" s="433">
        <v>0.9</v>
      </c>
      <c r="F37" s="420">
        <f>LOOKUP(E37,111:111,112:112)-LOOKUP(C37,111:111,112:112)+100</f>
        <v>100</v>
      </c>
      <c r="G37" s="433">
        <v>0.88</v>
      </c>
      <c r="H37" s="420">
        <f>LOOKUP(G37,111:111,112:112)-LOOKUP(C37,111:111,112:112)+100</f>
        <v>97</v>
      </c>
      <c r="I37" s="433">
        <v>0.88</v>
      </c>
      <c r="J37" s="394">
        <f>LOOKUP(I37,111:111,112:112)-LOOKUP(C37,111:111,112:112)+100</f>
        <v>97</v>
      </c>
      <c r="K37" s="569">
        <v>3</v>
      </c>
      <c r="L37" s="2917"/>
      <c r="M37" s="2911"/>
      <c r="N37" s="2911"/>
      <c r="O37" s="2911"/>
      <c r="P37" s="3510"/>
      <c r="Q37" s="1504" t="str">
        <f t="shared" si="11"/>
        <v>成新度</v>
      </c>
      <c r="R37" s="714" t="s">
        <v>17</v>
      </c>
      <c r="S37" s="715">
        <f t="shared" si="12"/>
        <v>100</v>
      </c>
      <c r="T37" s="714" t="s">
        <v>17</v>
      </c>
      <c r="U37" s="715">
        <f t="shared" si="13"/>
        <v>97</v>
      </c>
      <c r="V37" s="714" t="s">
        <v>17</v>
      </c>
      <c r="W37" s="715">
        <f t="shared" si="14"/>
        <v>97</v>
      </c>
      <c r="X37" s="1507"/>
      <c r="Y37" s="3512"/>
      <c r="Z37" s="1508" t="str">
        <f t="shared" si="15"/>
        <v>成新度</v>
      </c>
      <c r="AA37" s="1505">
        <f t="shared" si="3"/>
        <v>1</v>
      </c>
      <c r="AB37" s="1505">
        <f t="shared" si="4"/>
        <v>1.0309278350515463</v>
      </c>
      <c r="AC37" s="2115">
        <f t="shared" si="5"/>
        <v>1.0309278350515463</v>
      </c>
    </row>
    <row r="38" spans="1:29" s="113" customFormat="1" ht="15">
      <c r="A38" s="432"/>
      <c r="B38" s="381" t="s">
        <v>2454</v>
      </c>
      <c r="C38" s="419" t="s">
        <v>3355</v>
      </c>
      <c r="D38" s="132">
        <v>100</v>
      </c>
      <c r="E38" s="419" t="s">
        <v>3355</v>
      </c>
      <c r="F38" s="420">
        <f>SUMIF(113:113,E38,114:114)-SUMIF(113:113,C38,114:114)+100</f>
        <v>100</v>
      </c>
      <c r="G38" s="419" t="s">
        <v>3355</v>
      </c>
      <c r="H38" s="394">
        <f>SUMIF(113:113,G38,114:114)-SUMIF(113:113,C38,114:114)+100</f>
        <v>100</v>
      </c>
      <c r="I38" s="419" t="s">
        <v>3355</v>
      </c>
      <c r="J38" s="394">
        <f>SUMIF(113:113,I38,114:114)-SUMIF(113:113,C38,114:114)+100</f>
        <v>100</v>
      </c>
      <c r="K38" s="569">
        <v>2</v>
      </c>
      <c r="L38" s="2912"/>
      <c r="M38" s="2913"/>
      <c r="N38" s="2913"/>
      <c r="O38" s="2913"/>
      <c r="P38" s="3510"/>
      <c r="Q38" s="1495" t="str">
        <f t="shared" si="11"/>
        <v>写字楼等级</v>
      </c>
      <c r="R38" s="710" t="s">
        <v>17</v>
      </c>
      <c r="S38" s="711">
        <f t="shared" si="12"/>
        <v>100</v>
      </c>
      <c r="T38" s="710" t="s">
        <v>17</v>
      </c>
      <c r="U38" s="711">
        <f t="shared" si="13"/>
        <v>100</v>
      </c>
      <c r="V38" s="710" t="s">
        <v>17</v>
      </c>
      <c r="W38" s="711">
        <f t="shared" si="14"/>
        <v>100</v>
      </c>
      <c r="X38" s="712"/>
      <c r="Y38" s="3512"/>
      <c r="Z38" s="55" t="str">
        <f t="shared" si="15"/>
        <v>写字楼等级</v>
      </c>
      <c r="AA38" s="713">
        <f t="shared" si="3"/>
        <v>1</v>
      </c>
      <c r="AB38" s="713">
        <f t="shared" si="4"/>
        <v>1</v>
      </c>
      <c r="AC38" s="2112">
        <f t="shared" si="5"/>
        <v>1</v>
      </c>
    </row>
    <row r="39" spans="1:29" ht="15">
      <c r="A39" s="431"/>
      <c r="B39" s="381" t="s">
        <v>2455</v>
      </c>
      <c r="C39" s="419" t="s">
        <v>3357</v>
      </c>
      <c r="D39" s="394">
        <v>100</v>
      </c>
      <c r="E39" s="419" t="s">
        <v>3357</v>
      </c>
      <c r="F39" s="420">
        <f>SUMIF(115:115,E39,116:116)-SUMIF(115:115,C39,116:116)+100</f>
        <v>100</v>
      </c>
      <c r="G39" s="419" t="s">
        <v>3357</v>
      </c>
      <c r="H39" s="394">
        <f>SUMIF(115:115,G39,116:116)-SUMIF(115:115,C39,116:116)+100</f>
        <v>100</v>
      </c>
      <c r="I39" s="419" t="s">
        <v>3357</v>
      </c>
      <c r="J39" s="394">
        <f>SUMIF(115:115,I39,116:116)-SUMIF(115:115,C39,116:116)+100</f>
        <v>100</v>
      </c>
      <c r="K39" s="569">
        <v>2</v>
      </c>
      <c r="L39" s="2917"/>
      <c r="M39" s="2911"/>
      <c r="N39" s="2911"/>
      <c r="O39" s="2911"/>
      <c r="P39" s="3510" t="s">
        <v>2325</v>
      </c>
      <c r="Q39" s="1504" t="str">
        <f t="shared" si="11"/>
        <v>物业管理</v>
      </c>
      <c r="R39" s="714" t="s">
        <v>17</v>
      </c>
      <c r="S39" s="715">
        <f t="shared" si="12"/>
        <v>100</v>
      </c>
      <c r="T39" s="714" t="s">
        <v>17</v>
      </c>
      <c r="U39" s="715">
        <f t="shared" si="13"/>
        <v>100</v>
      </c>
      <c r="V39" s="714" t="s">
        <v>17</v>
      </c>
      <c r="W39" s="715">
        <f t="shared" si="14"/>
        <v>100</v>
      </c>
      <c r="X39" s="1507"/>
      <c r="Y39" s="3512" t="s">
        <v>2325</v>
      </c>
      <c r="Z39" s="1508" t="str">
        <f t="shared" si="15"/>
        <v>物业管理</v>
      </c>
      <c r="AA39" s="1505">
        <f t="shared" si="3"/>
        <v>1</v>
      </c>
      <c r="AB39" s="1505">
        <f t="shared" si="4"/>
        <v>1</v>
      </c>
      <c r="AC39" s="2115">
        <f t="shared" si="5"/>
        <v>1</v>
      </c>
    </row>
    <row r="40" spans="1:29" ht="15">
      <c r="A40" s="431"/>
      <c r="B40" s="381" t="s">
        <v>2423</v>
      </c>
      <c r="C40" s="419" t="s">
        <v>3314</v>
      </c>
      <c r="D40" s="394">
        <v>100</v>
      </c>
      <c r="E40" s="419" t="s">
        <v>3314</v>
      </c>
      <c r="F40" s="420">
        <f>SUMIF(117:117,E40,118:118)-SUMIF(117:117,C40,118:118)+100</f>
        <v>100</v>
      </c>
      <c r="G40" s="419" t="s">
        <v>3314</v>
      </c>
      <c r="H40" s="394">
        <f>SUMIF(117:117,G40,118:118)-SUMIF(117:117,C40,118:118)+100</f>
        <v>100</v>
      </c>
      <c r="I40" s="419" t="s">
        <v>3314</v>
      </c>
      <c r="J40" s="394">
        <f>SUMIF(117:117,I40,118:118)-SUMIF(117:117,C40,118:118)+100</f>
        <v>100</v>
      </c>
      <c r="K40" s="569">
        <v>2</v>
      </c>
      <c r="L40" s="2917"/>
      <c r="M40" s="2911"/>
      <c r="N40" s="2911"/>
      <c r="O40" s="2911"/>
      <c r="P40" s="3510"/>
      <c r="Q40" s="1504" t="str">
        <f t="shared" si="11"/>
        <v>市政基础设施</v>
      </c>
      <c r="R40" s="714" t="s">
        <v>17</v>
      </c>
      <c r="S40" s="715">
        <f t="shared" si="12"/>
        <v>100</v>
      </c>
      <c r="T40" s="714" t="s">
        <v>17</v>
      </c>
      <c r="U40" s="715">
        <f t="shared" si="13"/>
        <v>100</v>
      </c>
      <c r="V40" s="714" t="s">
        <v>17</v>
      </c>
      <c r="W40" s="715">
        <f t="shared" si="14"/>
        <v>100</v>
      </c>
      <c r="X40" s="1507"/>
      <c r="Y40" s="3512"/>
      <c r="Z40" s="1508" t="str">
        <f t="shared" si="15"/>
        <v>市政基础设施</v>
      </c>
      <c r="AA40" s="1505">
        <f t="shared" si="3"/>
        <v>1</v>
      </c>
      <c r="AB40" s="1505">
        <f t="shared" si="4"/>
        <v>1</v>
      </c>
      <c r="AC40" s="2115">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510"/>
      <c r="Q41" s="1504" t="str">
        <f t="shared" si="11"/>
        <v>层高</v>
      </c>
      <c r="R41" s="714" t="s">
        <v>17</v>
      </c>
      <c r="S41" s="715">
        <f t="shared" si="12"/>
        <v>100</v>
      </c>
      <c r="T41" s="714" t="s">
        <v>17</v>
      </c>
      <c r="U41" s="715">
        <f t="shared" si="13"/>
        <v>100</v>
      </c>
      <c r="V41" s="714" t="s">
        <v>17</v>
      </c>
      <c r="W41" s="715">
        <f t="shared" si="14"/>
        <v>100</v>
      </c>
      <c r="X41" s="1507"/>
      <c r="Y41" s="3512"/>
      <c r="Z41" s="1508" t="str">
        <f t="shared" si="15"/>
        <v>层高</v>
      </c>
      <c r="AA41" s="1505">
        <f t="shared" si="3"/>
        <v>1</v>
      </c>
      <c r="AB41" s="1505">
        <f t="shared" si="4"/>
        <v>1</v>
      </c>
      <c r="AC41" s="2115">
        <f t="shared" si="5"/>
        <v>1</v>
      </c>
    </row>
    <row r="42" spans="1:29" s="430" customFormat="1" ht="15">
      <c r="A42" s="427"/>
      <c r="B42" s="1506"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510"/>
      <c r="Q42" s="716" t="str">
        <f t="shared" si="11"/>
        <v>单套建筑面积</v>
      </c>
      <c r="R42" s="717" t="s">
        <v>17</v>
      </c>
      <c r="S42" s="718">
        <f t="shared" si="12"/>
        <v>100</v>
      </c>
      <c r="T42" s="717" t="s">
        <v>17</v>
      </c>
      <c r="U42" s="718">
        <f t="shared" si="13"/>
        <v>100</v>
      </c>
      <c r="V42" s="717" t="s">
        <v>17</v>
      </c>
      <c r="W42" s="718">
        <f t="shared" si="14"/>
        <v>100</v>
      </c>
      <c r="X42" s="719"/>
      <c r="Y42" s="3512"/>
      <c r="Z42" s="720" t="str">
        <f t="shared" si="15"/>
        <v>单套建筑面积</v>
      </c>
      <c r="AA42" s="1505">
        <f t="shared" si="3"/>
        <v>1</v>
      </c>
      <c r="AB42" s="1505">
        <f t="shared" si="4"/>
        <v>1</v>
      </c>
      <c r="AC42" s="2115">
        <f t="shared" si="5"/>
        <v>1</v>
      </c>
    </row>
    <row r="43" spans="1:29" ht="15">
      <c r="A43" s="431"/>
      <c r="B43" s="381" t="s">
        <v>2428</v>
      </c>
      <c r="C43" s="419" t="s">
        <v>3364</v>
      </c>
      <c r="D43" s="394">
        <v>100</v>
      </c>
      <c r="E43" s="419" t="s">
        <v>3362</v>
      </c>
      <c r="F43" s="420">
        <f>SUMIF(123:123,E43,124:124)-SUMIF(123:123,C43,124:124)+100</f>
        <v>102</v>
      </c>
      <c r="G43" s="419" t="s">
        <v>3364</v>
      </c>
      <c r="H43" s="394">
        <f>SUMIF(123:123,G43,124:124)-SUMIF(123:123,C43,124:124)+100</f>
        <v>100</v>
      </c>
      <c r="I43" s="419" t="s">
        <v>3364</v>
      </c>
      <c r="J43" s="394">
        <f>SUMIF(123:123,I43,124:124)-SUMIF(123:123,C43,124:124)+100</f>
        <v>100</v>
      </c>
      <c r="K43" s="569">
        <v>2</v>
      </c>
      <c r="L43" s="2917"/>
      <c r="M43" s="2911"/>
      <c r="N43" s="2911"/>
      <c r="O43" s="2911"/>
      <c r="P43" s="3510"/>
      <c r="Q43" s="1504" t="str">
        <f t="shared" si="11"/>
        <v>内部装修</v>
      </c>
      <c r="R43" s="714" t="s">
        <v>17</v>
      </c>
      <c r="S43" s="715">
        <f t="shared" si="12"/>
        <v>102</v>
      </c>
      <c r="T43" s="714" t="s">
        <v>17</v>
      </c>
      <c r="U43" s="715">
        <f t="shared" si="13"/>
        <v>100</v>
      </c>
      <c r="V43" s="714" t="s">
        <v>17</v>
      </c>
      <c r="W43" s="715">
        <f t="shared" si="14"/>
        <v>100</v>
      </c>
      <c r="X43" s="1507"/>
      <c r="Y43" s="3512"/>
      <c r="Z43" s="1508" t="str">
        <f t="shared" si="15"/>
        <v>内部装修</v>
      </c>
      <c r="AA43" s="1505">
        <f t="shared" si="3"/>
        <v>0.98039215686274506</v>
      </c>
      <c r="AB43" s="1505">
        <f t="shared" si="4"/>
        <v>1</v>
      </c>
      <c r="AC43" s="2115">
        <f t="shared" si="5"/>
        <v>1</v>
      </c>
    </row>
    <row r="44" spans="1:29" ht="15">
      <c r="A44" s="431"/>
      <c r="B44" s="381" t="s">
        <v>2336</v>
      </c>
      <c r="C44" s="419"/>
      <c r="D44" s="394">
        <v>100</v>
      </c>
      <c r="E44" s="2059"/>
      <c r="F44" s="420">
        <f>SUMIF(125:125,E44,126:126)-SUMIF(125:125,C44,126:126)+100</f>
        <v>100</v>
      </c>
      <c r="G44" s="2059"/>
      <c r="H44" s="394">
        <f>SUMIF(125:125,G44,126:126)-SUMIF(125:125,C44,126:126)+100</f>
        <v>100</v>
      </c>
      <c r="I44" s="2059"/>
      <c r="J44" s="394">
        <f>SUMIF(125:125,I44,126:126)-SUMIF(125:125,C44,126:126)+100</f>
        <v>100</v>
      </c>
      <c r="K44" s="569"/>
      <c r="L44" s="2917"/>
      <c r="M44" s="2911"/>
      <c r="N44" s="2911"/>
      <c r="O44" s="2911"/>
      <c r="P44" s="3510"/>
      <c r="Q44" s="1504" t="str">
        <f t="shared" si="11"/>
        <v>内部装修维护情况</v>
      </c>
      <c r="R44" s="714" t="s">
        <v>17</v>
      </c>
      <c r="S44" s="715">
        <f t="shared" si="12"/>
        <v>100</v>
      </c>
      <c r="T44" s="714" t="s">
        <v>17</v>
      </c>
      <c r="U44" s="715">
        <f t="shared" si="13"/>
        <v>100</v>
      </c>
      <c r="V44" s="714" t="s">
        <v>17</v>
      </c>
      <c r="W44" s="715">
        <f t="shared" si="14"/>
        <v>100</v>
      </c>
      <c r="X44" s="1507"/>
      <c r="Y44" s="3512"/>
      <c r="Z44" s="1508" t="str">
        <f t="shared" si="15"/>
        <v>内部装修维护情况</v>
      </c>
      <c r="AA44" s="1505">
        <f t="shared" si="3"/>
        <v>1</v>
      </c>
      <c r="AB44" s="1505">
        <f t="shared" si="4"/>
        <v>1</v>
      </c>
      <c r="AC44" s="2115">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510"/>
      <c r="Q45" s="1495">
        <f t="shared" si="11"/>
        <v>111</v>
      </c>
      <c r="R45" s="710" t="s">
        <v>17</v>
      </c>
      <c r="S45" s="711">
        <f t="shared" si="12"/>
        <v>100</v>
      </c>
      <c r="T45" s="710" t="s">
        <v>17</v>
      </c>
      <c r="U45" s="711">
        <f t="shared" si="13"/>
        <v>100</v>
      </c>
      <c r="V45" s="710" t="s">
        <v>17</v>
      </c>
      <c r="W45" s="711">
        <f t="shared" si="14"/>
        <v>100</v>
      </c>
      <c r="X45" s="712"/>
      <c r="Y45" s="3512"/>
      <c r="Z45" s="55">
        <f t="shared" si="15"/>
        <v>111</v>
      </c>
      <c r="AA45" s="713">
        <f t="shared" si="3"/>
        <v>1</v>
      </c>
      <c r="AB45" s="713">
        <f t="shared" si="4"/>
        <v>1</v>
      </c>
      <c r="AC45" s="2112">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510"/>
      <c r="Q46" s="1504">
        <f t="shared" si="11"/>
        <v>111</v>
      </c>
      <c r="R46" s="714" t="s">
        <v>17</v>
      </c>
      <c r="S46" s="715">
        <f t="shared" si="12"/>
        <v>100</v>
      </c>
      <c r="T46" s="714" t="s">
        <v>17</v>
      </c>
      <c r="U46" s="715">
        <f t="shared" si="13"/>
        <v>100</v>
      </c>
      <c r="V46" s="714" t="s">
        <v>17</v>
      </c>
      <c r="W46" s="715">
        <f t="shared" si="14"/>
        <v>100</v>
      </c>
      <c r="X46" s="1507"/>
      <c r="Y46" s="3512"/>
      <c r="Z46" s="1508">
        <f t="shared" si="15"/>
        <v>111</v>
      </c>
      <c r="AA46" s="1505">
        <f t="shared" si="3"/>
        <v>1</v>
      </c>
      <c r="AB46" s="1505">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511"/>
      <c r="Q47" s="1504">
        <f t="shared" si="11"/>
        <v>111</v>
      </c>
      <c r="R47" s="714" t="s">
        <v>17</v>
      </c>
      <c r="S47" s="715">
        <f t="shared" si="12"/>
        <v>100</v>
      </c>
      <c r="T47" s="714" t="s">
        <v>17</v>
      </c>
      <c r="U47" s="715">
        <f t="shared" si="13"/>
        <v>100</v>
      </c>
      <c r="V47" s="714" t="s">
        <v>17</v>
      </c>
      <c r="W47" s="715">
        <f t="shared" si="14"/>
        <v>100</v>
      </c>
      <c r="X47" s="1507"/>
      <c r="Y47" s="3513"/>
      <c r="Z47" s="1508">
        <f t="shared" si="15"/>
        <v>111</v>
      </c>
      <c r="AA47" s="1505">
        <f t="shared" si="3"/>
        <v>1</v>
      </c>
      <c r="AB47" s="1505">
        <f t="shared" si="4"/>
        <v>1</v>
      </c>
      <c r="AC47" s="2115">
        <f t="shared" si="5"/>
        <v>1</v>
      </c>
    </row>
    <row r="48" spans="1:29" ht="15">
      <c r="A48" s="438" t="s">
        <v>2337</v>
      </c>
      <c r="B48" s="439"/>
      <c r="C48" s="1286" t="s">
        <v>1</v>
      </c>
      <c r="D48" s="1287"/>
      <c r="E48" s="1288">
        <v>56000</v>
      </c>
      <c r="F48" s="1289"/>
      <c r="G48" s="1290">
        <v>56180</v>
      </c>
      <c r="H48" s="1291"/>
      <c r="I48" s="1288">
        <v>56484</v>
      </c>
      <c r="J48" s="444"/>
      <c r="K48" s="723"/>
      <c r="L48" s="2919"/>
      <c r="M48" s="2911"/>
      <c r="N48" s="2911"/>
      <c r="O48" s="2911"/>
      <c r="P48" s="3499" t="str">
        <f>A48</f>
        <v>成交单价（元/平方米）</v>
      </c>
      <c r="Q48" s="3500"/>
      <c r="R48" s="3501">
        <f>E48</f>
        <v>56000</v>
      </c>
      <c r="S48" s="3501"/>
      <c r="T48" s="3501">
        <f>G48</f>
        <v>56180</v>
      </c>
      <c r="U48" s="3501"/>
      <c r="V48" s="3501">
        <f>I48</f>
        <v>56484</v>
      </c>
      <c r="W48" s="3501"/>
      <c r="X48" s="405"/>
      <c r="Y48" s="721"/>
      <c r="Z48" s="405"/>
      <c r="AA48" s="405"/>
      <c r="AB48" s="405"/>
      <c r="AC48" s="586"/>
    </row>
    <row r="49" spans="1:29" ht="15.75" thickBot="1">
      <c r="A49" s="445" t="s">
        <v>2429</v>
      </c>
      <c r="B49" s="446"/>
      <c r="C49" s="1292">
        <f>R50</f>
        <v>61854</v>
      </c>
      <c r="D49" s="2505" t="s">
        <v>2819</v>
      </c>
      <c r="E49" s="1293">
        <f>R49</f>
        <v>57844</v>
      </c>
      <c r="F49" s="2506"/>
      <c r="G49" s="1292">
        <f>T49</f>
        <v>62266</v>
      </c>
      <c r="H49" s="2506"/>
      <c r="I49" s="1293">
        <f>V49</f>
        <v>65453</v>
      </c>
      <c r="J49" s="2506"/>
      <c r="K49" s="2508">
        <f>F49+H49+J49</f>
        <v>0</v>
      </c>
      <c r="L49" s="2919"/>
      <c r="M49" s="2911"/>
      <c r="N49" s="2911"/>
      <c r="O49" s="2911"/>
      <c r="P49" s="3499" t="str">
        <f>A49</f>
        <v>比较价值（元/平方米）</v>
      </c>
      <c r="Q49" s="3500"/>
      <c r="R49" s="3501">
        <f>IF(F1="售价",ROUND(PRODUCT(R48,AA7:AA47),0),ROUND(PRODUCT(R48,AA7:AA47),1))</f>
        <v>57844</v>
      </c>
      <c r="S49" s="3501"/>
      <c r="T49" s="3501">
        <f>IF(F1="售价",ROUND(PRODUCT(T48,AB7:AB47),0),ROUND(PRODUCT(T48,AB7:AB47),1))</f>
        <v>62266</v>
      </c>
      <c r="U49" s="3501"/>
      <c r="V49" s="3501">
        <f>IF(F1="售价",ROUND(PRODUCT(V48,AC7:AC47),0),ROUND(PRODUCT(V48,AC7:AC47),1))</f>
        <v>65453</v>
      </c>
      <c r="W49" s="3501"/>
      <c r="X49" s="405"/>
      <c r="Y49" s="405"/>
      <c r="Z49" s="405"/>
      <c r="AA49" s="405"/>
      <c r="AB49" s="405"/>
      <c r="AC49" s="586"/>
    </row>
    <row r="50" spans="1:29" ht="15.75" thickBot="1">
      <c r="A50" s="449" t="s">
        <v>2430</v>
      </c>
      <c r="B50" s="450"/>
      <c r="C50" s="1295">
        <f>R50</f>
        <v>61854</v>
      </c>
      <c r="D50" s="1295"/>
      <c r="E50" s="1295"/>
      <c r="F50" s="1295"/>
      <c r="G50" s="1295"/>
      <c r="H50" s="1295"/>
      <c r="I50" s="1295"/>
      <c r="J50" s="451"/>
      <c r="K50" s="724"/>
      <c r="L50" s="2919"/>
      <c r="M50" s="2911"/>
      <c r="N50" s="2911"/>
      <c r="O50" s="2911"/>
      <c r="P50" s="3502" t="str">
        <f>A50</f>
        <v>估价对象XX用房的比较价值（楼面单价，元/平方米）</v>
      </c>
      <c r="Q50" s="3503"/>
      <c r="R50" s="3504">
        <f>IF(F1="售价",ROUND(IF(D49="简单平均",AVERAGE(R49:V49),R49*F49+T49*H49+V49*J49),0),ROUND(IF(D49="简单平均",AVERAGE(R49:V49),R49*F49+T49*H49+V49*J49),1))</f>
        <v>61854</v>
      </c>
      <c r="S50" s="3504"/>
      <c r="T50" s="3504"/>
      <c r="U50" s="3504"/>
      <c r="V50" s="3504"/>
      <c r="W50" s="3504"/>
      <c r="X50" s="2099"/>
      <c r="Y50" s="2099"/>
      <c r="Z50" s="2099"/>
      <c r="AA50" s="2099"/>
      <c r="AB50" s="2099"/>
      <c r="AC50" s="2100"/>
    </row>
    <row r="51" spans="1:29">
      <c r="A51" s="2920"/>
      <c r="B51" s="2920"/>
      <c r="C51" s="2920"/>
      <c r="D51" s="2920"/>
      <c r="E51" s="2920">
        <v>2016</v>
      </c>
      <c r="F51" s="2920"/>
      <c r="G51" s="3273">
        <v>2015</v>
      </c>
      <c r="H51" s="2920"/>
      <c r="I51" s="2920">
        <v>2015</v>
      </c>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v>9</v>
      </c>
      <c r="F52" s="2920"/>
      <c r="G52" s="2920">
        <v>9</v>
      </c>
      <c r="H52" s="2920"/>
      <c r="I52" s="2920">
        <v>8</v>
      </c>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f>IF(E48&lt;E49,E49/E48-1,E48/E49-1)</f>
        <v>3.2928571428571418E-2</v>
      </c>
      <c r="F53" s="457" t="str">
        <f>IF(OR(E53&gt;=0.3,E53&lt;=-0.3),"超过30%","")</f>
        <v/>
      </c>
      <c r="G53" s="456">
        <f>IF(G48&lt;G49,G49/G48-1,G48/G49-1)</f>
        <v>0.10833036667853335</v>
      </c>
      <c r="H53" s="457" t="str">
        <f>IF(OR(G53&gt;=0.3,G53&lt;=-0.3),"超过30%","")</f>
        <v/>
      </c>
      <c r="I53" s="456">
        <f>IF(I48&lt;I49,I49/I48-1,I48/I49-1)</f>
        <v>0.15878832943842514</v>
      </c>
      <c r="J53" s="457" t="str">
        <f>IF(OR(I53&gt;=0.3,I53&lt;=-0.3),"超过30%","")</f>
        <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f>IF(E49&lt;G49,G49/E49-1,E49/G49-1)</f>
        <v>7.6446995366848736E-2</v>
      </c>
      <c r="F54" s="457" t="str">
        <f>IF(OR(E54&gt;=0.2,E54&lt;=-0.2),"超过20%","")</f>
        <v/>
      </c>
      <c r="G54" s="456">
        <f>IF(G49&lt;I49,I49/G49-1,G49/I49-1)</f>
        <v>5.1183631516397377E-2</v>
      </c>
      <c r="H54" s="457" t="str">
        <f>IF(OR(G54&gt;=0.2,G54&lt;=-0.2),"超过20%","")</f>
        <v/>
      </c>
      <c r="I54" s="456">
        <f>IF(I49&lt;E49,E49/I49-1,I49/E49-1)</f>
        <v>0.13154346172463871</v>
      </c>
      <c r="J54" s="457" t="str">
        <f>IF(OR(I54&gt;=0.2,I54&lt;=-0.2),"超过20%","")</f>
        <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f>IF(E48&lt;G48,G48/E48-1,E48/G48-1)</f>
        <v>3.214285714285614E-3</v>
      </c>
      <c r="F55" s="457" t="str">
        <f>IF(OR(E55&gt;=0.3,E55&lt;=-0.3),"超过30%","")</f>
        <v/>
      </c>
      <c r="G55" s="456">
        <f>IF(G48&lt;I48,I48/G48-1,G48/I48-1)</f>
        <v>5.4111783552865944E-3</v>
      </c>
      <c r="H55" s="457" t="str">
        <f>IF(OR(G55&gt;=0.3,G55&lt;=-0.3),"超过30%","")</f>
        <v/>
      </c>
      <c r="I55" s="456">
        <f>IF(I48&lt;E48,E48/I48-1,I48/E48-1)</f>
        <v>8.6428571428571743E-3</v>
      </c>
      <c r="J55" s="457" t="str">
        <f>IF(OR(I55&gt;=0.3,I55&lt;=-0.3),"超过30%","")</f>
        <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2"/>
      <c r="M58" s="1070"/>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6" t="str">
        <f>YEAR(C7)&amp;"-"&amp;MONTH(C7)</f>
        <v>2022-4</v>
      </c>
      <c r="D59" s="1317">
        <f>EDATE(C59,-1)</f>
        <v>44621</v>
      </c>
      <c r="E59" s="1317">
        <f>EDATE(D59,-1)</f>
        <v>44593</v>
      </c>
      <c r="F59" s="1317">
        <f t="shared" ref="F59:O59" si="16">EDATE(E59,-1)</f>
        <v>44562</v>
      </c>
      <c r="G59" s="1317">
        <f t="shared" si="16"/>
        <v>44531</v>
      </c>
      <c r="H59" s="1317">
        <f t="shared" si="16"/>
        <v>44501</v>
      </c>
      <c r="I59" s="1317">
        <f t="shared" si="16"/>
        <v>44470</v>
      </c>
      <c r="J59" s="1317">
        <f t="shared" si="16"/>
        <v>44440</v>
      </c>
      <c r="K59" s="1317">
        <f t="shared" si="16"/>
        <v>44409</v>
      </c>
      <c r="L59" s="1317">
        <f t="shared" si="16"/>
        <v>44378</v>
      </c>
      <c r="M59" s="1317">
        <f t="shared" si="16"/>
        <v>44348</v>
      </c>
      <c r="N59" s="1317">
        <f t="shared" si="16"/>
        <v>44317</v>
      </c>
      <c r="O59" s="1317">
        <f t="shared" si="16"/>
        <v>44287</v>
      </c>
      <c r="P59" s="2954"/>
      <c r="Q59" s="2936"/>
      <c r="R59" s="2936"/>
      <c r="S59" s="2936"/>
      <c r="T59" s="2936"/>
      <c r="U59" s="2936"/>
      <c r="V59" s="2936"/>
      <c r="W59" s="2936"/>
      <c r="X59" s="2936"/>
      <c r="Y59" s="2936"/>
      <c r="Z59" s="2936"/>
      <c r="AA59" s="2936"/>
      <c r="AB59" s="2936"/>
      <c r="AC59" s="2936"/>
    </row>
    <row r="60" spans="1:29" s="113" customFormat="1" ht="15">
      <c r="A60" s="466"/>
      <c r="B60" s="467"/>
      <c r="C60" s="1315">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2348</v>
      </c>
      <c r="B64" s="485" t="s">
        <v>2314</v>
      </c>
      <c r="C64" s="486" t="str">
        <f>C9</f>
        <v>办公</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v>0</v>
      </c>
      <c r="D69" s="506">
        <v>1</v>
      </c>
      <c r="E69" s="506">
        <v>2</v>
      </c>
      <c r="F69" s="506">
        <v>3</v>
      </c>
      <c r="G69" s="506">
        <v>4</v>
      </c>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95</v>
      </c>
      <c r="E78" s="501">
        <f>D78-$K15</f>
        <v>90</v>
      </c>
      <c r="F78" s="501">
        <f>E78-$K15</f>
        <v>85</v>
      </c>
      <c r="G78" s="501">
        <f>F78-$K15</f>
        <v>80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97</v>
      </c>
      <c r="E80" s="501">
        <f>D80-$K17</f>
        <v>94</v>
      </c>
      <c r="F80" s="501">
        <f>E80-$K17</f>
        <v>91</v>
      </c>
      <c r="G80" s="501">
        <f>F80-$K17</f>
        <v>88</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97</v>
      </c>
      <c r="E82" s="501">
        <f>D82-$K19</f>
        <v>94</v>
      </c>
      <c r="F82" s="501">
        <f>E82-$K19</f>
        <v>91</v>
      </c>
      <c r="G82" s="501">
        <f>F82-$K19</f>
        <v>88</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2"/>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98</v>
      </c>
      <c r="E84" s="501">
        <f>D84-$K21</f>
        <v>96</v>
      </c>
      <c r="F84" s="501">
        <f>E84-$K21</f>
        <v>94</v>
      </c>
      <c r="G84" s="501">
        <f>F84-$K21</f>
        <v>92</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98</v>
      </c>
      <c r="E86" s="501">
        <f>D86-$K23</f>
        <v>96</v>
      </c>
      <c r="F86" s="501">
        <f>E86-$K23</f>
        <v>94</v>
      </c>
      <c r="G86" s="501">
        <f>F86-$K23</f>
        <v>92</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3261" t="s">
        <v>3345</v>
      </c>
      <c r="D89" s="3261" t="s">
        <v>3347</v>
      </c>
      <c r="E89" s="3261" t="s">
        <v>3348</v>
      </c>
      <c r="F89" s="2080"/>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1"/>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3259" t="s">
        <v>3350</v>
      </c>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49"/>
      <c r="O102" s="2949"/>
      <c r="P102" s="2957"/>
      <c r="Q102" s="2934"/>
      <c r="R102" s="2920"/>
      <c r="S102" s="2920"/>
      <c r="T102" s="2920"/>
      <c r="U102" s="2920"/>
      <c r="V102" s="2920"/>
      <c r="W102" s="2920"/>
      <c r="X102" s="2920"/>
      <c r="Y102" s="2920"/>
      <c r="Z102" s="2920"/>
      <c r="AA102" s="2920"/>
      <c r="AB102" s="2920"/>
      <c r="AC102" s="2920"/>
    </row>
    <row r="103" spans="1:29" ht="29.25" thickTop="1">
      <c r="A103" s="491"/>
      <c r="B103" s="495" t="s">
        <v>2373</v>
      </c>
      <c r="C103" s="535" t="str">
        <f>C104&amp;"(含)"&amp;"-"&amp;D104</f>
        <v>0(含)-500</v>
      </c>
      <c r="D103" s="535" t="str">
        <f t="shared" ref="D103:L103" si="23">D104&amp;"(含)"&amp;"-"&amp;E104</f>
        <v>500(含)-1000</v>
      </c>
      <c r="E103" s="535" t="str">
        <f t="shared" si="23"/>
        <v>1000(含)-1500</v>
      </c>
      <c r="F103" s="535" t="str">
        <f t="shared" si="23"/>
        <v>1500(含)-2000</v>
      </c>
      <c r="G103" s="535" t="str">
        <f t="shared" si="23"/>
        <v>2000(含)-2500</v>
      </c>
      <c r="H103" s="535" t="str">
        <f t="shared" si="23"/>
        <v>2500(含)-3000</v>
      </c>
      <c r="I103" s="535" t="str">
        <f t="shared" si="23"/>
        <v>3000(含)-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v>0</v>
      </c>
      <c r="D104" s="552">
        <v>500</v>
      </c>
      <c r="E104" s="552">
        <v>1000</v>
      </c>
      <c r="F104" s="552">
        <v>1500</v>
      </c>
      <c r="G104" s="552">
        <v>2000</v>
      </c>
      <c r="H104" s="552">
        <v>2500</v>
      </c>
      <c r="I104" s="552">
        <v>3000</v>
      </c>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v>96</v>
      </c>
      <c r="D105" s="493">
        <v>98</v>
      </c>
      <c r="E105" s="493">
        <v>100</v>
      </c>
      <c r="F105" s="493">
        <v>98</v>
      </c>
      <c r="G105" s="493">
        <v>96</v>
      </c>
      <c r="H105" s="493">
        <v>94</v>
      </c>
      <c r="I105" s="493">
        <v>92</v>
      </c>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3261" t="s">
        <v>3352</v>
      </c>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3261" t="s">
        <v>3354</v>
      </c>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103</v>
      </c>
      <c r="E112" s="501">
        <f t="shared" ref="E112:M112" si="26">D112+$K37</f>
        <v>106</v>
      </c>
      <c r="F112" s="501">
        <f t="shared" si="26"/>
        <v>109</v>
      </c>
      <c r="G112" s="501">
        <f t="shared" si="26"/>
        <v>112</v>
      </c>
      <c r="H112" s="501">
        <f t="shared" si="26"/>
        <v>115</v>
      </c>
      <c r="I112" s="501">
        <f t="shared" si="26"/>
        <v>118</v>
      </c>
      <c r="J112" s="501">
        <f t="shared" si="26"/>
        <v>121</v>
      </c>
      <c r="K112" s="501">
        <f t="shared" si="26"/>
        <v>124</v>
      </c>
      <c r="L112" s="501">
        <f t="shared" si="26"/>
        <v>127</v>
      </c>
      <c r="M112" s="501">
        <f t="shared" si="26"/>
        <v>130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3261" t="s">
        <v>3356</v>
      </c>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3261" t="s">
        <v>3358</v>
      </c>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3261" t="s">
        <v>3359</v>
      </c>
      <c r="D117" s="3261" t="s">
        <v>3360</v>
      </c>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1"/>
      <c r="M119" s="2122"/>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3261" t="s">
        <v>3354</v>
      </c>
      <c r="D123" s="3261" t="s">
        <v>3361</v>
      </c>
      <c r="E123" s="3261" t="s">
        <v>3363</v>
      </c>
      <c r="F123" s="3262" t="s">
        <v>3365</v>
      </c>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1"/>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06" priority="20" stopIfTrue="1" operator="containsText" text="超过">
      <formula>NOT(ISERROR(SEARCH("超过",F53)))</formula>
    </cfRule>
  </conditionalFormatting>
  <conditionalFormatting sqref="H55">
    <cfRule type="containsText" dxfId="205" priority="19" stopIfTrue="1" operator="containsText" text="超过">
      <formula>NOT(ISERROR(SEARCH("超过",H55)))</formula>
    </cfRule>
  </conditionalFormatting>
  <conditionalFormatting sqref="F55">
    <cfRule type="containsText" dxfId="204" priority="18" stopIfTrue="1" operator="containsText" text="超过">
      <formula>NOT(ISERROR(SEARCH("超过",F55)))</formula>
    </cfRule>
  </conditionalFormatting>
  <conditionalFormatting sqref="F54 H54">
    <cfRule type="containsText" dxfId="203" priority="17" stopIfTrue="1" operator="containsText" text="超过">
      <formula>NOT(ISERROR(SEARCH("超过",F54)))</formula>
    </cfRule>
  </conditionalFormatting>
  <conditionalFormatting sqref="E53">
    <cfRule type="expression" dxfId="202" priority="16" stopIfTrue="1">
      <formula>$F$53="超过30%"</formula>
    </cfRule>
  </conditionalFormatting>
  <conditionalFormatting sqref="E54">
    <cfRule type="expression" dxfId="201" priority="15" stopIfTrue="1">
      <formula>$F$54="超过20%"</formula>
    </cfRule>
  </conditionalFormatting>
  <conditionalFormatting sqref="E55">
    <cfRule type="expression" dxfId="200" priority="14" stopIfTrue="1">
      <formula>$F$55="超过30%"</formula>
    </cfRule>
  </conditionalFormatting>
  <conditionalFormatting sqref="G55">
    <cfRule type="expression" dxfId="199" priority="13" stopIfTrue="1">
      <formula>$H$55="超过30%"</formula>
    </cfRule>
  </conditionalFormatting>
  <conditionalFormatting sqref="G53">
    <cfRule type="expression" dxfId="198" priority="12" stopIfTrue="1">
      <formula>$H$53="超过30%"</formula>
    </cfRule>
  </conditionalFormatting>
  <conditionalFormatting sqref="G54">
    <cfRule type="expression" dxfId="197" priority="11" stopIfTrue="1">
      <formula>$H$54="超过20%"</formula>
    </cfRule>
  </conditionalFormatting>
  <conditionalFormatting sqref="J53">
    <cfRule type="containsText" dxfId="196" priority="10" stopIfTrue="1" operator="containsText" text="超过">
      <formula>NOT(ISERROR(SEARCH("超过",J53)))</formula>
    </cfRule>
  </conditionalFormatting>
  <conditionalFormatting sqref="J55">
    <cfRule type="containsText" dxfId="195" priority="9" stopIfTrue="1" operator="containsText" text="超过">
      <formula>NOT(ISERROR(SEARCH("超过",J55)))</formula>
    </cfRule>
  </conditionalFormatting>
  <conditionalFormatting sqref="J54">
    <cfRule type="containsText" dxfId="194" priority="8" stopIfTrue="1" operator="containsText" text="超过">
      <formula>NOT(ISERROR(SEARCH("超过",J54)))</formula>
    </cfRule>
  </conditionalFormatting>
  <conditionalFormatting sqref="I53">
    <cfRule type="expression" dxfId="193" priority="7" stopIfTrue="1">
      <formula>$J$53="超过30%"</formula>
    </cfRule>
  </conditionalFormatting>
  <conditionalFormatting sqref="I54">
    <cfRule type="expression" dxfId="192" priority="6" stopIfTrue="1">
      <formula>$J$53+$J$54="超过20%"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S524"/>
  <sheetViews>
    <sheetView zoomScale="90" zoomScaleNormal="90" workbookViewId="0">
      <pane ySplit="24" topLeftCell="A25" activePane="bottomLeft" state="frozen"/>
      <selection activeCell="F7" sqref="F7:F46"/>
      <selection pane="bottomLeft" activeCell="R24" sqref="R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51" t="s">
        <v>2764</v>
      </c>
      <c r="D1" s="3552"/>
      <c r="E1" s="3552"/>
      <c r="F1" s="3552"/>
      <c r="G1" s="3552"/>
      <c r="H1" s="3552"/>
      <c r="I1" s="3552"/>
      <c r="J1" s="3552"/>
      <c r="K1" s="3552"/>
      <c r="L1" s="3552"/>
      <c r="M1" s="3552"/>
      <c r="N1" s="3552"/>
      <c r="O1" s="3552"/>
      <c r="P1" s="3552"/>
      <c r="Q1" s="3552"/>
      <c r="R1" s="3552"/>
      <c r="S1" s="3553"/>
      <c r="T1" s="1113" t="s">
        <v>2637</v>
      </c>
    </row>
    <row r="2" spans="1:45" s="663" customFormat="1" ht="38.25">
      <c r="A2" s="1114"/>
      <c r="B2" s="659" t="s">
        <v>1691</v>
      </c>
      <c r="C2" s="660" t="str">
        <f t="shared" ref="C2:R2" si="0">C3&amp;"(含)"&amp;"-"&amp;D3</f>
        <v>0(含)-500</v>
      </c>
      <c r="D2" s="661" t="str">
        <f t="shared" si="0"/>
        <v>500(含)-1000</v>
      </c>
      <c r="E2" s="661" t="str">
        <f t="shared" si="0"/>
        <v>1000(含)-1500</v>
      </c>
      <c r="F2" s="661" t="str">
        <f t="shared" si="0"/>
        <v>1500(含)-2000</v>
      </c>
      <c r="G2" s="661" t="str">
        <f t="shared" si="0"/>
        <v>2000(含)-2500</v>
      </c>
      <c r="H2" s="661" t="str">
        <f t="shared" si="0"/>
        <v>2500(含)-3000</v>
      </c>
      <c r="I2" s="661" t="str">
        <f t="shared" si="0"/>
        <v>3000(含)-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f>'比较法-办公'!C104</f>
        <v>0</v>
      </c>
      <c r="D3" s="665">
        <f>'比较法-办公'!D104</f>
        <v>500</v>
      </c>
      <c r="E3" s="665">
        <f>'比较法-办公'!E104</f>
        <v>1000</v>
      </c>
      <c r="F3" s="665">
        <f>'比较法-办公'!F104</f>
        <v>1500</v>
      </c>
      <c r="G3" s="665">
        <f>'比较法-办公'!G104</f>
        <v>2000</v>
      </c>
      <c r="H3" s="665">
        <f>'比较法-办公'!H104</f>
        <v>2500</v>
      </c>
      <c r="I3" s="665">
        <f>'比较法-办公'!I104</f>
        <v>3000</v>
      </c>
      <c r="J3" s="665"/>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f>'比较法-办公'!C105</f>
        <v>96</v>
      </c>
      <c r="D4" s="1119">
        <f>'比较法-办公'!D105</f>
        <v>98</v>
      </c>
      <c r="E4" s="1119">
        <f>'比较法-办公'!E105</f>
        <v>100</v>
      </c>
      <c r="F4" s="1119">
        <f>'比较法-办公'!F105</f>
        <v>98</v>
      </c>
      <c r="G4" s="1119">
        <f>'比较法-办公'!G105</f>
        <v>96</v>
      </c>
      <c r="H4" s="1119">
        <f>'比较法-办公'!H105</f>
        <v>94</v>
      </c>
      <c r="I4" s="1119">
        <f>'比较法-办公'!I105</f>
        <v>92</v>
      </c>
      <c r="J4" s="1447"/>
      <c r="K4" s="1447"/>
      <c r="L4" s="1447"/>
      <c r="M4" s="1448"/>
      <c r="N4" s="1448"/>
      <c r="O4" s="1447"/>
      <c r="P4" s="1447"/>
      <c r="Q4" s="1447"/>
      <c r="R4" s="1447"/>
      <c r="S4" s="1449"/>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24"/>
      <c r="B5" s="3281" t="s">
        <v>3382</v>
      </c>
      <c r="C5" s="1125" t="str">
        <f>'比较法-办公'!C123</f>
        <v>精装修</v>
      </c>
      <c r="D5" s="1125" t="str">
        <f>'比较法-办公'!D123</f>
        <v>普通装修</v>
      </c>
      <c r="E5" s="1125" t="str">
        <f>'比较法-办公'!E123</f>
        <v>简单装修</v>
      </c>
      <c r="F5" s="1125" t="str">
        <f>'比较法-办公'!F123</f>
        <v>毛坯</v>
      </c>
      <c r="G5" s="1125"/>
      <c r="H5" s="1450"/>
      <c r="I5" s="1450"/>
      <c r="J5" s="1450"/>
      <c r="K5" s="1450"/>
      <c r="L5" s="1451"/>
      <c r="M5" s="1452"/>
      <c r="N5" s="1452"/>
      <c r="O5" s="1450"/>
      <c r="P5" s="1450"/>
      <c r="Q5" s="1450"/>
      <c r="R5" s="1450"/>
      <c r="S5" s="1453"/>
      <c r="T5" s="1128">
        <f>'比较法-办公'!K43</f>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98</v>
      </c>
      <c r="E6" s="1032">
        <f t="shared" ref="E6:S6" si="1">D6-$T5</f>
        <v>96</v>
      </c>
      <c r="F6" s="1454">
        <f t="shared" si="1"/>
        <v>94</v>
      </c>
      <c r="G6" s="1454">
        <f t="shared" si="1"/>
        <v>92</v>
      </c>
      <c r="H6" s="1454">
        <f t="shared" si="1"/>
        <v>90</v>
      </c>
      <c r="I6" s="1454">
        <f t="shared" si="1"/>
        <v>88</v>
      </c>
      <c r="J6" s="1454">
        <f t="shared" si="1"/>
        <v>86</v>
      </c>
      <c r="K6" s="1454">
        <f t="shared" si="1"/>
        <v>84</v>
      </c>
      <c r="L6" s="1454">
        <f t="shared" si="1"/>
        <v>82</v>
      </c>
      <c r="M6" s="1454">
        <f t="shared" si="1"/>
        <v>80</v>
      </c>
      <c r="N6" s="1454">
        <f t="shared" si="1"/>
        <v>78</v>
      </c>
      <c r="O6" s="1454">
        <f t="shared" si="1"/>
        <v>76</v>
      </c>
      <c r="P6" s="1454">
        <f t="shared" si="1"/>
        <v>74</v>
      </c>
      <c r="Q6" s="1454">
        <f t="shared" si="1"/>
        <v>72</v>
      </c>
      <c r="R6" s="1454">
        <f t="shared" si="1"/>
        <v>70</v>
      </c>
      <c r="S6" s="1454">
        <f t="shared" si="1"/>
        <v>68</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5" t="s">
        <v>2768</v>
      </c>
      <c r="C7" s="1034"/>
      <c r="D7" s="1028"/>
      <c r="E7" s="1028"/>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2">D8-$T7</f>
        <v>100</v>
      </c>
      <c r="F8" s="1454">
        <f t="shared" si="2"/>
        <v>100</v>
      </c>
      <c r="G8" s="1454">
        <f t="shared" si="2"/>
        <v>100</v>
      </c>
      <c r="H8" s="1454">
        <f t="shared" si="2"/>
        <v>100</v>
      </c>
      <c r="I8" s="1454">
        <f t="shared" si="2"/>
        <v>100</v>
      </c>
      <c r="J8" s="1454">
        <f t="shared" si="2"/>
        <v>100</v>
      </c>
      <c r="K8" s="1454">
        <f t="shared" si="2"/>
        <v>100</v>
      </c>
      <c r="L8" s="1454">
        <f t="shared" si="2"/>
        <v>100</v>
      </c>
      <c r="M8" s="1454">
        <f t="shared" si="2"/>
        <v>100</v>
      </c>
      <c r="N8" s="1454">
        <f t="shared" si="2"/>
        <v>100</v>
      </c>
      <c r="O8" s="1454">
        <f t="shared" si="2"/>
        <v>100</v>
      </c>
      <c r="P8" s="1454">
        <f t="shared" si="2"/>
        <v>100</v>
      </c>
      <c r="Q8" s="1454">
        <f t="shared" si="2"/>
        <v>100</v>
      </c>
      <c r="R8" s="1454">
        <f t="shared" si="2"/>
        <v>100</v>
      </c>
      <c r="S8" s="1454">
        <f t="shared" si="2"/>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5" t="s">
        <v>2769</v>
      </c>
      <c r="C9" s="1034"/>
      <c r="D9" s="1028"/>
      <c r="E9" s="1028"/>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3">D10-$T9</f>
        <v>100</v>
      </c>
      <c r="F10" s="1464">
        <f t="shared" si="3"/>
        <v>100</v>
      </c>
      <c r="G10" s="1464">
        <f t="shared" si="3"/>
        <v>100</v>
      </c>
      <c r="H10" s="1464">
        <f t="shared" si="3"/>
        <v>100</v>
      </c>
      <c r="I10" s="1464">
        <f t="shared" si="3"/>
        <v>100</v>
      </c>
      <c r="J10" s="1464">
        <f t="shared" si="3"/>
        <v>100</v>
      </c>
      <c r="K10" s="1464">
        <f t="shared" si="3"/>
        <v>100</v>
      </c>
      <c r="L10" s="1464">
        <f t="shared" si="3"/>
        <v>100</v>
      </c>
      <c r="M10" s="1464">
        <f t="shared" si="3"/>
        <v>100</v>
      </c>
      <c r="N10" s="1464">
        <f t="shared" si="3"/>
        <v>100</v>
      </c>
      <c r="O10" s="1464">
        <f t="shared" si="3"/>
        <v>100</v>
      </c>
      <c r="P10" s="1464">
        <f t="shared" si="3"/>
        <v>100</v>
      </c>
      <c r="Q10" s="1464">
        <f t="shared" si="3"/>
        <v>100</v>
      </c>
      <c r="R10" s="1464">
        <f t="shared" si="3"/>
        <v>100</v>
      </c>
      <c r="S10" s="1464">
        <f t="shared" si="3"/>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4"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4"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4"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2773</v>
      </c>
      <c r="B17" s="2332" t="s">
        <v>2774</v>
      </c>
      <c r="C17" s="3279" t="s">
        <v>3162</v>
      </c>
      <c r="D17" s="3280" t="s">
        <v>3161</v>
      </c>
      <c r="E17" s="3280" t="s">
        <v>3160</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f>'比较法-办公'!C90</f>
        <v>100</v>
      </c>
      <c r="D18" s="1153">
        <f>'比较法-办公'!D90</f>
        <v>97</v>
      </c>
      <c r="E18" s="1153">
        <f>'比较法-办公'!E90</f>
        <v>94</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3" t="s">
        <v>2775</v>
      </c>
      <c r="E19" s="1492"/>
      <c r="F19" s="1492"/>
      <c r="G19" s="1492"/>
      <c r="H19" s="1189"/>
      <c r="I19" s="164"/>
      <c r="J19" s="164"/>
      <c r="K19" s="164"/>
      <c r="L19" s="164"/>
      <c r="M19" s="164"/>
      <c r="N19" s="164"/>
      <c r="O19" s="164"/>
      <c r="P19" s="164"/>
      <c r="Q19" s="164"/>
      <c r="R19" s="727"/>
      <c r="S19" s="134"/>
    </row>
    <row r="20" spans="1:45" ht="16.5" thickBot="1">
      <c r="A20" s="671" t="s">
        <v>2776</v>
      </c>
      <c r="B20" s="300">
        <f>IF(D20="——",S22,S22-F20)</f>
        <v>360969</v>
      </c>
      <c r="C20" s="164"/>
      <c r="D20" s="2334" t="s">
        <v>70</v>
      </c>
      <c r="E20" s="1493"/>
      <c r="F20" s="1113" t="e">
        <f ca="1">SUMIF(INDIRECT("'"&amp;H20&amp;"'"&amp;"!A:A"),"承租人权益价值",INDIRECT("'"&amp;H20&amp;"'"&amp;"!c:c"))</f>
        <v>#REF!</v>
      </c>
      <c r="G20" s="1113" t="s">
        <v>2777</v>
      </c>
      <c r="H20" s="2335"/>
      <c r="I20" s="164"/>
      <c r="J20" s="164"/>
      <c r="K20" s="164"/>
      <c r="L20" s="164"/>
      <c r="M20" s="164"/>
      <c r="N20" s="164"/>
      <c r="O20" s="164"/>
      <c r="P20" s="164"/>
      <c r="Q20" s="164"/>
      <c r="R20" s="727"/>
      <c r="S20" s="134"/>
    </row>
    <row r="21" spans="1:45" ht="15.75">
      <c r="A21" s="671" t="s">
        <v>2778</v>
      </c>
      <c r="B21" s="300">
        <f>ROUND(B20*10000/B22,0)</f>
        <v>63864</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56521.429999999978</v>
      </c>
      <c r="C22" s="3554" t="s">
        <v>33</v>
      </c>
      <c r="D22" s="3555"/>
      <c r="E22" s="3555"/>
      <c r="F22" s="3555"/>
      <c r="G22" s="3555"/>
      <c r="H22" s="3555"/>
      <c r="I22" s="3555"/>
      <c r="J22" s="3555"/>
      <c r="K22" s="3555"/>
      <c r="L22" s="3555"/>
      <c r="M22" s="3555"/>
      <c r="N22" s="3555"/>
      <c r="O22" s="3555"/>
      <c r="P22" s="3555"/>
      <c r="Q22" s="3556"/>
      <c r="R22" s="672">
        <f>ROUND(S22*10000/B22,0)</f>
        <v>63864</v>
      </c>
      <c r="S22" s="24">
        <f>SUM(S24:S10000)</f>
        <v>360969</v>
      </c>
    </row>
    <row r="23" spans="1:45" s="12" customFormat="1" ht="24">
      <c r="A23" s="3275" t="s">
        <v>2780</v>
      </c>
      <c r="B23" s="3275" t="s">
        <v>2781</v>
      </c>
      <c r="C23" s="3275" t="s">
        <v>2782</v>
      </c>
      <c r="D23" s="3275" t="str">
        <f>B5</f>
        <v>内部装修</v>
      </c>
      <c r="E23" s="3275" t="s">
        <v>2782</v>
      </c>
      <c r="F23" s="3275" t="str">
        <f>B7</f>
        <v>修正项3</v>
      </c>
      <c r="G23" s="3275" t="s">
        <v>2782</v>
      </c>
      <c r="H23" s="3275" t="str">
        <f>B9</f>
        <v>修正项4</v>
      </c>
      <c r="I23" s="3275" t="s">
        <v>2782</v>
      </c>
      <c r="J23" s="3275" t="str">
        <f>B11</f>
        <v>修正项5</v>
      </c>
      <c r="K23" s="3275" t="s">
        <v>2782</v>
      </c>
      <c r="L23" s="3275" t="str">
        <f>B13</f>
        <v>修正项6</v>
      </c>
      <c r="M23" s="3275" t="s">
        <v>2782</v>
      </c>
      <c r="N23" s="3275" t="str">
        <f>B15</f>
        <v>修正项7</v>
      </c>
      <c r="O23" s="3275" t="s">
        <v>2782</v>
      </c>
      <c r="P23" s="3275" t="str">
        <f>B17</f>
        <v>楼层</v>
      </c>
      <c r="Q23" s="3275" t="s">
        <v>2782</v>
      </c>
      <c r="R23" s="3276" t="s">
        <v>2783</v>
      </c>
      <c r="S23" s="3275"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信息!A29</f>
        <v>1号楼301</v>
      </c>
      <c r="B24" s="674">
        <f>信息!B29</f>
        <v>1714.22</v>
      </c>
      <c r="C24" s="3007">
        <v>1</v>
      </c>
      <c r="D24" s="3008" t="s">
        <v>3364</v>
      </c>
      <c r="E24" s="3007">
        <v>1</v>
      </c>
      <c r="F24" s="3008"/>
      <c r="G24" s="3007">
        <v>1</v>
      </c>
      <c r="H24" s="3008"/>
      <c r="I24" s="3007">
        <v>1</v>
      </c>
      <c r="J24" s="3008"/>
      <c r="K24" s="3007">
        <v>1</v>
      </c>
      <c r="L24" s="3008"/>
      <c r="M24" s="3007">
        <v>1</v>
      </c>
      <c r="N24" s="3008"/>
      <c r="O24" s="3007">
        <v>1</v>
      </c>
      <c r="P24" s="3008" t="s">
        <v>3381</v>
      </c>
      <c r="Q24" s="3007">
        <v>1</v>
      </c>
      <c r="R24" s="677">
        <f>'比较法-办公'!C49</f>
        <v>61854</v>
      </c>
      <c r="S24" s="675">
        <f t="shared" ref="S24:S87" si="5">ROUND(R24*B24/10000,0)</f>
        <v>10603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信息!A30</f>
        <v>1号楼401</v>
      </c>
      <c r="B25" s="674">
        <f>信息!B30</f>
        <v>1714.22</v>
      </c>
      <c r="C25" s="24">
        <f>IF(B25="",1,(LOOKUP(B25,$3:$3,$4:$4)-LOOKUP($B$24,$3:$3,$4:$4)+100)/100)</f>
        <v>1</v>
      </c>
      <c r="D25" s="3008" t="s">
        <v>3364</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3381</v>
      </c>
      <c r="Q25" s="24">
        <f>(SUMIF($17:$17,P25,$18:$18)-SUMIF($17:$17,$P$24,$18:$18)+100)/100</f>
        <v>1</v>
      </c>
      <c r="R25" s="672">
        <f>IF(B25="",0,ROUND($R$24*C25*E25*G25*I25*K25*M25*O25*Q25,0))</f>
        <v>61854</v>
      </c>
      <c r="S25" s="322">
        <f t="shared" si="5"/>
        <v>10603</v>
      </c>
    </row>
    <row r="26" spans="1:45">
      <c r="A26" s="674" t="str">
        <f>信息!A31</f>
        <v>1号楼501</v>
      </c>
      <c r="B26" s="674">
        <f>信息!B31</f>
        <v>1714.22</v>
      </c>
      <c r="C26" s="24">
        <f t="shared" ref="C26:C89" si="6">IF(B26="",1,(LOOKUP(B26,$3:$3,$4:$4)-LOOKUP($B$24,$3:$3,$4:$4)+100)/100)</f>
        <v>1</v>
      </c>
      <c r="D26" s="3008" t="s">
        <v>3364</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t="s">
        <v>3381</v>
      </c>
      <c r="Q26" s="24">
        <f t="shared" ref="Q26:Q89" si="13">(SUMIF($17:$17,P26,$18:$18)-SUMIF($17:$17,$P$24,$18:$18)+100)/100</f>
        <v>1</v>
      </c>
      <c r="R26" s="672">
        <f t="shared" ref="R26:R89" si="14">IF(B26="",0,ROUND($R$24*C26*E26*G26*I26*K26*M26*O26*Q26,0))</f>
        <v>61854</v>
      </c>
      <c r="S26" s="322">
        <f t="shared" si="5"/>
        <v>10603</v>
      </c>
    </row>
    <row r="27" spans="1:45">
      <c r="A27" s="674" t="str">
        <f>信息!A32</f>
        <v>1号楼601</v>
      </c>
      <c r="B27" s="674">
        <f>信息!B32</f>
        <v>1714.22</v>
      </c>
      <c r="C27" s="24">
        <f t="shared" si="6"/>
        <v>1</v>
      </c>
      <c r="D27" s="3008" t="s">
        <v>3364</v>
      </c>
      <c r="E27" s="24">
        <f t="shared" si="7"/>
        <v>1</v>
      </c>
      <c r="F27" s="676"/>
      <c r="G27" s="24">
        <f t="shared" si="8"/>
        <v>1</v>
      </c>
      <c r="H27" s="676"/>
      <c r="I27" s="24">
        <f t="shared" si="9"/>
        <v>1</v>
      </c>
      <c r="J27" s="676"/>
      <c r="K27" s="24">
        <f t="shared" si="10"/>
        <v>1</v>
      </c>
      <c r="L27" s="676"/>
      <c r="M27" s="24">
        <f t="shared" si="11"/>
        <v>1</v>
      </c>
      <c r="N27" s="676"/>
      <c r="O27" s="24">
        <f t="shared" si="12"/>
        <v>1</v>
      </c>
      <c r="P27" s="676" t="s">
        <v>3381</v>
      </c>
      <c r="Q27" s="24">
        <f t="shared" si="13"/>
        <v>1</v>
      </c>
      <c r="R27" s="672">
        <f t="shared" si="14"/>
        <v>61854</v>
      </c>
      <c r="S27" s="322">
        <f t="shared" si="5"/>
        <v>10603</v>
      </c>
    </row>
    <row r="28" spans="1:45">
      <c r="A28" s="674" t="str">
        <f>信息!A33</f>
        <v>1号楼701</v>
      </c>
      <c r="B28" s="674">
        <f>信息!B33</f>
        <v>1714.22</v>
      </c>
      <c r="C28" s="24">
        <f t="shared" si="6"/>
        <v>1</v>
      </c>
      <c r="D28" s="3008" t="s">
        <v>3364</v>
      </c>
      <c r="E28" s="24">
        <f t="shared" si="7"/>
        <v>1</v>
      </c>
      <c r="F28" s="676"/>
      <c r="G28" s="24">
        <f t="shared" si="8"/>
        <v>1</v>
      </c>
      <c r="H28" s="676"/>
      <c r="I28" s="24">
        <f t="shared" si="9"/>
        <v>1</v>
      </c>
      <c r="J28" s="676"/>
      <c r="K28" s="24">
        <f t="shared" si="10"/>
        <v>1</v>
      </c>
      <c r="L28" s="676"/>
      <c r="M28" s="24">
        <f t="shared" si="11"/>
        <v>1</v>
      </c>
      <c r="N28" s="676"/>
      <c r="O28" s="24">
        <f t="shared" si="12"/>
        <v>1</v>
      </c>
      <c r="P28" s="676" t="s">
        <v>3381</v>
      </c>
      <c r="Q28" s="24">
        <f t="shared" si="13"/>
        <v>1</v>
      </c>
      <c r="R28" s="672">
        <f t="shared" si="14"/>
        <v>61854</v>
      </c>
      <c r="S28" s="322">
        <f t="shared" si="5"/>
        <v>10603</v>
      </c>
    </row>
    <row r="29" spans="1:45">
      <c r="A29" s="674" t="str">
        <f>信息!A34</f>
        <v>1号楼801</v>
      </c>
      <c r="B29" s="674">
        <f>信息!B34</f>
        <v>1714.22</v>
      </c>
      <c r="C29" s="24">
        <f t="shared" si="6"/>
        <v>1</v>
      </c>
      <c r="D29" s="3008" t="s">
        <v>3364</v>
      </c>
      <c r="E29" s="24">
        <f t="shared" si="7"/>
        <v>1</v>
      </c>
      <c r="F29" s="676"/>
      <c r="G29" s="24">
        <f t="shared" si="8"/>
        <v>1</v>
      </c>
      <c r="H29" s="676"/>
      <c r="I29" s="24">
        <f t="shared" si="9"/>
        <v>1</v>
      </c>
      <c r="J29" s="676"/>
      <c r="K29" s="24">
        <f t="shared" si="10"/>
        <v>1</v>
      </c>
      <c r="L29" s="676"/>
      <c r="M29" s="24">
        <f t="shared" si="11"/>
        <v>1</v>
      </c>
      <c r="N29" s="676"/>
      <c r="O29" s="24">
        <f t="shared" si="12"/>
        <v>1</v>
      </c>
      <c r="P29" s="676" t="s">
        <v>3346</v>
      </c>
      <c r="Q29" s="24">
        <f t="shared" si="13"/>
        <v>1.03</v>
      </c>
      <c r="R29" s="672">
        <f t="shared" si="14"/>
        <v>63710</v>
      </c>
      <c r="S29" s="322">
        <f t="shared" si="5"/>
        <v>10921</v>
      </c>
    </row>
    <row r="30" spans="1:45">
      <c r="A30" s="674" t="str">
        <f>信息!A35</f>
        <v>1号楼901</v>
      </c>
      <c r="B30" s="674">
        <f>信息!B35</f>
        <v>1714.22</v>
      </c>
      <c r="C30" s="24">
        <f t="shared" si="6"/>
        <v>1</v>
      </c>
      <c r="D30" s="3008" t="s">
        <v>3364</v>
      </c>
      <c r="E30" s="24">
        <f t="shared" si="7"/>
        <v>1</v>
      </c>
      <c r="F30" s="676"/>
      <c r="G30" s="24">
        <f t="shared" si="8"/>
        <v>1</v>
      </c>
      <c r="H30" s="676"/>
      <c r="I30" s="24">
        <f t="shared" si="9"/>
        <v>1</v>
      </c>
      <c r="J30" s="676"/>
      <c r="K30" s="24">
        <f t="shared" si="10"/>
        <v>1</v>
      </c>
      <c r="L30" s="676"/>
      <c r="M30" s="24">
        <f t="shared" si="11"/>
        <v>1</v>
      </c>
      <c r="N30" s="676"/>
      <c r="O30" s="24">
        <f t="shared" si="12"/>
        <v>1</v>
      </c>
      <c r="P30" s="676" t="s">
        <v>3346</v>
      </c>
      <c r="Q30" s="24">
        <f t="shared" si="13"/>
        <v>1.03</v>
      </c>
      <c r="R30" s="672">
        <f t="shared" si="14"/>
        <v>63710</v>
      </c>
      <c r="S30" s="322">
        <f t="shared" si="5"/>
        <v>10921</v>
      </c>
    </row>
    <row r="31" spans="1:45">
      <c r="A31" s="155" t="str">
        <f>信息!A42</f>
        <v>1号楼1601</v>
      </c>
      <c r="B31" s="57">
        <f>信息!B42</f>
        <v>1714.22</v>
      </c>
      <c r="C31" s="24">
        <f t="shared" si="6"/>
        <v>1</v>
      </c>
      <c r="D31" s="3008" t="s">
        <v>3364</v>
      </c>
      <c r="E31" s="24">
        <f t="shared" si="7"/>
        <v>1</v>
      </c>
      <c r="F31" s="676"/>
      <c r="G31" s="24">
        <f t="shared" si="8"/>
        <v>1</v>
      </c>
      <c r="H31" s="676"/>
      <c r="I31" s="24">
        <f t="shared" si="9"/>
        <v>1</v>
      </c>
      <c r="J31" s="676"/>
      <c r="K31" s="24">
        <f t="shared" si="10"/>
        <v>1</v>
      </c>
      <c r="L31" s="676"/>
      <c r="M31" s="24">
        <f t="shared" si="11"/>
        <v>1</v>
      </c>
      <c r="N31" s="676"/>
      <c r="O31" s="24">
        <f t="shared" si="12"/>
        <v>1</v>
      </c>
      <c r="P31" s="676" t="s">
        <v>3380</v>
      </c>
      <c r="Q31" s="24">
        <f t="shared" si="13"/>
        <v>1.06</v>
      </c>
      <c r="R31" s="672">
        <f t="shared" si="14"/>
        <v>65565</v>
      </c>
      <c r="S31" s="322">
        <f t="shared" si="5"/>
        <v>11239</v>
      </c>
    </row>
    <row r="32" spans="1:45">
      <c r="A32" s="155" t="str">
        <f>信息!A43</f>
        <v>1号楼1701</v>
      </c>
      <c r="B32" s="57">
        <f>信息!B43</f>
        <v>861.97</v>
      </c>
      <c r="C32" s="24">
        <f t="shared" si="6"/>
        <v>1</v>
      </c>
      <c r="D32" s="3008" t="s">
        <v>3364</v>
      </c>
      <c r="E32" s="24">
        <f t="shared" si="7"/>
        <v>1</v>
      </c>
      <c r="F32" s="676"/>
      <c r="G32" s="24">
        <f t="shared" si="8"/>
        <v>1</v>
      </c>
      <c r="H32" s="676"/>
      <c r="I32" s="24">
        <f t="shared" si="9"/>
        <v>1</v>
      </c>
      <c r="J32" s="676"/>
      <c r="K32" s="24">
        <f t="shared" si="10"/>
        <v>1</v>
      </c>
      <c r="L32" s="676"/>
      <c r="M32" s="24">
        <f t="shared" si="11"/>
        <v>1</v>
      </c>
      <c r="N32" s="676"/>
      <c r="O32" s="24">
        <f t="shared" si="12"/>
        <v>1</v>
      </c>
      <c r="P32" s="676" t="s">
        <v>3380</v>
      </c>
      <c r="Q32" s="24">
        <f t="shared" si="13"/>
        <v>1.06</v>
      </c>
      <c r="R32" s="672">
        <f t="shared" si="14"/>
        <v>65565</v>
      </c>
      <c r="S32" s="322">
        <f t="shared" si="5"/>
        <v>5652</v>
      </c>
    </row>
    <row r="33" spans="1:19">
      <c r="A33" s="155" t="str">
        <f>信息!A44</f>
        <v>1号楼1801</v>
      </c>
      <c r="B33" s="57">
        <f>信息!B44</f>
        <v>1212.99</v>
      </c>
      <c r="C33" s="24">
        <f t="shared" si="6"/>
        <v>1.02</v>
      </c>
      <c r="D33" s="3008" t="s">
        <v>3364</v>
      </c>
      <c r="E33" s="24">
        <f t="shared" si="7"/>
        <v>1</v>
      </c>
      <c r="F33" s="676"/>
      <c r="G33" s="24">
        <f t="shared" si="8"/>
        <v>1</v>
      </c>
      <c r="H33" s="676"/>
      <c r="I33" s="24">
        <f t="shared" si="9"/>
        <v>1</v>
      </c>
      <c r="J33" s="676"/>
      <c r="K33" s="24">
        <f t="shared" si="10"/>
        <v>1</v>
      </c>
      <c r="L33" s="676"/>
      <c r="M33" s="24">
        <f t="shared" si="11"/>
        <v>1</v>
      </c>
      <c r="N33" s="676"/>
      <c r="O33" s="24">
        <f t="shared" si="12"/>
        <v>1</v>
      </c>
      <c r="P33" s="676" t="s">
        <v>3380</v>
      </c>
      <c r="Q33" s="24">
        <f t="shared" si="13"/>
        <v>1.06</v>
      </c>
      <c r="R33" s="672">
        <f t="shared" si="14"/>
        <v>66877</v>
      </c>
      <c r="S33" s="322">
        <f t="shared" si="5"/>
        <v>8112</v>
      </c>
    </row>
    <row r="34" spans="1:19">
      <c r="A34" s="155" t="str">
        <f>信息!A45</f>
        <v>1号楼1901</v>
      </c>
      <c r="B34" s="57">
        <f>信息!B45</f>
        <v>1212.99</v>
      </c>
      <c r="C34" s="24">
        <f t="shared" si="6"/>
        <v>1.02</v>
      </c>
      <c r="D34" s="3008" t="s">
        <v>3364</v>
      </c>
      <c r="E34" s="24">
        <f t="shared" si="7"/>
        <v>1</v>
      </c>
      <c r="F34" s="676"/>
      <c r="G34" s="24">
        <f t="shared" si="8"/>
        <v>1</v>
      </c>
      <c r="H34" s="676"/>
      <c r="I34" s="24">
        <f t="shared" si="9"/>
        <v>1</v>
      </c>
      <c r="J34" s="676"/>
      <c r="K34" s="24">
        <f t="shared" si="10"/>
        <v>1</v>
      </c>
      <c r="L34" s="676"/>
      <c r="M34" s="24">
        <f t="shared" si="11"/>
        <v>1</v>
      </c>
      <c r="N34" s="676"/>
      <c r="O34" s="24">
        <f t="shared" si="12"/>
        <v>1</v>
      </c>
      <c r="P34" s="676" t="s">
        <v>3380</v>
      </c>
      <c r="Q34" s="24">
        <f t="shared" si="13"/>
        <v>1.06</v>
      </c>
      <c r="R34" s="672">
        <f t="shared" si="14"/>
        <v>66877</v>
      </c>
      <c r="S34" s="322">
        <f t="shared" si="5"/>
        <v>8112</v>
      </c>
    </row>
    <row r="35" spans="1:19">
      <c r="A35" s="155" t="str">
        <f>信息!A46</f>
        <v>1号楼2001</v>
      </c>
      <c r="B35" s="57">
        <f>信息!B46</f>
        <v>1212.99</v>
      </c>
      <c r="C35" s="24">
        <f t="shared" si="6"/>
        <v>1.02</v>
      </c>
      <c r="D35" s="3008" t="s">
        <v>3364</v>
      </c>
      <c r="E35" s="24">
        <f t="shared" si="7"/>
        <v>1</v>
      </c>
      <c r="F35" s="676"/>
      <c r="G35" s="24">
        <f t="shared" si="8"/>
        <v>1</v>
      </c>
      <c r="H35" s="676"/>
      <c r="I35" s="24">
        <f t="shared" si="9"/>
        <v>1</v>
      </c>
      <c r="J35" s="676"/>
      <c r="K35" s="24">
        <f t="shared" si="10"/>
        <v>1</v>
      </c>
      <c r="L35" s="676"/>
      <c r="M35" s="24">
        <f t="shared" si="11"/>
        <v>1</v>
      </c>
      <c r="N35" s="676"/>
      <c r="O35" s="24">
        <f t="shared" si="12"/>
        <v>1</v>
      </c>
      <c r="P35" s="676" t="s">
        <v>3380</v>
      </c>
      <c r="Q35" s="24">
        <f t="shared" si="13"/>
        <v>1.06</v>
      </c>
      <c r="R35" s="672">
        <f t="shared" si="14"/>
        <v>66877</v>
      </c>
      <c r="S35" s="322">
        <f t="shared" si="5"/>
        <v>8112</v>
      </c>
    </row>
    <row r="36" spans="1:19">
      <c r="A36" s="155" t="str">
        <f>信息!E30</f>
        <v>2号楼102</v>
      </c>
      <c r="B36" s="57">
        <f>信息!F30</f>
        <v>272.73</v>
      </c>
      <c r="C36" s="24">
        <f t="shared" si="6"/>
        <v>0.98</v>
      </c>
      <c r="D36" s="3008" t="s">
        <v>3364</v>
      </c>
      <c r="E36" s="24">
        <f t="shared" si="7"/>
        <v>1</v>
      </c>
      <c r="F36" s="676"/>
      <c r="G36" s="24">
        <f t="shared" si="8"/>
        <v>1</v>
      </c>
      <c r="H36" s="676"/>
      <c r="I36" s="24">
        <f t="shared" si="9"/>
        <v>1</v>
      </c>
      <c r="J36" s="676"/>
      <c r="K36" s="24">
        <f t="shared" si="10"/>
        <v>1</v>
      </c>
      <c r="L36" s="676"/>
      <c r="M36" s="24">
        <f t="shared" si="11"/>
        <v>1</v>
      </c>
      <c r="N36" s="676"/>
      <c r="O36" s="24">
        <f t="shared" si="12"/>
        <v>1</v>
      </c>
      <c r="P36" s="676" t="s">
        <v>3381</v>
      </c>
      <c r="Q36" s="24">
        <f t="shared" si="13"/>
        <v>1</v>
      </c>
      <c r="R36" s="672">
        <f t="shared" si="14"/>
        <v>60617</v>
      </c>
      <c r="S36" s="322">
        <f t="shared" si="5"/>
        <v>1653</v>
      </c>
    </row>
    <row r="37" spans="1:19">
      <c r="A37" s="155" t="str">
        <f>信息!E31</f>
        <v>2号楼201</v>
      </c>
      <c r="B37" s="57">
        <f>信息!F31</f>
        <v>1631.18</v>
      </c>
      <c r="C37" s="24">
        <f t="shared" si="6"/>
        <v>1</v>
      </c>
      <c r="D37" s="3008" t="s">
        <v>3364</v>
      </c>
      <c r="E37" s="24">
        <f t="shared" si="7"/>
        <v>1</v>
      </c>
      <c r="F37" s="676"/>
      <c r="G37" s="24">
        <f t="shared" si="8"/>
        <v>1</v>
      </c>
      <c r="H37" s="676"/>
      <c r="I37" s="24">
        <f t="shared" si="9"/>
        <v>1</v>
      </c>
      <c r="J37" s="676"/>
      <c r="K37" s="24">
        <f t="shared" si="10"/>
        <v>1</v>
      </c>
      <c r="L37" s="676"/>
      <c r="M37" s="24">
        <f t="shared" si="11"/>
        <v>1</v>
      </c>
      <c r="N37" s="676"/>
      <c r="O37" s="24">
        <f t="shared" si="12"/>
        <v>1</v>
      </c>
      <c r="P37" s="676" t="s">
        <v>3381</v>
      </c>
      <c r="Q37" s="24">
        <f t="shared" si="13"/>
        <v>1</v>
      </c>
      <c r="R37" s="672">
        <f t="shared" si="14"/>
        <v>61854</v>
      </c>
      <c r="S37" s="322">
        <f t="shared" si="5"/>
        <v>10090</v>
      </c>
    </row>
    <row r="38" spans="1:19">
      <c r="A38" s="155" t="str">
        <f>信息!E32</f>
        <v>2号楼301</v>
      </c>
      <c r="B38" s="57">
        <f>信息!F32</f>
        <v>450.05</v>
      </c>
      <c r="C38" s="24">
        <f t="shared" si="6"/>
        <v>0.98</v>
      </c>
      <c r="D38" s="3008" t="s">
        <v>3364</v>
      </c>
      <c r="E38" s="24">
        <f t="shared" si="7"/>
        <v>1</v>
      </c>
      <c r="F38" s="676"/>
      <c r="G38" s="24">
        <f t="shared" si="8"/>
        <v>1</v>
      </c>
      <c r="H38" s="676"/>
      <c r="I38" s="24">
        <f t="shared" si="9"/>
        <v>1</v>
      </c>
      <c r="J38" s="676"/>
      <c r="K38" s="24">
        <f t="shared" si="10"/>
        <v>1</v>
      </c>
      <c r="L38" s="676"/>
      <c r="M38" s="24">
        <f t="shared" si="11"/>
        <v>1</v>
      </c>
      <c r="N38" s="676"/>
      <c r="O38" s="24">
        <f t="shared" si="12"/>
        <v>1</v>
      </c>
      <c r="P38" s="676" t="s">
        <v>3381</v>
      </c>
      <c r="Q38" s="24">
        <f t="shared" si="13"/>
        <v>1</v>
      </c>
      <c r="R38" s="672">
        <f t="shared" si="14"/>
        <v>60617</v>
      </c>
      <c r="S38" s="322">
        <f t="shared" si="5"/>
        <v>2728</v>
      </c>
    </row>
    <row r="39" spans="1:19">
      <c r="A39" s="155" t="str">
        <f>信息!E33</f>
        <v>2号楼302</v>
      </c>
      <c r="B39" s="57">
        <f>信息!F33</f>
        <v>1090.3699999999999</v>
      </c>
      <c r="C39" s="24">
        <f t="shared" si="6"/>
        <v>1.02</v>
      </c>
      <c r="D39" s="3008" t="s">
        <v>3364</v>
      </c>
      <c r="E39" s="24">
        <f t="shared" si="7"/>
        <v>1</v>
      </c>
      <c r="F39" s="676"/>
      <c r="G39" s="24">
        <f t="shared" si="8"/>
        <v>1</v>
      </c>
      <c r="H39" s="676"/>
      <c r="I39" s="24">
        <f t="shared" si="9"/>
        <v>1</v>
      </c>
      <c r="J39" s="676"/>
      <c r="K39" s="24">
        <f t="shared" si="10"/>
        <v>1</v>
      </c>
      <c r="L39" s="676"/>
      <c r="M39" s="24">
        <f t="shared" si="11"/>
        <v>1</v>
      </c>
      <c r="N39" s="676"/>
      <c r="O39" s="24">
        <f t="shared" si="12"/>
        <v>1</v>
      </c>
      <c r="P39" s="676" t="s">
        <v>3381</v>
      </c>
      <c r="Q39" s="24">
        <f t="shared" si="13"/>
        <v>1</v>
      </c>
      <c r="R39" s="672">
        <f t="shared" si="14"/>
        <v>63091</v>
      </c>
      <c r="S39" s="322">
        <f t="shared" si="5"/>
        <v>6879</v>
      </c>
    </row>
    <row r="40" spans="1:19">
      <c r="A40" s="155" t="str">
        <f>信息!E34</f>
        <v>2号楼303</v>
      </c>
      <c r="B40" s="57">
        <f>信息!F34</f>
        <v>683.12</v>
      </c>
      <c r="C40" s="24">
        <f t="shared" si="6"/>
        <v>1</v>
      </c>
      <c r="D40" s="3008" t="s">
        <v>3364</v>
      </c>
      <c r="E40" s="24">
        <f t="shared" si="7"/>
        <v>1</v>
      </c>
      <c r="F40" s="676"/>
      <c r="G40" s="24">
        <f t="shared" si="8"/>
        <v>1</v>
      </c>
      <c r="H40" s="676"/>
      <c r="I40" s="24">
        <f t="shared" si="9"/>
        <v>1</v>
      </c>
      <c r="J40" s="676"/>
      <c r="K40" s="24">
        <f t="shared" si="10"/>
        <v>1</v>
      </c>
      <c r="L40" s="676"/>
      <c r="M40" s="24">
        <f t="shared" si="11"/>
        <v>1</v>
      </c>
      <c r="N40" s="676"/>
      <c r="O40" s="24">
        <f t="shared" si="12"/>
        <v>1</v>
      </c>
      <c r="P40" s="676" t="s">
        <v>3381</v>
      </c>
      <c r="Q40" s="24">
        <f t="shared" si="13"/>
        <v>1</v>
      </c>
      <c r="R40" s="672">
        <f t="shared" si="14"/>
        <v>61854</v>
      </c>
      <c r="S40" s="322">
        <f t="shared" si="5"/>
        <v>4225</v>
      </c>
    </row>
    <row r="41" spans="1:19">
      <c r="A41" s="155" t="str">
        <f>信息!E35</f>
        <v>2号楼401</v>
      </c>
      <c r="B41" s="57">
        <f>信息!F35</f>
        <v>1538.28</v>
      </c>
      <c r="C41" s="24">
        <f t="shared" si="6"/>
        <v>1</v>
      </c>
      <c r="D41" s="3008" t="s">
        <v>3364</v>
      </c>
      <c r="E41" s="24">
        <f t="shared" si="7"/>
        <v>1</v>
      </c>
      <c r="F41" s="676"/>
      <c r="G41" s="24">
        <f t="shared" si="8"/>
        <v>1</v>
      </c>
      <c r="H41" s="676"/>
      <c r="I41" s="24">
        <f t="shared" si="9"/>
        <v>1</v>
      </c>
      <c r="J41" s="676"/>
      <c r="K41" s="24">
        <f t="shared" si="10"/>
        <v>1</v>
      </c>
      <c r="L41" s="676"/>
      <c r="M41" s="24">
        <f t="shared" si="11"/>
        <v>1</v>
      </c>
      <c r="N41" s="676"/>
      <c r="O41" s="24">
        <f t="shared" si="12"/>
        <v>1</v>
      </c>
      <c r="P41" s="676" t="s">
        <v>3381</v>
      </c>
      <c r="Q41" s="24">
        <f t="shared" si="13"/>
        <v>1</v>
      </c>
      <c r="R41" s="672">
        <f t="shared" si="14"/>
        <v>61854</v>
      </c>
      <c r="S41" s="322">
        <f t="shared" si="5"/>
        <v>9515</v>
      </c>
    </row>
    <row r="42" spans="1:19">
      <c r="A42" s="155" t="str">
        <f>信息!E36</f>
        <v>2号楼501</v>
      </c>
      <c r="B42" s="57">
        <f>信息!F36</f>
        <v>1629.86</v>
      </c>
      <c r="C42" s="24">
        <f t="shared" si="6"/>
        <v>1</v>
      </c>
      <c r="D42" s="3008" t="s">
        <v>3364</v>
      </c>
      <c r="E42" s="24">
        <f t="shared" si="7"/>
        <v>1</v>
      </c>
      <c r="F42" s="676"/>
      <c r="G42" s="24">
        <f t="shared" si="8"/>
        <v>1</v>
      </c>
      <c r="H42" s="676"/>
      <c r="I42" s="24">
        <f t="shared" si="9"/>
        <v>1</v>
      </c>
      <c r="J42" s="676"/>
      <c r="K42" s="24">
        <f t="shared" si="10"/>
        <v>1</v>
      </c>
      <c r="L42" s="676"/>
      <c r="M42" s="24">
        <f t="shared" si="11"/>
        <v>1</v>
      </c>
      <c r="N42" s="676"/>
      <c r="O42" s="24">
        <f t="shared" si="12"/>
        <v>1</v>
      </c>
      <c r="P42" s="676" t="s">
        <v>3381</v>
      </c>
      <c r="Q42" s="24">
        <f t="shared" si="13"/>
        <v>1</v>
      </c>
      <c r="R42" s="672">
        <f t="shared" si="14"/>
        <v>61854</v>
      </c>
      <c r="S42" s="322">
        <f t="shared" si="5"/>
        <v>10081</v>
      </c>
    </row>
    <row r="43" spans="1:19">
      <c r="A43" s="155" t="str">
        <f>信息!E37</f>
        <v>2号楼601</v>
      </c>
      <c r="B43" s="57">
        <f>信息!F37</f>
        <v>1629.86</v>
      </c>
      <c r="C43" s="24">
        <f t="shared" si="6"/>
        <v>1</v>
      </c>
      <c r="D43" s="3008" t="s">
        <v>3364</v>
      </c>
      <c r="E43" s="24">
        <f t="shared" si="7"/>
        <v>1</v>
      </c>
      <c r="F43" s="676"/>
      <c r="G43" s="24">
        <f t="shared" si="8"/>
        <v>1</v>
      </c>
      <c r="H43" s="676"/>
      <c r="I43" s="24">
        <f t="shared" si="9"/>
        <v>1</v>
      </c>
      <c r="J43" s="676"/>
      <c r="K43" s="24">
        <f t="shared" si="10"/>
        <v>1</v>
      </c>
      <c r="L43" s="676"/>
      <c r="M43" s="24">
        <f t="shared" si="11"/>
        <v>1</v>
      </c>
      <c r="N43" s="676"/>
      <c r="O43" s="24">
        <f t="shared" si="12"/>
        <v>1</v>
      </c>
      <c r="P43" s="676" t="s">
        <v>3381</v>
      </c>
      <c r="Q43" s="24">
        <f t="shared" si="13"/>
        <v>1</v>
      </c>
      <c r="R43" s="672">
        <f t="shared" si="14"/>
        <v>61854</v>
      </c>
      <c r="S43" s="322">
        <f t="shared" si="5"/>
        <v>10081</v>
      </c>
    </row>
    <row r="44" spans="1:19">
      <c r="A44" s="155" t="str">
        <f>信息!E38</f>
        <v>2号楼701</v>
      </c>
      <c r="B44" s="57">
        <f>信息!F38</f>
        <v>1629.86</v>
      </c>
      <c r="C44" s="24">
        <f t="shared" si="6"/>
        <v>1</v>
      </c>
      <c r="D44" s="3008" t="s">
        <v>3364</v>
      </c>
      <c r="E44" s="24">
        <f t="shared" si="7"/>
        <v>1</v>
      </c>
      <c r="F44" s="676"/>
      <c r="G44" s="24">
        <f t="shared" si="8"/>
        <v>1</v>
      </c>
      <c r="H44" s="676"/>
      <c r="I44" s="24">
        <f t="shared" si="9"/>
        <v>1</v>
      </c>
      <c r="J44" s="676"/>
      <c r="K44" s="24">
        <f t="shared" si="10"/>
        <v>1</v>
      </c>
      <c r="L44" s="676"/>
      <c r="M44" s="24">
        <f t="shared" si="11"/>
        <v>1</v>
      </c>
      <c r="N44" s="676"/>
      <c r="O44" s="24">
        <f t="shared" si="12"/>
        <v>1</v>
      </c>
      <c r="P44" s="676" t="s">
        <v>3381</v>
      </c>
      <c r="Q44" s="24">
        <f t="shared" si="13"/>
        <v>1</v>
      </c>
      <c r="R44" s="672">
        <f t="shared" si="14"/>
        <v>61854</v>
      </c>
      <c r="S44" s="322">
        <f t="shared" si="5"/>
        <v>10081</v>
      </c>
    </row>
    <row r="45" spans="1:19">
      <c r="A45" s="155" t="str">
        <f>信息!E39</f>
        <v>2号楼801</v>
      </c>
      <c r="B45" s="57">
        <f>信息!F39</f>
        <v>1629.86</v>
      </c>
      <c r="C45" s="24">
        <f t="shared" si="6"/>
        <v>1</v>
      </c>
      <c r="D45" s="3008" t="s">
        <v>3364</v>
      </c>
      <c r="E45" s="24">
        <f t="shared" si="7"/>
        <v>1</v>
      </c>
      <c r="F45" s="676"/>
      <c r="G45" s="24">
        <f t="shared" si="8"/>
        <v>1</v>
      </c>
      <c r="H45" s="676"/>
      <c r="I45" s="24">
        <f t="shared" si="9"/>
        <v>1</v>
      </c>
      <c r="J45" s="676"/>
      <c r="K45" s="24">
        <f t="shared" si="10"/>
        <v>1</v>
      </c>
      <c r="L45" s="676"/>
      <c r="M45" s="24">
        <f t="shared" si="11"/>
        <v>1</v>
      </c>
      <c r="N45" s="676"/>
      <c r="O45" s="24">
        <f t="shared" si="12"/>
        <v>1</v>
      </c>
      <c r="P45" s="676" t="s">
        <v>3381</v>
      </c>
      <c r="Q45" s="24">
        <f t="shared" si="13"/>
        <v>1</v>
      </c>
      <c r="R45" s="672">
        <f t="shared" si="14"/>
        <v>61854</v>
      </c>
      <c r="S45" s="322">
        <f t="shared" si="5"/>
        <v>10081</v>
      </c>
    </row>
    <row r="46" spans="1:19">
      <c r="A46" s="155" t="str">
        <f>信息!E40</f>
        <v>2号楼901</v>
      </c>
      <c r="B46" s="57">
        <f>信息!F40</f>
        <v>1629.86</v>
      </c>
      <c r="C46" s="24">
        <f t="shared" si="6"/>
        <v>1</v>
      </c>
      <c r="D46" s="3008" t="s">
        <v>3364</v>
      </c>
      <c r="E46" s="24">
        <f t="shared" si="7"/>
        <v>1</v>
      </c>
      <c r="F46" s="676"/>
      <c r="G46" s="24">
        <f t="shared" si="8"/>
        <v>1</v>
      </c>
      <c r="H46" s="676"/>
      <c r="I46" s="24">
        <f t="shared" si="9"/>
        <v>1</v>
      </c>
      <c r="J46" s="676"/>
      <c r="K46" s="24">
        <f t="shared" si="10"/>
        <v>1</v>
      </c>
      <c r="L46" s="676"/>
      <c r="M46" s="24">
        <f t="shared" si="11"/>
        <v>1</v>
      </c>
      <c r="N46" s="676"/>
      <c r="O46" s="24">
        <f t="shared" si="12"/>
        <v>1</v>
      </c>
      <c r="P46" s="676" t="s">
        <v>3346</v>
      </c>
      <c r="Q46" s="24">
        <f t="shared" si="13"/>
        <v>1.03</v>
      </c>
      <c r="R46" s="672">
        <f t="shared" si="14"/>
        <v>63710</v>
      </c>
      <c r="S46" s="322">
        <f t="shared" si="5"/>
        <v>10384</v>
      </c>
    </row>
    <row r="47" spans="1:19">
      <c r="A47" s="155" t="str">
        <f>信息!E41</f>
        <v>2号楼1001</v>
      </c>
      <c r="B47" s="57">
        <f>信息!F41</f>
        <v>1629.86</v>
      </c>
      <c r="C47" s="24">
        <f t="shared" si="6"/>
        <v>1</v>
      </c>
      <c r="D47" s="3008" t="s">
        <v>3353</v>
      </c>
      <c r="E47" s="24">
        <f t="shared" si="7"/>
        <v>1.06</v>
      </c>
      <c r="F47" s="676"/>
      <c r="G47" s="24">
        <f t="shared" si="8"/>
        <v>1</v>
      </c>
      <c r="H47" s="676"/>
      <c r="I47" s="24">
        <f t="shared" si="9"/>
        <v>1</v>
      </c>
      <c r="J47" s="676"/>
      <c r="K47" s="24">
        <f t="shared" si="10"/>
        <v>1</v>
      </c>
      <c r="L47" s="676"/>
      <c r="M47" s="24">
        <f t="shared" si="11"/>
        <v>1</v>
      </c>
      <c r="N47" s="676"/>
      <c r="O47" s="24">
        <f t="shared" si="12"/>
        <v>1</v>
      </c>
      <c r="P47" s="676" t="s">
        <v>3346</v>
      </c>
      <c r="Q47" s="24">
        <f t="shared" si="13"/>
        <v>1.03</v>
      </c>
      <c r="R47" s="672">
        <f t="shared" si="14"/>
        <v>67532</v>
      </c>
      <c r="S47" s="322">
        <f t="shared" si="5"/>
        <v>11007</v>
      </c>
    </row>
    <row r="48" spans="1:19">
      <c r="A48" s="155" t="str">
        <f>信息!E42</f>
        <v>2号楼1101</v>
      </c>
      <c r="B48" s="57">
        <f>信息!F42</f>
        <v>1629.86</v>
      </c>
      <c r="C48" s="24">
        <f t="shared" si="6"/>
        <v>1</v>
      </c>
      <c r="D48" s="3008" t="s">
        <v>3364</v>
      </c>
      <c r="E48" s="24">
        <f t="shared" si="7"/>
        <v>1</v>
      </c>
      <c r="F48" s="676"/>
      <c r="G48" s="24">
        <f t="shared" si="8"/>
        <v>1</v>
      </c>
      <c r="H48" s="676"/>
      <c r="I48" s="24">
        <f t="shared" si="9"/>
        <v>1</v>
      </c>
      <c r="J48" s="676"/>
      <c r="K48" s="24">
        <f t="shared" si="10"/>
        <v>1</v>
      </c>
      <c r="L48" s="676"/>
      <c r="M48" s="24">
        <f t="shared" si="11"/>
        <v>1</v>
      </c>
      <c r="N48" s="676"/>
      <c r="O48" s="24">
        <f t="shared" si="12"/>
        <v>1</v>
      </c>
      <c r="P48" s="676" t="s">
        <v>3346</v>
      </c>
      <c r="Q48" s="24">
        <f t="shared" si="13"/>
        <v>1.03</v>
      </c>
      <c r="R48" s="672">
        <f t="shared" si="14"/>
        <v>63710</v>
      </c>
      <c r="S48" s="322">
        <f t="shared" si="5"/>
        <v>10384</v>
      </c>
    </row>
    <row r="49" spans="1:19">
      <c r="A49" s="155" t="str">
        <f>信息!E43</f>
        <v>2号楼1201</v>
      </c>
      <c r="B49" s="57">
        <f>信息!F43</f>
        <v>1629.86</v>
      </c>
      <c r="C49" s="24">
        <f t="shared" si="6"/>
        <v>1</v>
      </c>
      <c r="D49" s="3008" t="s">
        <v>3364</v>
      </c>
      <c r="E49" s="24">
        <f t="shared" si="7"/>
        <v>1</v>
      </c>
      <c r="F49" s="676"/>
      <c r="G49" s="24">
        <f t="shared" si="8"/>
        <v>1</v>
      </c>
      <c r="H49" s="676"/>
      <c r="I49" s="24">
        <f t="shared" si="9"/>
        <v>1</v>
      </c>
      <c r="J49" s="676"/>
      <c r="K49" s="24">
        <f t="shared" si="10"/>
        <v>1</v>
      </c>
      <c r="L49" s="676"/>
      <c r="M49" s="24">
        <f t="shared" si="11"/>
        <v>1</v>
      </c>
      <c r="N49" s="676"/>
      <c r="O49" s="24">
        <f t="shared" si="12"/>
        <v>1</v>
      </c>
      <c r="P49" s="676" t="s">
        <v>3346</v>
      </c>
      <c r="Q49" s="24">
        <f t="shared" si="13"/>
        <v>1.03</v>
      </c>
      <c r="R49" s="672">
        <f t="shared" si="14"/>
        <v>63710</v>
      </c>
      <c r="S49" s="322">
        <f t="shared" si="5"/>
        <v>10384</v>
      </c>
    </row>
    <row r="50" spans="1:19">
      <c r="A50" s="155" t="str">
        <f>信息!E44</f>
        <v>2号楼1301</v>
      </c>
      <c r="B50" s="57">
        <f>信息!F44</f>
        <v>1629.86</v>
      </c>
      <c r="C50" s="24">
        <f t="shared" si="6"/>
        <v>1</v>
      </c>
      <c r="D50" s="3008" t="s">
        <v>3364</v>
      </c>
      <c r="E50" s="24">
        <f t="shared" si="7"/>
        <v>1</v>
      </c>
      <c r="F50" s="676"/>
      <c r="G50" s="24">
        <f t="shared" si="8"/>
        <v>1</v>
      </c>
      <c r="H50" s="676"/>
      <c r="I50" s="24">
        <f t="shared" si="9"/>
        <v>1</v>
      </c>
      <c r="J50" s="676"/>
      <c r="K50" s="24">
        <f t="shared" si="10"/>
        <v>1</v>
      </c>
      <c r="L50" s="676"/>
      <c r="M50" s="24">
        <f t="shared" si="11"/>
        <v>1</v>
      </c>
      <c r="N50" s="676"/>
      <c r="O50" s="24">
        <f t="shared" si="12"/>
        <v>1</v>
      </c>
      <c r="P50" s="676" t="s">
        <v>3346</v>
      </c>
      <c r="Q50" s="24">
        <f t="shared" si="13"/>
        <v>1.03</v>
      </c>
      <c r="R50" s="672">
        <f t="shared" si="14"/>
        <v>63710</v>
      </c>
      <c r="S50" s="322">
        <f t="shared" si="5"/>
        <v>10384</v>
      </c>
    </row>
    <row r="51" spans="1:19">
      <c r="A51" s="155" t="str">
        <f>信息!E45</f>
        <v>2号楼1401</v>
      </c>
      <c r="B51" s="57">
        <f>信息!F45</f>
        <v>1629.86</v>
      </c>
      <c r="C51" s="24">
        <f t="shared" si="6"/>
        <v>1</v>
      </c>
      <c r="D51" s="3008" t="s">
        <v>3364</v>
      </c>
      <c r="E51" s="24">
        <f t="shared" si="7"/>
        <v>1</v>
      </c>
      <c r="F51" s="676"/>
      <c r="G51" s="24">
        <f t="shared" si="8"/>
        <v>1</v>
      </c>
      <c r="H51" s="676"/>
      <c r="I51" s="24">
        <f t="shared" si="9"/>
        <v>1</v>
      </c>
      <c r="J51" s="676"/>
      <c r="K51" s="24">
        <f t="shared" si="10"/>
        <v>1</v>
      </c>
      <c r="L51" s="676"/>
      <c r="M51" s="24">
        <f t="shared" si="11"/>
        <v>1</v>
      </c>
      <c r="N51" s="676"/>
      <c r="O51" s="24">
        <f t="shared" si="12"/>
        <v>1</v>
      </c>
      <c r="P51" s="676" t="s">
        <v>3346</v>
      </c>
      <c r="Q51" s="24">
        <f t="shared" si="13"/>
        <v>1.03</v>
      </c>
      <c r="R51" s="672">
        <f t="shared" si="14"/>
        <v>63710</v>
      </c>
      <c r="S51" s="322">
        <f t="shared" si="5"/>
        <v>10384</v>
      </c>
    </row>
    <row r="52" spans="1:19">
      <c r="A52" s="155" t="str">
        <f>信息!E46</f>
        <v>2号楼1501</v>
      </c>
      <c r="B52" s="57">
        <f>信息!F46</f>
        <v>1634.24</v>
      </c>
      <c r="C52" s="24">
        <f t="shared" si="6"/>
        <v>1</v>
      </c>
      <c r="D52" s="3008" t="s">
        <v>3364</v>
      </c>
      <c r="E52" s="24">
        <f t="shared" si="7"/>
        <v>1</v>
      </c>
      <c r="F52" s="676"/>
      <c r="G52" s="24">
        <f t="shared" si="8"/>
        <v>1</v>
      </c>
      <c r="H52" s="676"/>
      <c r="I52" s="24">
        <f t="shared" si="9"/>
        <v>1</v>
      </c>
      <c r="J52" s="676"/>
      <c r="K52" s="24">
        <f t="shared" si="10"/>
        <v>1</v>
      </c>
      <c r="L52" s="676"/>
      <c r="M52" s="24">
        <f t="shared" si="11"/>
        <v>1</v>
      </c>
      <c r="N52" s="676"/>
      <c r="O52" s="24">
        <f t="shared" si="12"/>
        <v>1</v>
      </c>
      <c r="P52" s="676" t="s">
        <v>3346</v>
      </c>
      <c r="Q52" s="24">
        <f t="shared" si="13"/>
        <v>1.03</v>
      </c>
      <c r="R52" s="672">
        <f t="shared" si="14"/>
        <v>63710</v>
      </c>
      <c r="S52" s="322">
        <f t="shared" si="5"/>
        <v>10412</v>
      </c>
    </row>
    <row r="53" spans="1:19">
      <c r="A53" s="155" t="str">
        <f>信息!E47</f>
        <v>2号楼1601</v>
      </c>
      <c r="B53" s="57">
        <f>信息!F47</f>
        <v>1634.24</v>
      </c>
      <c r="C53" s="24">
        <f t="shared" si="6"/>
        <v>1</v>
      </c>
      <c r="D53" s="3008" t="s">
        <v>3364</v>
      </c>
      <c r="E53" s="24">
        <f t="shared" si="7"/>
        <v>1</v>
      </c>
      <c r="F53" s="676"/>
      <c r="G53" s="24">
        <f t="shared" si="8"/>
        <v>1</v>
      </c>
      <c r="H53" s="676"/>
      <c r="I53" s="24">
        <f t="shared" si="9"/>
        <v>1</v>
      </c>
      <c r="J53" s="676"/>
      <c r="K53" s="24">
        <f t="shared" si="10"/>
        <v>1</v>
      </c>
      <c r="L53" s="676"/>
      <c r="M53" s="24">
        <f t="shared" si="11"/>
        <v>1</v>
      </c>
      <c r="N53" s="676"/>
      <c r="O53" s="24">
        <f t="shared" si="12"/>
        <v>1</v>
      </c>
      <c r="P53" s="676" t="s">
        <v>3346</v>
      </c>
      <c r="Q53" s="24">
        <f t="shared" si="13"/>
        <v>1.03</v>
      </c>
      <c r="R53" s="672">
        <f t="shared" si="14"/>
        <v>63710</v>
      </c>
      <c r="S53" s="322">
        <f t="shared" si="5"/>
        <v>10412</v>
      </c>
    </row>
    <row r="54" spans="1:19">
      <c r="A54" s="155" t="str">
        <f>信息!E48</f>
        <v>2号楼1701</v>
      </c>
      <c r="B54" s="57">
        <f>信息!F48</f>
        <v>1634.24</v>
      </c>
      <c r="C54" s="24">
        <f t="shared" si="6"/>
        <v>1</v>
      </c>
      <c r="D54" s="3008" t="s">
        <v>3364</v>
      </c>
      <c r="E54" s="24">
        <f t="shared" si="7"/>
        <v>1</v>
      </c>
      <c r="F54" s="676"/>
      <c r="G54" s="24">
        <f t="shared" si="8"/>
        <v>1</v>
      </c>
      <c r="H54" s="676"/>
      <c r="I54" s="24">
        <f t="shared" si="9"/>
        <v>1</v>
      </c>
      <c r="J54" s="676"/>
      <c r="K54" s="24">
        <f t="shared" si="10"/>
        <v>1</v>
      </c>
      <c r="L54" s="676"/>
      <c r="M54" s="24">
        <f t="shared" si="11"/>
        <v>1</v>
      </c>
      <c r="N54" s="676"/>
      <c r="O54" s="24">
        <f t="shared" si="12"/>
        <v>1</v>
      </c>
      <c r="P54" s="676" t="s">
        <v>3380</v>
      </c>
      <c r="Q54" s="24">
        <f t="shared" si="13"/>
        <v>1.06</v>
      </c>
      <c r="R54" s="672">
        <f t="shared" si="14"/>
        <v>65565</v>
      </c>
      <c r="S54" s="322">
        <f t="shared" si="5"/>
        <v>10715</v>
      </c>
    </row>
    <row r="55" spans="1:19">
      <c r="A55" s="155" t="str">
        <f>信息!E49</f>
        <v>2号楼1801</v>
      </c>
      <c r="B55" s="57">
        <f>信息!F49</f>
        <v>1634.24</v>
      </c>
      <c r="C55" s="24">
        <f t="shared" si="6"/>
        <v>1</v>
      </c>
      <c r="D55" s="3008" t="s">
        <v>3364</v>
      </c>
      <c r="E55" s="24">
        <f t="shared" si="7"/>
        <v>1</v>
      </c>
      <c r="F55" s="676"/>
      <c r="G55" s="24">
        <f t="shared" si="8"/>
        <v>1</v>
      </c>
      <c r="H55" s="676"/>
      <c r="I55" s="24">
        <f t="shared" si="9"/>
        <v>1</v>
      </c>
      <c r="J55" s="676"/>
      <c r="K55" s="24">
        <f t="shared" si="10"/>
        <v>1</v>
      </c>
      <c r="L55" s="676"/>
      <c r="M55" s="24">
        <f t="shared" si="11"/>
        <v>1</v>
      </c>
      <c r="N55" s="676"/>
      <c r="O55" s="24">
        <f t="shared" si="12"/>
        <v>1</v>
      </c>
      <c r="P55" s="676" t="s">
        <v>3380</v>
      </c>
      <c r="Q55" s="24">
        <f t="shared" si="13"/>
        <v>1.06</v>
      </c>
      <c r="R55" s="672">
        <f t="shared" si="14"/>
        <v>65565</v>
      </c>
      <c r="S55" s="322">
        <f t="shared" si="5"/>
        <v>10715</v>
      </c>
    </row>
    <row r="56" spans="1:19">
      <c r="A56" s="155" t="str">
        <f>信息!E50</f>
        <v>2号楼1901</v>
      </c>
      <c r="B56" s="57">
        <f>信息!F50</f>
        <v>1634.24</v>
      </c>
      <c r="C56" s="24">
        <f t="shared" si="6"/>
        <v>1</v>
      </c>
      <c r="D56" s="3008" t="s">
        <v>3364</v>
      </c>
      <c r="E56" s="24">
        <f t="shared" si="7"/>
        <v>1</v>
      </c>
      <c r="F56" s="676"/>
      <c r="G56" s="24">
        <f t="shared" si="8"/>
        <v>1</v>
      </c>
      <c r="H56" s="676"/>
      <c r="I56" s="24">
        <f t="shared" si="9"/>
        <v>1</v>
      </c>
      <c r="J56" s="676"/>
      <c r="K56" s="24">
        <f t="shared" si="10"/>
        <v>1</v>
      </c>
      <c r="L56" s="676"/>
      <c r="M56" s="24">
        <f t="shared" si="11"/>
        <v>1</v>
      </c>
      <c r="N56" s="676"/>
      <c r="O56" s="24">
        <f t="shared" si="12"/>
        <v>1</v>
      </c>
      <c r="P56" s="676" t="s">
        <v>3380</v>
      </c>
      <c r="Q56" s="24">
        <f t="shared" si="13"/>
        <v>1.06</v>
      </c>
      <c r="R56" s="672">
        <f t="shared" si="14"/>
        <v>65565</v>
      </c>
      <c r="S56" s="322">
        <f t="shared" si="5"/>
        <v>10715</v>
      </c>
    </row>
    <row r="57" spans="1:19">
      <c r="A57" s="155" t="str">
        <f>信息!E51</f>
        <v>2号楼2001</v>
      </c>
      <c r="B57" s="57">
        <f>信息!F51</f>
        <v>1634.24</v>
      </c>
      <c r="C57" s="24">
        <f t="shared" si="6"/>
        <v>1</v>
      </c>
      <c r="D57" s="3008" t="s">
        <v>3364</v>
      </c>
      <c r="E57" s="24">
        <f t="shared" si="7"/>
        <v>1</v>
      </c>
      <c r="F57" s="676"/>
      <c r="G57" s="24">
        <f t="shared" si="8"/>
        <v>1</v>
      </c>
      <c r="H57" s="676"/>
      <c r="I57" s="24">
        <f t="shared" si="9"/>
        <v>1</v>
      </c>
      <c r="J57" s="676"/>
      <c r="K57" s="24">
        <f t="shared" si="10"/>
        <v>1</v>
      </c>
      <c r="L57" s="676"/>
      <c r="M57" s="24">
        <f t="shared" si="11"/>
        <v>1</v>
      </c>
      <c r="N57" s="676"/>
      <c r="O57" s="24">
        <f t="shared" si="12"/>
        <v>1</v>
      </c>
      <c r="P57" s="676" t="s">
        <v>3380</v>
      </c>
      <c r="Q57" s="24">
        <f t="shared" si="13"/>
        <v>1.06</v>
      </c>
      <c r="R57" s="672">
        <f t="shared" si="14"/>
        <v>65565</v>
      </c>
      <c r="S57" s="322">
        <f t="shared" si="5"/>
        <v>10715</v>
      </c>
    </row>
    <row r="58" spans="1:19">
      <c r="A58" s="155" t="str">
        <f>信息!E52</f>
        <v>2号楼2101</v>
      </c>
      <c r="B58" s="57">
        <f>信息!F52</f>
        <v>1634.24</v>
      </c>
      <c r="C58" s="24">
        <f t="shared" si="6"/>
        <v>1</v>
      </c>
      <c r="D58" s="3008" t="s">
        <v>3364</v>
      </c>
      <c r="E58" s="24">
        <f t="shared" si="7"/>
        <v>1</v>
      </c>
      <c r="F58" s="676"/>
      <c r="G58" s="24">
        <f t="shared" si="8"/>
        <v>1</v>
      </c>
      <c r="H58" s="676"/>
      <c r="I58" s="24">
        <f t="shared" si="9"/>
        <v>1</v>
      </c>
      <c r="J58" s="676"/>
      <c r="K58" s="24">
        <f t="shared" si="10"/>
        <v>1</v>
      </c>
      <c r="L58" s="676"/>
      <c r="M58" s="24">
        <f t="shared" si="11"/>
        <v>1</v>
      </c>
      <c r="N58" s="676"/>
      <c r="O58" s="24">
        <f t="shared" si="12"/>
        <v>1</v>
      </c>
      <c r="P58" s="676" t="s">
        <v>3380</v>
      </c>
      <c r="Q58" s="24">
        <f t="shared" si="13"/>
        <v>1.06</v>
      </c>
      <c r="R58" s="672">
        <f t="shared" si="14"/>
        <v>65565</v>
      </c>
      <c r="S58" s="322">
        <f t="shared" si="5"/>
        <v>10715</v>
      </c>
    </row>
    <row r="59" spans="1:19">
      <c r="A59" s="155" t="str">
        <f>信息!E53</f>
        <v>2号楼2201</v>
      </c>
      <c r="B59" s="57">
        <f>信息!F53</f>
        <v>1634.24</v>
      </c>
      <c r="C59" s="24">
        <f t="shared" si="6"/>
        <v>1</v>
      </c>
      <c r="D59" s="3008" t="s">
        <v>3364</v>
      </c>
      <c r="E59" s="24">
        <f t="shared" si="7"/>
        <v>1</v>
      </c>
      <c r="F59" s="676"/>
      <c r="G59" s="24">
        <f t="shared" si="8"/>
        <v>1</v>
      </c>
      <c r="H59" s="676"/>
      <c r="I59" s="24">
        <f t="shared" si="9"/>
        <v>1</v>
      </c>
      <c r="J59" s="676"/>
      <c r="K59" s="24">
        <f t="shared" si="10"/>
        <v>1</v>
      </c>
      <c r="L59" s="676"/>
      <c r="M59" s="24">
        <f t="shared" si="11"/>
        <v>1</v>
      </c>
      <c r="N59" s="676"/>
      <c r="O59" s="24">
        <f t="shared" si="12"/>
        <v>1</v>
      </c>
      <c r="P59" s="676" t="s">
        <v>3380</v>
      </c>
      <c r="Q59" s="24">
        <f t="shared" si="13"/>
        <v>1.06</v>
      </c>
      <c r="R59" s="672">
        <f t="shared" si="14"/>
        <v>65565</v>
      </c>
      <c r="S59" s="322">
        <f t="shared" si="5"/>
        <v>10715</v>
      </c>
    </row>
    <row r="60" spans="1:19">
      <c r="A60" s="155" t="str">
        <f>信息!E54</f>
        <v>2号楼2301</v>
      </c>
      <c r="B60" s="57">
        <f>信息!F54</f>
        <v>1634.24</v>
      </c>
      <c r="C60" s="24">
        <f t="shared" si="6"/>
        <v>1</v>
      </c>
      <c r="D60" s="3008" t="s">
        <v>3364</v>
      </c>
      <c r="E60" s="24">
        <f t="shared" si="7"/>
        <v>1</v>
      </c>
      <c r="F60" s="676"/>
      <c r="G60" s="24">
        <f t="shared" si="8"/>
        <v>1</v>
      </c>
      <c r="H60" s="676"/>
      <c r="I60" s="24">
        <f t="shared" si="9"/>
        <v>1</v>
      </c>
      <c r="J60" s="676"/>
      <c r="K60" s="24">
        <f t="shared" si="10"/>
        <v>1</v>
      </c>
      <c r="L60" s="676"/>
      <c r="M60" s="24">
        <f t="shared" si="11"/>
        <v>1</v>
      </c>
      <c r="N60" s="676"/>
      <c r="O60" s="24">
        <f t="shared" si="12"/>
        <v>1</v>
      </c>
      <c r="P60" s="676" t="s">
        <v>3380</v>
      </c>
      <c r="Q60" s="24">
        <f t="shared" si="13"/>
        <v>1.06</v>
      </c>
      <c r="R60" s="672">
        <f t="shared" si="14"/>
        <v>65565</v>
      </c>
      <c r="S60" s="322">
        <f t="shared" si="5"/>
        <v>10715</v>
      </c>
    </row>
    <row r="61" spans="1:19">
      <c r="A61" s="155" t="str">
        <f>信息!E55</f>
        <v>2号楼2401</v>
      </c>
      <c r="B61" s="57">
        <f>信息!F55</f>
        <v>1634.24</v>
      </c>
      <c r="C61" s="24">
        <f t="shared" si="6"/>
        <v>1</v>
      </c>
      <c r="D61" s="3008" t="s">
        <v>3364</v>
      </c>
      <c r="E61" s="24">
        <f t="shared" si="7"/>
        <v>1</v>
      </c>
      <c r="F61" s="676"/>
      <c r="G61" s="24">
        <f t="shared" si="8"/>
        <v>1</v>
      </c>
      <c r="H61" s="676"/>
      <c r="I61" s="24">
        <f t="shared" si="9"/>
        <v>1</v>
      </c>
      <c r="J61" s="676"/>
      <c r="K61" s="24">
        <f t="shared" si="10"/>
        <v>1</v>
      </c>
      <c r="L61" s="676"/>
      <c r="M61" s="24">
        <f t="shared" si="11"/>
        <v>1</v>
      </c>
      <c r="N61" s="676"/>
      <c r="O61" s="24">
        <f t="shared" si="12"/>
        <v>1</v>
      </c>
      <c r="P61" s="676" t="s">
        <v>3380</v>
      </c>
      <c r="Q61" s="24">
        <f t="shared" si="13"/>
        <v>1.06</v>
      </c>
      <c r="R61" s="672">
        <f t="shared" si="14"/>
        <v>65565</v>
      </c>
      <c r="S61" s="322">
        <f t="shared" si="5"/>
        <v>10715</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0.06</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0.06</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0.06</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0.06</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0.06</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0.06</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0.06</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0.06</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0.06</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0.06</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0.06</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0.06</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0.06</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0.06</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0.06</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0.06</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0.06</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0.06</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0.06</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0.06</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0.06</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0.06</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0.06</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0.06</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0.06</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0.06</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0.06</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0.06</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0.06</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0.06</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0.06</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0.06</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0.06</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0.06</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0.06</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0.06</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0.06</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0.06</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0.06</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0.06</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0.06</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0.06</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0.06</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0.06</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0.06</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0.06</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0.06</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0.06</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0.06</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0.06</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0.06</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0.06</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0.06</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0.06</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0.06</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0.06</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0.06</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0.06</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0.06</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0.06</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0.06</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0.06</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0.06</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0.06</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0.06</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0.06</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0.06</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0.06</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0.06</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0.06</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0.06</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0.06</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0.06</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0.06</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0.06</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0.06</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0.06</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0.06</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0.06</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0.06</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0.06</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0.06</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0.06</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0.06</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0.06</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0.06</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0.06</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0.06</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0.06</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0.06</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0.06</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0.06</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0.06</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0.06</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0.06</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0.06</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0.06</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0.06</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0.06</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0.06</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0.06</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0.06</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0.06</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0.06</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0.06</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0.06</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0.06</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0.06</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0.06</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0.06</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0.06</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0.06</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0.06</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0.06</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0.06</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0.06</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0.06</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0.06</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0.06</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0.06</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0.06</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0.06</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0.06</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0.06</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0.06</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0.06</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0.06</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0.06</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0.06</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0.06</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0.06</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0.06</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0.06</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0.06</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0.06</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0.06</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0.06</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0.06</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0.06</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0.06</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0.06</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0.06</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0.06</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0.06</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0.06</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0.06</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0.06</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0.06</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0.06</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0.06</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0.06</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0.06</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0.06</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0.06</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0.06</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0.06</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0.06</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0.06</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0.06</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0.06</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0.06</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0.06</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0.06</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0.06</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0.06</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0.06</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0.06</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0.06</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0.06</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0.06</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0.06</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0.06</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0.06</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0.06</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0.06</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0.06</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0.06</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0.06</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0.06</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0.06</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0.06</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0.06</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0.06</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0.06</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0.06</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0.06</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0.06</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0.06</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0.06</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0.06</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0.06</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0.06</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0.06</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0.06</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0.06</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0.06</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0.06</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0.06</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0.06</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0.06</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0.06</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0.06</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0.06</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0.06</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0.06</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0.06</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0.06</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0.06</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0.06</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0.06</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0.06</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0.06</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0.06</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0.06</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0.06</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0.06</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0.06</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0.06</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0.06</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0.06</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0.06</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0.06</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0.06</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0.06</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0.06</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0.06</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0.06</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0.06</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0.06</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0.06</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0.06</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0.06</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0.06</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0.06</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0.06</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0.06</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0.06</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0.06</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0.06</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0.06</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0.06</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0.06</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0.06</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0.06</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0.06</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0.06</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0.06</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0.06</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0.06</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0.06</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0.06</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0.06</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0.06</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0.06</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0.06</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0.06</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0.06</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0.06</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0.06</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0.06</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0.06</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0.06</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0.06</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0.06</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0.06</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0.06</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0.06</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0.06</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0.06</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0.06</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0.06</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0.06</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0.06</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0.06</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0.06</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0.06</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0.06</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0.06</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0.06</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0.06</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0.06</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0.06</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0.06</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0.06</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0.06</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0.06</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0.06</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0.06</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0.06</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0.06</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0.06</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0.06</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0.06</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0.06</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0.06</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0.06</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0.06</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0.06</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0.06</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0.06</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0.06</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0.06</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0.06</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0.06</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0.06</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0.06</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0.06</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0.06</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0.06</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0.06</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0.06</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0.06</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0.06</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0.06</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0.06</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0.06</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0.06</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0.06</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0.06</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0.06</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0.06</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0.06</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0.06</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0.06</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0.06</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0.06</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0.06</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0.06</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0.06</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0.06</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0.06</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0.06</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0.06</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0.06</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0.06</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0.06</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0.06</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0.06</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0.06</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0.06</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0.06</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0.06</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0.06</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0.06</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0.06</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0.06</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0.06</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0.06</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0.06</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0.06</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0.06</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0.06</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0.06</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0.06</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0.06</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0.06</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0.06</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0.06</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0.06</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0.06</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0.06</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0.06</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0.06</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0.06</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0.06</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0.06</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0.06</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0.06</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0.06</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0.06</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0.06</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0.06</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0.06</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0.06</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0.06</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0.06</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0.06</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0.06</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0.06</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0.06</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0.06</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0.06</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0.06</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0.06</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0.06</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0.06</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0.06</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0.06</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0.06</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0.06</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0.06</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0.06</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0.06</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0.06</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0.06</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0.06</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0.06</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0.06</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0.06</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0.06</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0.06</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0.06</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0.06</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0.06</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0.06</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0.06</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0.06</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0.06</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0.06</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0.06</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0.06</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0.06</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0.06</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0.06</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0.06</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0.06</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0.06</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0.06</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0.06</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0.06</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0.06</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0.06</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0.06</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0.06</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0.06</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0.06</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0.06</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0.06</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0.06</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0.06</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0.06</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0.06</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0.06</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0.06</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0.06</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0.06</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0.06</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0.06</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0.06</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0.06</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0.06</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0.06</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0.06</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0.06</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0.06</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0.06</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0.06</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0.06</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0.06</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0.06</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0.06</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0.06</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0.06</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0.06</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0.06</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0.06</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0.06</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0.06</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0.06</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0.06</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0.06</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0.06</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0.06</v>
      </c>
      <c r="R524" s="672">
        <f t="shared" si="84"/>
        <v>0</v>
      </c>
      <c r="S524" s="322">
        <f t="shared" si="75"/>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H20" xr:uid="{00000000-0002-0000-1700-000000000000}">
      <formula1>估价方法</formula1>
    </dataValidation>
    <dataValidation type="list" allowBlank="1" showInputMessage="1" showErrorMessage="1" sqref="D20" xr:uid="{00000000-0002-0000-1700-000001000000}">
      <formula1>"需扣减承租人权益,——"</formula1>
    </dataValidation>
    <dataValidation type="list" allowBlank="1" showInputMessage="1" showErrorMessage="1" sqref="P24:P524" xr:uid="{00000000-0002-0000-1700-000002000000}">
      <formula1>一修多修正项8</formula1>
    </dataValidation>
    <dataValidation type="list" allowBlank="1" showInputMessage="1" showErrorMessage="1" sqref="N24:N524" xr:uid="{00000000-0002-0000-1700-000003000000}">
      <formula1>一修多修正项7</formula1>
    </dataValidation>
    <dataValidation type="list" allowBlank="1" showInputMessage="1" showErrorMessage="1" sqref="L24:L524" xr:uid="{00000000-0002-0000-1700-000004000000}">
      <formula1>一修多修正项6</formula1>
    </dataValidation>
    <dataValidation type="list" allowBlank="1" showInputMessage="1" showErrorMessage="1" sqref="J24:J524" xr:uid="{00000000-0002-0000-1700-000005000000}">
      <formula1>一修多修正项5</formula1>
    </dataValidation>
    <dataValidation type="list" allowBlank="1" showInputMessage="1" showErrorMessage="1" sqref="H24:H524" xr:uid="{00000000-0002-0000-1700-000006000000}">
      <formula1>一修多修正项4</formula1>
    </dataValidation>
    <dataValidation type="list" allowBlank="1" showInputMessage="1" showErrorMessage="1" sqref="F24:F524" xr:uid="{00000000-0002-0000-1700-000007000000}">
      <formula1>一修多修正项3</formula1>
    </dataValidation>
    <dataValidation type="list" allowBlank="1" showInputMessage="1" showErrorMessage="1" sqref="D24:D524" xr:uid="{00000000-0002-0000-1700-000008000000}">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88" workbookViewId="0">
      <selection activeCell="F199" sqref="F199"/>
    </sheetView>
  </sheetViews>
  <sheetFormatPr defaultRowHeight="13.5"/>
  <sheetData/>
  <phoneticPr fontId="141" type="noConversion"/>
  <pageMargins left="0.7" right="0.7" top="0.75" bottom="0.75" header="0.3" footer="0.3"/>
  <pageSetup paperSize="9"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46" zoomScale="90" zoomScaleNormal="70" zoomScaleSheetLayoutView="90" workbookViewId="0">
      <selection activeCell="H38" sqref="H38:H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3286" t="s">
        <v>27</v>
      </c>
      <c r="D1" s="1514" t="s">
        <v>70</v>
      </c>
      <c r="E1" s="1515" t="s">
        <v>1292</v>
      </c>
      <c r="F1" s="1192">
        <f ca="1">J53</f>
        <v>35.92</v>
      </c>
      <c r="G1" s="1530">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379546</v>
      </c>
      <c r="C2" s="1539" t="s">
        <v>1421</v>
      </c>
      <c r="D2" s="1539"/>
      <c r="E2" s="1540"/>
      <c r="F2" s="1541"/>
      <c r="G2" s="2901"/>
      <c r="H2" s="2890"/>
      <c r="I2" s="2890"/>
      <c r="J2" s="2890"/>
      <c r="K2" s="2891"/>
      <c r="L2" s="2890"/>
      <c r="M2" s="2890"/>
    </row>
    <row r="3" spans="1:37" ht="18" customHeight="1" thickBot="1">
      <c r="A3" s="1542" t="s">
        <v>1422</v>
      </c>
      <c r="B3" s="1543">
        <f ca="1">IF(ISERROR(B2*10000/F43),0,ROUND(B2*10000/F43,0))</f>
        <v>67151</v>
      </c>
      <c r="C3" s="1539" t="s">
        <v>1423</v>
      </c>
      <c r="D3" s="1539"/>
      <c r="E3" s="1540"/>
      <c r="F3" s="1541"/>
      <c r="G3" s="2901"/>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1">
        <f ca="1">C6+C10+C12</f>
        <v>21379</v>
      </c>
      <c r="D5" s="1516" t="s">
        <v>1307</v>
      </c>
      <c r="E5" s="1202"/>
      <c r="F5" s="1203"/>
      <c r="G5" s="1536"/>
      <c r="H5" s="305">
        <v>1</v>
      </c>
      <c r="I5" s="306" t="s">
        <v>1306</v>
      </c>
      <c r="J5" s="1201">
        <f ca="1">J6+J10+J12</f>
        <v>0</v>
      </c>
      <c r="K5" s="1516" t="s">
        <v>1307</v>
      </c>
      <c r="L5" s="1202"/>
      <c r="M5" s="1203"/>
    </row>
    <row r="6" spans="1:37" ht="18" customHeight="1">
      <c r="A6" s="1200" t="s">
        <v>1003</v>
      </c>
      <c r="B6" s="3559" t="s">
        <v>1308</v>
      </c>
      <c r="C6" s="1205">
        <f ca="1">ROUND(F6*F8*F7*(1-F9)/10000,0)</f>
        <v>21352</v>
      </c>
      <c r="D6" s="160" t="s">
        <v>2789</v>
      </c>
      <c r="E6" s="308" t="s">
        <v>1310</v>
      </c>
      <c r="F6" s="309">
        <f ca="1">INDIRECT("'数据-取费表'!u"&amp;$G$1)</f>
        <v>11.5</v>
      </c>
      <c r="G6" s="1536"/>
      <c r="H6" s="1200" t="s">
        <v>1003</v>
      </c>
      <c r="I6" s="3559" t="s">
        <v>1308</v>
      </c>
      <c r="J6" s="307">
        <f ca="1">ROUND(M6*M8*M7*(1-M9)/10000,0)</f>
        <v>0</v>
      </c>
      <c r="K6" s="160" t="s">
        <v>2788</v>
      </c>
      <c r="L6" s="308" t="s">
        <v>1310</v>
      </c>
      <c r="M6" s="309">
        <f ca="1">INDIRECT("'数据-取费表'!z"&amp;$G$1)</f>
        <v>0</v>
      </c>
    </row>
    <row r="7" spans="1:37" ht="18" customHeight="1">
      <c r="A7" s="1204"/>
      <c r="B7" s="3560"/>
      <c r="C7" s="1206"/>
      <c r="D7" s="313"/>
      <c r="E7" s="1207" t="s">
        <v>1311</v>
      </c>
      <c r="F7" s="309">
        <f ca="1">IF(INDIRECT("'数据-取费表'!ah"&amp;$G$1)="",INDIRECT("'数据-取费表'!k"&amp;$G$1),INDIRECT("'数据-取费表'!ah"&amp;$G$1))</f>
        <v>56521.430000000008</v>
      </c>
      <c r="G7" s="1536"/>
      <c r="H7" s="310"/>
      <c r="I7" s="3560"/>
      <c r="J7" s="312"/>
      <c r="K7" s="313"/>
      <c r="L7" s="308" t="s">
        <v>1311</v>
      </c>
      <c r="M7" s="309">
        <f ca="1">F7</f>
        <v>56521.430000000008</v>
      </c>
    </row>
    <row r="8" spans="1:37" ht="18" customHeight="1">
      <c r="A8" s="310"/>
      <c r="B8" s="3560"/>
      <c r="C8" s="312"/>
      <c r="D8" s="313"/>
      <c r="E8" s="308" t="s">
        <v>1312</v>
      </c>
      <c r="F8" s="309">
        <f ca="1">INDIRECT("'数据-取费表'!ai"&amp;$G$1)</f>
        <v>365</v>
      </c>
      <c r="G8" s="1536"/>
      <c r="H8" s="310"/>
      <c r="I8" s="3560"/>
      <c r="J8" s="312"/>
      <c r="K8" s="313"/>
      <c r="L8" s="308" t="s">
        <v>1312</v>
      </c>
      <c r="M8" s="309">
        <f ca="1">INDIRECT("'数据-取费表'!ai"&amp;$G$1)</f>
        <v>365</v>
      </c>
    </row>
    <row r="9" spans="1:37" ht="18" customHeight="1">
      <c r="A9" s="310"/>
      <c r="B9" s="3561"/>
      <c r="C9" s="312"/>
      <c r="D9" s="313"/>
      <c r="E9" s="308" t="s">
        <v>1313</v>
      </c>
      <c r="F9" s="318">
        <f ca="1">INDIRECT("'数据-取费表'!w"&amp;$G$1)</f>
        <v>0.1</v>
      </c>
      <c r="G9" s="1536"/>
      <c r="H9" s="310"/>
      <c r="I9" s="3561"/>
      <c r="J9" s="312"/>
      <c r="K9" s="313"/>
      <c r="L9" s="319" t="s">
        <v>1313</v>
      </c>
      <c r="M9" s="320">
        <f ca="1">INDIRECT("'数据-取费表'!ab"&amp;$G$1)</f>
        <v>0</v>
      </c>
    </row>
    <row r="10" spans="1:37" ht="18" customHeight="1">
      <c r="A10" s="1200" t="s">
        <v>1007</v>
      </c>
      <c r="B10" s="1517" t="s">
        <v>1314</v>
      </c>
      <c r="C10" s="322">
        <f ca="1">ROUND(IF(F10="押一",C6/12*F11,IF(F10="押二",C6/12*2*F11,IF(F10="押三",C6/12*3*F11,C11*F11))),0)</f>
        <v>27</v>
      </c>
      <c r="D10" s="1518" t="s">
        <v>2797</v>
      </c>
      <c r="E10" s="319" t="s">
        <v>1315</v>
      </c>
      <c r="F10" s="1247" t="s">
        <v>3213</v>
      </c>
      <c r="G10" s="1536"/>
      <c r="H10" s="1200" t="s">
        <v>1007</v>
      </c>
      <c r="I10" s="1517" t="s">
        <v>1314</v>
      </c>
      <c r="J10" s="307">
        <f ca="1">ROUND(IF(M10="押一",J6/12*M11,IF(M10="押二",J6/12*2*M11,IF(M10="押三",J6/12*3*M11,J11*M11))),0)</f>
        <v>0</v>
      </c>
      <c r="K10" s="1518" t="s">
        <v>2796</v>
      </c>
      <c r="L10" s="319" t="s">
        <v>1315</v>
      </c>
      <c r="M10" s="1247" t="s">
        <v>1316</v>
      </c>
    </row>
    <row r="11" spans="1:37" ht="18" customHeight="1">
      <c r="A11" s="314"/>
      <c r="B11" s="1519" t="s">
        <v>1293</v>
      </c>
      <c r="C11" s="1089"/>
      <c r="D11" s="1520"/>
      <c r="E11" s="319" t="s">
        <v>1317</v>
      </c>
      <c r="F11" s="320">
        <f ca="1">'数据-取费表'!B39</f>
        <v>1.4999999999999999E-2</v>
      </c>
      <c r="G11" s="1536"/>
      <c r="H11" s="1208"/>
      <c r="I11" s="1519" t="s">
        <v>1293</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46571</v>
      </c>
      <c r="D13" s="1212" t="s">
        <v>1320</v>
      </c>
      <c r="E13" s="1212"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8" t="s">
        <v>1322</v>
      </c>
      <c r="C14" s="324">
        <f ca="1">INDIRECT("'数据-取费表'!m"&amp;$G$1)+INDIRECT("'数据-取费表'!t"&amp;$G$1)</f>
        <v>28261</v>
      </c>
      <c r="D14" s="1497" t="s">
        <v>1323</v>
      </c>
      <c r="E14" s="1494"/>
      <c r="F14" s="325"/>
      <c r="G14" s="1536"/>
      <c r="H14" s="1112" t="s">
        <v>1003</v>
      </c>
      <c r="I14" s="308" t="s">
        <v>1324</v>
      </c>
      <c r="J14" s="24">
        <f ca="1">C29</f>
        <v>46571</v>
      </c>
      <c r="K14" s="15"/>
      <c r="L14" s="915"/>
      <c r="M14" s="916"/>
    </row>
    <row r="15" spans="1:37" s="1549" customFormat="1" ht="18" customHeight="1" thickBot="1">
      <c r="A15" s="1112" t="s">
        <v>1004</v>
      </c>
      <c r="B15" s="308" t="s">
        <v>1325</v>
      </c>
      <c r="C15" s="24">
        <f ca="1">ROUND(C14*F15,0)</f>
        <v>1413</v>
      </c>
      <c r="D15" s="326" t="s">
        <v>1326</v>
      </c>
      <c r="E15" s="326"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10" t="s">
        <v>998</v>
      </c>
      <c r="I16" s="1211" t="s">
        <v>1329</v>
      </c>
      <c r="J16" s="316">
        <f ca="1">ROUND(J17+J22+J23+J24,0)</f>
        <v>1109</v>
      </c>
      <c r="K16" s="1218" t="s">
        <v>1330</v>
      </c>
      <c r="L16" s="1219"/>
      <c r="M16" s="1203"/>
    </row>
    <row r="17" spans="1:37" s="1549" customFormat="1" ht="18" customHeight="1">
      <c r="A17" s="1112" t="s">
        <v>1295</v>
      </c>
      <c r="B17" s="308" t="s">
        <v>1331</v>
      </c>
      <c r="C17" s="24">
        <f ca="1">ROUND(F17*(F43+INDIRECT("'数据-取费表'!S"&amp;$G$1))/10000,0)</f>
        <v>1130</v>
      </c>
      <c r="D17" s="308" t="s">
        <v>1332</v>
      </c>
      <c r="E17" s="308" t="s">
        <v>1333</v>
      </c>
      <c r="F17" s="26">
        <f>'数据-取费表'!B35</f>
        <v>200</v>
      </c>
      <c r="G17" s="1548"/>
      <c r="H17" s="1112" t="s">
        <v>1003</v>
      </c>
      <c r="I17" s="308" t="s">
        <v>1334</v>
      </c>
      <c r="J17" s="2501">
        <f ca="1">ROUND(IF(AND(项目基本情况!B11="自然人",项目基本情况!B10="北京市"),J6*M17/(1+'数据-取费表'!C42),J18+J19+J20),0)</f>
        <v>410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424</v>
      </c>
      <c r="D18" s="308" t="s">
        <v>1326</v>
      </c>
      <c r="E18" s="308" t="s">
        <v>1327</v>
      </c>
      <c r="F18" s="328">
        <f>'数据-取费表'!B36</f>
        <v>1.4999999999999999E-2</v>
      </c>
      <c r="G18" s="1548"/>
      <c r="H18" s="1112"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31228</v>
      </c>
      <c r="D19" s="136" t="s">
        <v>1341</v>
      </c>
      <c r="E19" s="1512"/>
      <c r="F19" s="26"/>
      <c r="G19" s="1536"/>
      <c r="H19" s="1112" t="s">
        <v>1004</v>
      </c>
      <c r="I19" s="308" t="s">
        <v>1342</v>
      </c>
      <c r="J19" s="24">
        <f ca="1">IF(K19="按租金收入计税",ROUND(J6*M19/(1+'数据-取费表'!C42),2),ROUND(C29*M19*0.7,2))</f>
        <v>391.2</v>
      </c>
      <c r="K19" s="1522" t="s">
        <v>1343</v>
      </c>
      <c r="L19" s="308" t="s">
        <v>1327</v>
      </c>
      <c r="M19" s="328">
        <f>IF(K19="按租金收入计税",'数据-取费表'!B51,'数据-取费表'!B50)</f>
        <v>1.2E-2</v>
      </c>
    </row>
    <row r="20" spans="1:37" s="1549" customFormat="1" ht="18" customHeight="1">
      <c r="A20" s="1112" t="s">
        <v>1007</v>
      </c>
      <c r="B20" s="308" t="s">
        <v>1344</v>
      </c>
      <c r="C20" s="24">
        <f ca="1">ROUND(C19*F20,0)</f>
        <v>937</v>
      </c>
      <c r="D20" s="329" t="s">
        <v>1345</v>
      </c>
      <c r="E20" s="308" t="s">
        <v>1327</v>
      </c>
      <c r="F20" s="328">
        <f>'数据-取费表'!B37</f>
        <v>0.03</v>
      </c>
      <c r="G20" s="1548"/>
      <c r="H20" s="1112" t="s">
        <v>1294</v>
      </c>
      <c r="I20" s="160" t="s">
        <v>1346</v>
      </c>
      <c r="J20" s="25">
        <f ca="1">ROUND(M20*M21/10000,2)</f>
        <v>18.46</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7691.58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2"/>
      <c r="F22" s="26"/>
      <c r="G22" s="1536"/>
      <c r="H22" s="1112" t="s">
        <v>1007</v>
      </c>
      <c r="I22" s="308" t="s">
        <v>1354</v>
      </c>
      <c r="J22" s="24">
        <f ca="1">ROUND(J14*M22,1)</f>
        <v>698.6</v>
      </c>
      <c r="K22" s="1496" t="s">
        <v>1355</v>
      </c>
      <c r="L22" s="308" t="s">
        <v>1327</v>
      </c>
      <c r="M22" s="334">
        <f ca="1">INDIRECT("'数据-取费表'!Ak"&amp;$G$1)</f>
        <v>1.4999999999999999E-2</v>
      </c>
    </row>
    <row r="23" spans="1:37" s="1549" customFormat="1" ht="18" customHeight="1">
      <c r="A23" s="1112" t="s">
        <v>1002</v>
      </c>
      <c r="B23" s="308" t="s">
        <v>1356</v>
      </c>
      <c r="C23" s="24">
        <f ca="1">IF('数据-取费表'!B22&lt;=1,ROUND(C19*F24*F23/2,0)+ROUND(C20*F24*F23/2,0),ROUND(C19*(POWER((1+F24),F23/2)-1),0)+ROUND(C20*(POWER((1+F24),F23/2)-1),0))</f>
        <v>2048</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1298</v>
      </c>
      <c r="I24" s="1221" t="s">
        <v>1344</v>
      </c>
      <c r="J24" s="1222">
        <f ca="1">ROUND(J5*M24,1)</f>
        <v>0</v>
      </c>
      <c r="K24" s="1223" t="s">
        <v>1364</v>
      </c>
      <c r="L24" s="1221" t="s">
        <v>1360</v>
      </c>
      <c r="M24" s="1217">
        <f ca="1">INDIRECT("'数据-取费表'!Am"&amp;$G$1)</f>
        <v>0.03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1512"/>
      <c r="F25" s="26"/>
      <c r="G25" s="1536"/>
      <c r="H25" s="1210" t="s">
        <v>999</v>
      </c>
      <c r="I25" s="1225" t="s">
        <v>1368</v>
      </c>
      <c r="J25" s="316">
        <f ca="1">J5-J16</f>
        <v>-1109</v>
      </c>
      <c r="K25" s="1226" t="s">
        <v>1369</v>
      </c>
      <c r="L25" s="1227"/>
      <c r="M25" s="1228"/>
    </row>
    <row r="26" spans="1:37">
      <c r="A26" s="1112" t="s">
        <v>1002</v>
      </c>
      <c r="B26" s="308" t="s">
        <v>1370</v>
      </c>
      <c r="C26" s="24">
        <f ca="1">ROUND((C19+C20)*F26,0)</f>
        <v>8041</v>
      </c>
      <c r="D26" s="329" t="s">
        <v>1371</v>
      </c>
      <c r="E26" s="319" t="s">
        <v>1372</v>
      </c>
      <c r="F26" s="318">
        <f ca="1">INDIRECT("'数据-取费表'!q"&amp;$G$1)</f>
        <v>0.25</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7.4999999999999997E-3</v>
      </c>
      <c r="D27" s="329" t="s">
        <v>1377</v>
      </c>
      <c r="E27" s="326"/>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46571</v>
      </c>
      <c r="D29" s="1223"/>
      <c r="E29" s="1221"/>
      <c r="F29" s="1224"/>
      <c r="G29" s="1548"/>
      <c r="H29" s="340" t="s">
        <v>1001</v>
      </c>
      <c r="I29" s="341" t="s">
        <v>1384</v>
      </c>
      <c r="J29" s="342">
        <f ca="1">ROUND(J26/(1+F40)^F41,0)</f>
        <v>0</v>
      </c>
      <c r="K29" s="343" t="s">
        <v>1385</v>
      </c>
      <c r="L29" s="344"/>
      <c r="M29" s="345">
        <f ca="1">INDIRECT("'数据-取费表'!k"&amp;$G$1)</f>
        <v>56521.430000000008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5007</v>
      </c>
      <c r="D30" s="1218" t="s">
        <v>1330</v>
      </c>
      <c r="E30" s="121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3597</v>
      </c>
      <c r="D31" s="1497" t="s">
        <v>1335</v>
      </c>
      <c r="E31" s="1496"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IF(项目基本情况!B11="自然人","——",ROUND(C6*F32/(1+'数据-取费表'!C42),2))</f>
        <v>1138.77</v>
      </c>
      <c r="D32" s="1496"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2440.23</v>
      </c>
      <c r="D33" s="1522" t="s">
        <v>3214</v>
      </c>
      <c r="E33" s="308" t="s">
        <v>1327</v>
      </c>
      <c r="F33" s="328">
        <f>IF(D33="按票据","——",IF(D33="按租金收入计税",'数据-取费表'!B51,'数据-取费表'!B50))</f>
        <v>0.12</v>
      </c>
      <c r="G33" s="1536"/>
      <c r="H33" s="2895"/>
      <c r="I33" s="1550"/>
      <c r="J33" s="1551"/>
      <c r="K33" s="2896"/>
      <c r="L33" s="2895"/>
      <c r="M33" s="2895"/>
    </row>
    <row r="34" spans="1:18" ht="18" customHeight="1">
      <c r="A34" s="1200" t="s">
        <v>1294</v>
      </c>
      <c r="B34" s="160" t="s">
        <v>1346</v>
      </c>
      <c r="C34" s="25">
        <f ca="1">IF(项目基本情况!B11="自然人","——",ROUND(F34*F35/10000,2))</f>
        <v>18.46</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7691.58</v>
      </c>
      <c r="G35" s="1536"/>
      <c r="H35" s="2892"/>
      <c r="I35" s="1550"/>
      <c r="J35" s="1551"/>
      <c r="K35" s="2896"/>
      <c r="L35" s="2895"/>
      <c r="M35" s="2895"/>
    </row>
    <row r="36" spans="1:18" ht="18" customHeight="1">
      <c r="A36" s="1233" t="s">
        <v>1007</v>
      </c>
      <c r="B36" s="308" t="s">
        <v>1354</v>
      </c>
      <c r="C36" s="24">
        <f ca="1">ROUND(C29*F36,1)</f>
        <v>698.6</v>
      </c>
      <c r="D36" s="1496" t="s">
        <v>1387</v>
      </c>
      <c r="E36" s="308" t="s">
        <v>1327</v>
      </c>
      <c r="F36" s="334">
        <f ca="1">INDIRECT("'数据-取费表'!Ak"&amp;$G$1)</f>
        <v>1.4999999999999999E-2</v>
      </c>
      <c r="G36" s="1536"/>
      <c r="H36" s="2895"/>
      <c r="I36" s="1550"/>
      <c r="J36" s="1551"/>
      <c r="K36" s="2736"/>
      <c r="L36" s="2895"/>
      <c r="M36" s="2895"/>
    </row>
    <row r="37" spans="1:18" ht="18" customHeight="1">
      <c r="A37" s="1112" t="s">
        <v>1043</v>
      </c>
      <c r="B37" s="308" t="s">
        <v>1358</v>
      </c>
      <c r="C37" s="24">
        <f ca="1">ROUND(C13*F37,1)</f>
        <v>69.900000000000006</v>
      </c>
      <c r="D37" s="1496" t="s">
        <v>1359</v>
      </c>
      <c r="E37" s="308" t="s">
        <v>1360</v>
      </c>
      <c r="F37" s="336">
        <f ca="1">INDIRECT("'数据-取费表'!Al"&amp;$G$1)</f>
        <v>1.5E-3</v>
      </c>
      <c r="G37" s="1536"/>
      <c r="H37" s="2895"/>
      <c r="I37" s="1550"/>
      <c r="J37" s="1551"/>
      <c r="K37" s="2736"/>
      <c r="L37" s="2895"/>
      <c r="M37" s="2895"/>
    </row>
    <row r="38" spans="1:18" ht="18" customHeight="1" thickBot="1">
      <c r="A38" s="1220" t="s">
        <v>1298</v>
      </c>
      <c r="B38" s="1221" t="s">
        <v>1344</v>
      </c>
      <c r="C38" s="1222">
        <f ca="1">ROUND(C5*F38,1)</f>
        <v>641.4</v>
      </c>
      <c r="D38" s="1223" t="s">
        <v>1364</v>
      </c>
      <c r="E38" s="1221" t="s">
        <v>1360</v>
      </c>
      <c r="F38" s="1217">
        <f ca="1">INDIRECT("'数据-取费表'!Am"&amp;$G$1)</f>
        <v>0.03</v>
      </c>
      <c r="G38" s="1536"/>
      <c r="H38" s="2895"/>
      <c r="I38" s="1550"/>
      <c r="J38" s="1551"/>
      <c r="K38" s="2899"/>
      <c r="L38" s="2895"/>
      <c r="M38" s="2895"/>
    </row>
    <row r="39" spans="1:18" ht="24.6" customHeight="1" thickTop="1">
      <c r="A39" s="1210" t="s">
        <v>999</v>
      </c>
      <c r="B39" s="1225" t="s">
        <v>1388</v>
      </c>
      <c r="C39" s="316">
        <f ca="1">C5-C30</f>
        <v>16372</v>
      </c>
      <c r="D39" s="1226" t="s">
        <v>1389</v>
      </c>
      <c r="E39" s="1227"/>
      <c r="F39" s="1228"/>
      <c r="G39" s="1536"/>
      <c r="H39" s="2895"/>
      <c r="I39" s="1550"/>
      <c r="J39" s="1551"/>
      <c r="K39" s="2899"/>
      <c r="L39" s="2895"/>
      <c r="M39" s="2895"/>
    </row>
    <row r="40" spans="1:18" ht="18" customHeight="1">
      <c r="A40" s="305" t="s">
        <v>1000</v>
      </c>
      <c r="B40" s="306" t="s">
        <v>1390</v>
      </c>
      <c r="C40" s="307">
        <f ca="1">ROUND(C39*(1-((1+F42)/(1+F40))^F41)/(F40-F42),0)</f>
        <v>378156</v>
      </c>
      <c r="D40" s="330" t="s">
        <v>1374</v>
      </c>
      <c r="E40" s="308" t="s">
        <v>1375</v>
      </c>
      <c r="F40" s="318">
        <f ca="1">INDIRECT("'数据-取费表'!I"&amp;$G$1)</f>
        <v>5.5E-2</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35.92</v>
      </c>
      <c r="G41" s="1536"/>
      <c r="H41" s="1323"/>
      <c r="I41" s="1550"/>
      <c r="J41" s="1551"/>
      <c r="K41" s="2736"/>
      <c r="L41" s="1323"/>
      <c r="M41" s="1323"/>
    </row>
    <row r="42" spans="1:18" ht="18" customHeight="1">
      <c r="A42" s="314"/>
      <c r="B42" s="315"/>
      <c r="C42" s="316"/>
      <c r="D42" s="333"/>
      <c r="E42" s="308" t="s">
        <v>1382</v>
      </c>
      <c r="F42" s="318">
        <f ca="1">INDIRECT("'数据-取费表'!v"&amp;$G$1)</f>
        <v>0.03</v>
      </c>
      <c r="G42" s="1536"/>
      <c r="H42" s="1323"/>
      <c r="I42" s="1550"/>
      <c r="J42" s="1551"/>
      <c r="K42" s="2736"/>
      <c r="L42" s="1323"/>
      <c r="M42" s="1323"/>
    </row>
    <row r="43" spans="1:18" ht="18" customHeight="1" thickBot="1">
      <c r="A43" s="340" t="s">
        <v>1001</v>
      </c>
      <c r="B43" s="341" t="s">
        <v>1392</v>
      </c>
      <c r="C43" s="342">
        <f ca="1">ROUND(C40*10000/F43,0)</f>
        <v>66905</v>
      </c>
      <c r="D43" s="343" t="s">
        <v>1393</v>
      </c>
      <c r="E43" s="344" t="s">
        <v>1394</v>
      </c>
      <c r="F43" s="345">
        <f ca="1">INDIRECT("'数据-取费表'!k"&amp;$G$1)</f>
        <v>56521.430000000008</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0" t="s">
        <v>1424</v>
      </c>
      <c r="P45" s="1613"/>
      <c r="Q45" s="1613"/>
      <c r="R45" s="1613"/>
    </row>
    <row r="46" spans="1:18" s="1536" customFormat="1" ht="13.5" thickBot="1">
      <c r="A46" s="1556" t="s">
        <v>1425</v>
      </c>
      <c r="C46" s="1557">
        <f ca="1">C68-C40</f>
        <v>-451107</v>
      </c>
      <c r="D46" s="1558" t="str">
        <f>C2</f>
        <v>万元</v>
      </c>
      <c r="E46" s="1552"/>
      <c r="F46" s="1552"/>
      <c r="I46" s="1559" t="s">
        <v>1426</v>
      </c>
      <c r="J46" s="1560"/>
      <c r="K46" s="1561"/>
      <c r="L46" s="1562">
        <f ca="1">IF(M47="住宅",0,IF(L48&gt;J51,L60,J60))</f>
        <v>1390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1"/>
      <c r="I47" s="1566" t="s">
        <v>1431</v>
      </c>
      <c r="J47" s="1567" t="s">
        <v>3215</v>
      </c>
      <c r="K47" s="1568" t="s">
        <v>1432</v>
      </c>
      <c r="L47" s="1569">
        <f ca="1">INDIRECT("'数据-取费表'!d"&amp;$G$1)</f>
        <v>50</v>
      </c>
      <c r="M47" s="1532" t="str">
        <f>IF(ISNUMBER(FIND("住宅",C1)),"住宅","非住宅")</f>
        <v>非住宅</v>
      </c>
      <c r="O47" s="1570" t="s">
        <v>1008</v>
      </c>
      <c r="P47" s="1571" t="s">
        <v>1433</v>
      </c>
      <c r="Q47" s="1572">
        <f ca="1">C40+J29</f>
        <v>378156</v>
      </c>
      <c r="R47" s="1572" t="s">
        <v>1434</v>
      </c>
    </row>
    <row r="48" spans="1:18" s="1536" customFormat="1" ht="28.5" thickBot="1">
      <c r="A48" s="1241" t="s">
        <v>1044</v>
      </c>
      <c r="B48" s="306" t="s">
        <v>1306</v>
      </c>
      <c r="C48" s="1511">
        <f ca="1">C49+C53+C55</f>
        <v>0</v>
      </c>
      <c r="D48" s="1243"/>
      <c r="E48" s="1244"/>
      <c r="F48" s="1092"/>
      <c r="G48" s="731"/>
      <c r="H48" s="732"/>
      <c r="I48" s="1573" t="s">
        <v>1435</v>
      </c>
      <c r="J48" s="1574" t="s">
        <v>3216</v>
      </c>
      <c r="K48" s="1575" t="s">
        <v>1436</v>
      </c>
      <c r="L48" s="1576">
        <f ca="1">INDIRECT("'数据-取费表'!f"&amp;$G$1)</f>
        <v>35.92</v>
      </c>
      <c r="O48" s="1570" t="s">
        <v>1009</v>
      </c>
      <c r="P48" s="1571" t="s">
        <v>1437</v>
      </c>
      <c r="Q48" s="1572">
        <f ca="1">J60</f>
        <v>1390</v>
      </c>
      <c r="R48" s="1572" t="s">
        <v>1438</v>
      </c>
    </row>
    <row r="49" spans="1:18" s="1536" customFormat="1" ht="13.5" thickBot="1">
      <c r="A49" s="1105" t="s">
        <v>1045</v>
      </c>
      <c r="B49" s="1523" t="s">
        <v>1395</v>
      </c>
      <c r="C49" s="1245">
        <f ca="1">ROUND(F49*F51*F50*(1-F52)/10000,0)</f>
        <v>0</v>
      </c>
      <c r="D49" s="1185" t="s">
        <v>2790</v>
      </c>
      <c r="E49" s="1524" t="s">
        <v>1396</v>
      </c>
      <c r="F49" s="1190"/>
      <c r="G49" s="1577"/>
      <c r="H49" s="732"/>
      <c r="I49" s="1573" t="s">
        <v>1439</v>
      </c>
      <c r="J49" s="1578">
        <v>2022</v>
      </c>
      <c r="K49" s="1575" t="s">
        <v>1440</v>
      </c>
      <c r="L49" s="1579"/>
      <c r="O49" s="1580" t="s">
        <v>1010</v>
      </c>
      <c r="P49" s="1571" t="s">
        <v>1441</v>
      </c>
      <c r="Q49" s="1572">
        <f ca="1">C29</f>
        <v>46571</v>
      </c>
      <c r="R49" s="1572" t="s">
        <v>1434</v>
      </c>
    </row>
    <row r="50" spans="1:18" s="1536" customFormat="1" ht="13.5" thickBot="1">
      <c r="A50" s="1106"/>
      <c r="B50" s="1109"/>
      <c r="C50" s="1249"/>
      <c r="D50" s="1083"/>
      <c r="E50" s="1186" t="s">
        <v>1311</v>
      </c>
      <c r="F50" s="1187">
        <f ca="1">F7</f>
        <v>56521.430000000008</v>
      </c>
      <c r="H50" s="732"/>
      <c r="I50" s="1573" t="s">
        <v>1442</v>
      </c>
      <c r="J50" s="1581">
        <f>SUMPRODUCT((I63:I65=J47)*(J62:L62=J48)*(J63:L65))</f>
        <v>60</v>
      </c>
      <c r="K50" s="1575" t="s">
        <v>1443</v>
      </c>
      <c r="L50" s="1579"/>
      <c r="M50" s="1582"/>
      <c r="O50" s="1580" t="s">
        <v>1011</v>
      </c>
      <c r="P50" s="1571" t="s">
        <v>1444</v>
      </c>
      <c r="Q50" s="1583">
        <f ca="1">J58</f>
        <v>0.40100000000000002</v>
      </c>
      <c r="R50" s="1572"/>
    </row>
    <row r="51" spans="1:18" s="1536" customFormat="1" ht="13.5" thickBot="1">
      <c r="A51" s="1107"/>
      <c r="B51" s="1109"/>
      <c r="C51" s="1110"/>
      <c r="D51" s="1083"/>
      <c r="E51" s="1111" t="s">
        <v>1312</v>
      </c>
      <c r="F51" s="309">
        <f ca="1">F8</f>
        <v>365</v>
      </c>
      <c r="I51" s="1584" t="s">
        <v>1445</v>
      </c>
      <c r="J51" s="1585">
        <f>IF(J49="",J50,J49+J50-YEAR('数据-取费表'!B2))</f>
        <v>60</v>
      </c>
      <c r="K51" s="1586" t="s">
        <v>1446</v>
      </c>
      <c r="L51" s="1587">
        <f ca="1">ROUND(-PV(INDIRECT("'数据-取费表'!h"&amp;$G$1),J51,(C39-C13*C76),0),0)</f>
        <v>243794</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35.92</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7"/>
      <c r="I53" s="1591" t="s">
        <v>1452</v>
      </c>
      <c r="J53" s="2353">
        <f ca="1">IF(M47="住宅",IF(D1="——",MAX(J51,L48),MAX(J51,L48-'数据-取费表'!B24)),IF(D1="——",MIN(J51,L48),MIN(J51,L48-'数据-取费表'!B24)))</f>
        <v>35.92</v>
      </c>
      <c r="K53" s="3557" t="s">
        <v>1453</v>
      </c>
      <c r="L53" s="3558"/>
      <c r="O53" s="1570" t="s">
        <v>1014</v>
      </c>
      <c r="P53" s="1571" t="s">
        <v>1454</v>
      </c>
      <c r="Q53" s="1572">
        <f ca="1">Q47+Q48</f>
        <v>379546</v>
      </c>
      <c r="R53" s="1572" t="s">
        <v>1015</v>
      </c>
    </row>
    <row r="54" spans="1:18" s="1536" customFormat="1" ht="13.5"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f ca="1">ROUND(IF(J47="钢混",J57/J50,1-(1-2%)*(J50-J57)/J50),3)</f>
        <v>0.40100000000000002</v>
      </c>
      <c r="K55" s="1597" t="s">
        <v>1457</v>
      </c>
      <c r="L55" s="1598" t="s">
        <v>1458</v>
      </c>
      <c r="O55" s="1563" t="s">
        <v>1427</v>
      </c>
      <c r="P55" s="1564" t="s">
        <v>1428</v>
      </c>
      <c r="Q55" s="1565" t="s">
        <v>1429</v>
      </c>
      <c r="R55" s="1565" t="s">
        <v>1430</v>
      </c>
    </row>
    <row r="56" spans="1:18" s="1536" customFormat="1" ht="25.5" thickTop="1" thickBot="1">
      <c r="A56" s="1087">
        <v>2</v>
      </c>
      <c r="B56" s="1088" t="s">
        <v>1319</v>
      </c>
      <c r="C56" s="238">
        <f ca="1">C13</f>
        <v>46571</v>
      </c>
      <c r="D56" s="1599"/>
      <c r="E56" s="1600"/>
      <c r="F56" s="1592"/>
      <c r="I56" s="1601" t="s">
        <v>1459</v>
      </c>
      <c r="J56" s="1602" t="s">
        <v>3196</v>
      </c>
      <c r="K56" s="1573" t="s">
        <v>1460</v>
      </c>
      <c r="L56" s="1576" t="str">
        <f ca="1">IF(L48&lt;J51,"——",L48-J53)</f>
        <v>——</v>
      </c>
      <c r="O56" s="1570" t="s">
        <v>1008</v>
      </c>
      <c r="P56" s="1571" t="s">
        <v>1433</v>
      </c>
      <c r="Q56" s="1572">
        <f ca="1">C40+J29</f>
        <v>378156</v>
      </c>
      <c r="R56" s="1572" t="s">
        <v>1434</v>
      </c>
    </row>
    <row r="57" spans="1:18" s="1536" customFormat="1" ht="24.75" thickBot="1">
      <c r="A57" s="1603"/>
      <c r="B57" s="1080" t="s">
        <v>1383</v>
      </c>
      <c r="C57" s="244">
        <f ca="1">C29</f>
        <v>46571</v>
      </c>
      <c r="D57" s="1604"/>
      <c r="E57" s="1605"/>
      <c r="F57" s="1606"/>
      <c r="I57" s="1607" t="s">
        <v>1461</v>
      </c>
      <c r="J57" s="1608">
        <f ca="1">IF(OR(M47="住宅",J51&lt;L48,J56="是"),"——",J51-L48)</f>
        <v>24.08</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8" t="s">
        <v>1329</v>
      </c>
      <c r="C58" s="322">
        <f ca="1">ROUND(C59+C64+C65+C66,0)</f>
        <v>4699</v>
      </c>
      <c r="D58" s="1090" t="s">
        <v>1330</v>
      </c>
      <c r="E58" s="1091"/>
      <c r="F58" s="1092"/>
      <c r="I58" s="1607" t="s">
        <v>1465</v>
      </c>
      <c r="J58" s="1609">
        <f ca="1">IF(J55&lt;0.4,0.4,J55)</f>
        <v>0.40100000000000002</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3930</v>
      </c>
      <c r="D59" s="1093" t="s">
        <v>1335</v>
      </c>
      <c r="E59" s="1094" t="s">
        <v>1336</v>
      </c>
      <c r="F59" s="2500" t="str">
        <f>IF(项目基本情况!B11="企业","——",IF('数据-取费表'!B10="住宅",IF(F49*F50*F51/12/(1+'数据-取费表'!F30)&gt;100000,4%,2.5%),IF(F49*F50*F51/12/(1+'数据-取费表'!F30)&gt;100000,12%,7%)))</f>
        <v>——</v>
      </c>
      <c r="I59" s="1607" t="s">
        <v>1468</v>
      </c>
      <c r="J59" s="1608">
        <f ca="1">IF(OR(M47="住宅",J51&lt;L48,J56="是"),"——",ROUND(C29*J58,0))</f>
        <v>18675</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7">
        <f t="shared" ref="F60:F66" si="0">F32</f>
        <v>5.6000000000000001E-2</v>
      </c>
      <c r="I60" s="1610" t="s">
        <v>1470</v>
      </c>
      <c r="J60" s="1611">
        <f ca="1">IF(OR(M47="住宅",J51&lt;L48,J56="是"),"0",ROUND(J59/(1+J52)^J53,0))</f>
        <v>1390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3911.96</v>
      </c>
      <c r="D61" s="1522" t="s">
        <v>1343</v>
      </c>
      <c r="E61" s="1080"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18.46</v>
      </c>
      <c r="D62" s="1095" t="s">
        <v>1402</v>
      </c>
      <c r="E62" s="1080" t="s">
        <v>1403</v>
      </c>
      <c r="F62" s="331">
        <f t="shared" si="0"/>
        <v>24</v>
      </c>
      <c r="I62" s="1614" t="s">
        <v>1475</v>
      </c>
      <c r="J62" s="1615" t="s">
        <v>1476</v>
      </c>
      <c r="K62" s="1615" t="s">
        <v>1477</v>
      </c>
      <c r="L62" s="1615" t="s">
        <v>1478</v>
      </c>
      <c r="M62" s="1616" t="s">
        <v>1479</v>
      </c>
      <c r="O62" s="1570" t="s">
        <v>1014</v>
      </c>
      <c r="P62" s="1571" t="s">
        <v>1480</v>
      </c>
      <c r="Q62" s="1572">
        <f ca="1">Q56+Q57</f>
        <v>378156</v>
      </c>
      <c r="R62" s="1572" t="s">
        <v>1015</v>
      </c>
    </row>
    <row r="63" spans="1:18" s="1536" customFormat="1" ht="13.5" thickBot="1">
      <c r="A63" s="332"/>
      <c r="B63" s="1086"/>
      <c r="C63" s="29"/>
      <c r="D63" s="1096"/>
      <c r="E63" s="1080" t="s">
        <v>1404</v>
      </c>
      <c r="F63" s="309">
        <f t="shared" ca="1" si="0"/>
        <v>7691.58</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698.6</v>
      </c>
      <c r="D64" s="1094" t="s">
        <v>1407</v>
      </c>
      <c r="E64" s="1080"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69.900000000000006</v>
      </c>
      <c r="D65" s="1094" t="s">
        <v>1359</v>
      </c>
      <c r="E65" s="1080" t="s">
        <v>1360</v>
      </c>
      <c r="F65" s="336">
        <f t="shared" ca="1" si="0"/>
        <v>1.5E-3</v>
      </c>
      <c r="I65" s="1614" t="s">
        <v>1484</v>
      </c>
      <c r="J65" s="1615">
        <v>40</v>
      </c>
      <c r="K65" s="1615">
        <v>30</v>
      </c>
      <c r="L65" s="1615">
        <v>50</v>
      </c>
      <c r="M65" s="1617">
        <v>0.02</v>
      </c>
      <c r="O65" s="1570" t="s">
        <v>1008</v>
      </c>
      <c r="P65" s="1571" t="s">
        <v>1485</v>
      </c>
      <c r="Q65" s="1572">
        <f ca="1">C40+J29</f>
        <v>378156</v>
      </c>
      <c r="R65" s="1572" t="s">
        <v>1434</v>
      </c>
    </row>
    <row r="66" spans="1:18" s="1536" customFormat="1" ht="16.5" thickBot="1">
      <c r="A66" s="1112" t="s">
        <v>1409</v>
      </c>
      <c r="B66" s="1080" t="s">
        <v>1344</v>
      </c>
      <c r="C66" s="24">
        <f ca="1">ROUND(C48*F66,1)</f>
        <v>0</v>
      </c>
      <c r="D66" s="1094" t="s">
        <v>1410</v>
      </c>
      <c r="E66" s="1080" t="s">
        <v>1327</v>
      </c>
      <c r="F66" s="318">
        <f t="shared" ca="1" si="0"/>
        <v>0.03</v>
      </c>
      <c r="O66" s="1570" t="s">
        <v>1009</v>
      </c>
      <c r="P66" s="1571" t="s">
        <v>1463</v>
      </c>
      <c r="Q66" s="1572">
        <f ca="1">L60</f>
        <v>0</v>
      </c>
      <c r="R66" s="1572" t="s">
        <v>1486</v>
      </c>
    </row>
    <row r="67" spans="1:18" s="1536" customFormat="1" ht="16.5" thickBot="1">
      <c r="A67" s="1087" t="s">
        <v>999</v>
      </c>
      <c r="B67" s="1097" t="s">
        <v>1368</v>
      </c>
      <c r="C67" s="322">
        <f ca="1">C48-C58</f>
        <v>-4699</v>
      </c>
      <c r="D67" s="1093" t="s">
        <v>1369</v>
      </c>
      <c r="E67" s="1098"/>
      <c r="F67" s="1099"/>
      <c r="O67" s="1580" t="s">
        <v>1010</v>
      </c>
      <c r="P67" s="1571" t="s">
        <v>1467</v>
      </c>
      <c r="Q67" s="1618">
        <f ca="1">L51</f>
        <v>243794</v>
      </c>
      <c r="R67" s="1572" t="s">
        <v>1487</v>
      </c>
    </row>
    <row r="68" spans="1:18" s="1536" customFormat="1" ht="16.5" thickBot="1">
      <c r="A68" s="1077" t="s">
        <v>1000</v>
      </c>
      <c r="B68" s="1078" t="s">
        <v>1390</v>
      </c>
      <c r="C68" s="307">
        <f ca="1">ROUND(C67*(1-((1+F70)/(1+F68))^F69)/(F68-F70),0)</f>
        <v>-72951</v>
      </c>
      <c r="D68" s="1095" t="s">
        <v>1374</v>
      </c>
      <c r="E68" s="1080" t="s">
        <v>1375</v>
      </c>
      <c r="F68" s="318">
        <f ca="1">F40</f>
        <v>5.5E-2</v>
      </c>
      <c r="O68" s="1580" t="s">
        <v>1011</v>
      </c>
      <c r="P68" s="1619" t="s">
        <v>1488</v>
      </c>
      <c r="Q68" s="1572">
        <f ca="1">ROUND(Q69-Q70*Q71,0)</f>
        <v>12879</v>
      </c>
      <c r="R68" s="1572" t="s">
        <v>1019</v>
      </c>
    </row>
    <row r="69" spans="1:18" s="1536" customFormat="1" ht="13.5" thickBot="1">
      <c r="A69" s="1081"/>
      <c r="B69" s="1082"/>
      <c r="C69" s="312"/>
      <c r="D69" s="1100" t="s">
        <v>1378</v>
      </c>
      <c r="E69" s="1080" t="s">
        <v>1379</v>
      </c>
      <c r="F69" s="339">
        <f ca="1">F41</f>
        <v>35.92</v>
      </c>
      <c r="O69" s="1580" t="s">
        <v>1016</v>
      </c>
      <c r="P69" s="1619" t="s">
        <v>1489</v>
      </c>
      <c r="Q69" s="1572">
        <f ca="1">C39</f>
        <v>16372</v>
      </c>
      <c r="R69" s="1572" t="s">
        <v>1434</v>
      </c>
    </row>
    <row r="70" spans="1:18" s="1536" customFormat="1" ht="13.5" thickBot="1">
      <c r="A70" s="1084"/>
      <c r="B70" s="1085"/>
      <c r="C70" s="316"/>
      <c r="D70" s="1096"/>
      <c r="E70" s="1080" t="s">
        <v>1382</v>
      </c>
      <c r="F70" s="1184"/>
      <c r="O70" s="1580" t="s">
        <v>1017</v>
      </c>
      <c r="P70" s="1619" t="s">
        <v>1490</v>
      </c>
      <c r="Q70" s="1572">
        <f ca="1">C13</f>
        <v>46571</v>
      </c>
      <c r="R70" s="1572" t="s">
        <v>1434</v>
      </c>
    </row>
    <row r="71" spans="1:18" s="1536" customFormat="1" ht="13.5" thickBot="1">
      <c r="A71" s="1101" t="s">
        <v>1001</v>
      </c>
      <c r="B71" s="1102" t="s">
        <v>1392</v>
      </c>
      <c r="C71" s="342">
        <f ca="1">ROUND(C68*10000/F71,0)</f>
        <v>-12907</v>
      </c>
      <c r="D71" s="1103" t="s">
        <v>1393</v>
      </c>
      <c r="E71" s="1104" t="s">
        <v>1394</v>
      </c>
      <c r="F71" s="345">
        <f ca="1">F43</f>
        <v>56521.430000000008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3493</v>
      </c>
      <c r="D75" s="1536"/>
      <c r="E75" s="1536"/>
      <c r="F75" s="1536"/>
      <c r="K75" s="1554"/>
      <c r="L75" s="1536"/>
      <c r="O75" s="1570" t="s">
        <v>1014</v>
      </c>
      <c r="P75" s="1571" t="s">
        <v>1454</v>
      </c>
      <c r="Q75" s="1572">
        <f ca="1">Q65+Q66</f>
        <v>378156</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0.78700000000000003</v>
      </c>
    </row>
    <row r="80" spans="1:18">
      <c r="B80" s="346" t="s">
        <v>1416</v>
      </c>
      <c r="C80" s="280">
        <f ca="1">ROUND(C75/C39,3)</f>
        <v>0.21299999999999999</v>
      </c>
    </row>
    <row r="81" spans="2:3">
      <c r="B81" s="276" t="s">
        <v>1417</v>
      </c>
      <c r="C81" s="244"/>
    </row>
    <row r="82" spans="2:3">
      <c r="B82" s="279" t="s">
        <v>1418</v>
      </c>
      <c r="C82" s="281">
        <f ca="1">1-C83</f>
        <v>0.877</v>
      </c>
    </row>
    <row r="83" spans="2:3">
      <c r="B83" s="279" t="s">
        <v>1419</v>
      </c>
      <c r="C83" s="280">
        <f ca="1">ROUND(C13/C40,3)</f>
        <v>0.123</v>
      </c>
    </row>
  </sheetData>
  <sheetProtection formatCells="0" formatColumns="0" formatRows="0"/>
  <mergeCells count="3">
    <mergeCell ref="K53:L53"/>
    <mergeCell ref="B6:B9"/>
    <mergeCell ref="I6:I9"/>
  </mergeCells>
  <phoneticPr fontId="4"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2">
        <f ca="1">J53</f>
        <v>0</v>
      </c>
      <c r="G1" s="1530">
        <f>MATCH(C1,'数据-取费表'!A6:A16,0)+5</f>
        <v>9</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1"/>
      <c r="H2" s="2890"/>
      <c r="I2" s="2890"/>
      <c r="J2" s="2890"/>
      <c r="K2" s="2891"/>
      <c r="L2" s="2890"/>
      <c r="M2" s="2890"/>
    </row>
    <row r="3" spans="1:37" ht="18" customHeight="1" thickBot="1">
      <c r="A3" s="1542" t="s">
        <v>1498</v>
      </c>
      <c r="B3" s="1543">
        <f ca="1">IF(ISERROR(D2/F43),0,ROUND(D2/F43,0))</f>
        <v>0</v>
      </c>
      <c r="C3" s="1539" t="s">
        <v>1499</v>
      </c>
      <c r="D3" s="1539"/>
      <c r="E3" s="1540"/>
      <c r="F3" s="1541"/>
      <c r="G3" s="2901"/>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1">
        <f ca="1">C6+C10+C12</f>
        <v>0</v>
      </c>
      <c r="D5" s="1516" t="s">
        <v>1506</v>
      </c>
      <c r="E5" s="1202"/>
      <c r="F5" s="1203"/>
      <c r="G5" s="1536"/>
      <c r="H5" s="305">
        <v>1</v>
      </c>
      <c r="I5" s="306" t="s">
        <v>1505</v>
      </c>
      <c r="J5" s="1201">
        <f ca="1">J6+J10+J12</f>
        <v>0</v>
      </c>
      <c r="K5" s="1516" t="s">
        <v>1506</v>
      </c>
      <c r="L5" s="1202"/>
      <c r="M5" s="1203"/>
    </row>
    <row r="6" spans="1:37" ht="18" customHeight="1">
      <c r="A6" s="1200" t="s">
        <v>1003</v>
      </c>
      <c r="B6" s="3559" t="s">
        <v>1308</v>
      </c>
      <c r="C6" s="1205">
        <f ca="1">ROUND(F6*F8*F7*(1-F9),0)</f>
        <v>0</v>
      </c>
      <c r="D6" s="160" t="s">
        <v>2786</v>
      </c>
      <c r="E6" s="308" t="s">
        <v>1310</v>
      </c>
      <c r="F6" s="309">
        <f ca="1">INDIRECT("'数据-取费表'!u"&amp;$G$1)</f>
        <v>0</v>
      </c>
      <c r="G6" s="1536"/>
      <c r="H6" s="1200" t="s">
        <v>1003</v>
      </c>
      <c r="I6" s="3559" t="s">
        <v>1308</v>
      </c>
      <c r="J6" s="307">
        <f ca="1">ROUND(M6*M8*M7*(1-M9),0)</f>
        <v>0</v>
      </c>
      <c r="K6" s="1528" t="s">
        <v>2787</v>
      </c>
      <c r="L6" s="308" t="s">
        <v>1310</v>
      </c>
      <c r="M6" s="309">
        <f ca="1">INDIRECT("'数据-取费表'!z"&amp;$G$1)</f>
        <v>0</v>
      </c>
    </row>
    <row r="7" spans="1:37" ht="18" customHeight="1">
      <c r="A7" s="1204"/>
      <c r="B7" s="3560"/>
      <c r="C7" s="1206"/>
      <c r="D7" s="313"/>
      <c r="E7" s="1207" t="s">
        <v>1311</v>
      </c>
      <c r="F7" s="309">
        <f ca="1">IF(INDIRECT("'数据-取费表'!ah"&amp;$G$1)="",INDIRECT("'数据-取费表'!k"&amp;$G$1),INDIRECT("'数据-取费表'!ah"&amp;$G$1))</f>
        <v>0</v>
      </c>
      <c r="G7" s="1536"/>
      <c r="H7" s="310"/>
      <c r="I7" s="3560"/>
      <c r="J7" s="312"/>
      <c r="K7" s="313"/>
      <c r="L7" s="308" t="s">
        <v>1311</v>
      </c>
      <c r="M7" s="309">
        <f ca="1">F7</f>
        <v>0</v>
      </c>
    </row>
    <row r="8" spans="1:37" ht="18" customHeight="1">
      <c r="A8" s="310"/>
      <c r="B8" s="3560"/>
      <c r="C8" s="312"/>
      <c r="D8" s="313"/>
      <c r="E8" s="308" t="s">
        <v>1312</v>
      </c>
      <c r="F8" s="309">
        <f ca="1">INDIRECT("'数据-取费表'!ai"&amp;$G$1)</f>
        <v>0</v>
      </c>
      <c r="G8" s="1536"/>
      <c r="H8" s="310"/>
      <c r="I8" s="3560"/>
      <c r="J8" s="312"/>
      <c r="K8" s="313"/>
      <c r="L8" s="308" t="s">
        <v>1312</v>
      </c>
      <c r="M8" s="309">
        <f ca="1">INDIRECT("'数据-取费表'!ai"&amp;$G$1)</f>
        <v>0</v>
      </c>
    </row>
    <row r="9" spans="1:37" ht="18" customHeight="1">
      <c r="A9" s="310"/>
      <c r="B9" s="3561"/>
      <c r="C9" s="312"/>
      <c r="D9" s="313"/>
      <c r="E9" s="308" t="s">
        <v>1313</v>
      </c>
      <c r="F9" s="318">
        <f ca="1">INDIRECT("'数据-取费表'!w"&amp;$G$1)</f>
        <v>0</v>
      </c>
      <c r="G9" s="1536"/>
      <c r="H9" s="310"/>
      <c r="I9" s="3561"/>
      <c r="J9" s="312"/>
      <c r="K9" s="313"/>
      <c r="L9" s="319" t="s">
        <v>1313</v>
      </c>
      <c r="M9" s="320">
        <f ca="1">INDIRECT("'数据-取费表'!ab"&amp;$G$1)</f>
        <v>0</v>
      </c>
    </row>
    <row r="10" spans="1:37" ht="18" customHeight="1">
      <c r="A10" s="1200" t="s">
        <v>1007</v>
      </c>
      <c r="B10" s="1517" t="s">
        <v>1314</v>
      </c>
      <c r="C10" s="322">
        <f ca="1">ROUND(IF(F10="押一",C6/12*F11,IF(F10="押二",C6/12*2*F11,IF(F10="押三",C6/12*3*F11,C11*F11))),0)</f>
        <v>0</v>
      </c>
      <c r="D10" s="1518" t="s">
        <v>2796</v>
      </c>
      <c r="E10" s="319" t="s">
        <v>1315</v>
      </c>
      <c r="F10" s="1247"/>
      <c r="G10" s="1536"/>
      <c r="H10" s="1200" t="s">
        <v>1007</v>
      </c>
      <c r="I10" s="1517" t="s">
        <v>1314</v>
      </c>
      <c r="J10" s="307">
        <f ca="1">ROUND(IF(M10="押一",J6/12*M11,IF(M10="押二",J6/12*2*M11,IF(M10="押三",J6/12*3*M11,J11*M11))),0)</f>
        <v>0</v>
      </c>
      <c r="K10" s="1529" t="s">
        <v>2798</v>
      </c>
      <c r="L10" s="319" t="s">
        <v>1315</v>
      </c>
      <c r="M10" s="1247"/>
    </row>
    <row r="11" spans="1:37" ht="18" customHeight="1">
      <c r="A11" s="314"/>
      <c r="B11" s="1519" t="s">
        <v>1507</v>
      </c>
      <c r="C11" s="1089"/>
      <c r="D11" s="313"/>
      <c r="E11" s="319" t="s">
        <v>1317</v>
      </c>
      <c r="F11" s="320">
        <f ca="1">'数据-取费表'!B39</f>
        <v>1.4999999999999999E-2</v>
      </c>
      <c r="G11" s="1536"/>
      <c r="H11" s="1208"/>
      <c r="I11" s="1519" t="s">
        <v>1508</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6"/>
      <c r="H13" s="1210">
        <v>2</v>
      </c>
      <c r="I13" s="1211" t="s">
        <v>1319</v>
      </c>
      <c r="J13" s="1199">
        <f ca="1">ROUND(J14*J15,0)</f>
        <v>0</v>
      </c>
      <c r="K13" s="1218" t="s">
        <v>1320</v>
      </c>
      <c r="L13" s="1544"/>
      <c r="M13" s="1545"/>
    </row>
    <row r="14" spans="1:37" ht="18" customHeight="1">
      <c r="A14" s="1112" t="s">
        <v>1002</v>
      </c>
      <c r="B14" s="308" t="s">
        <v>1322</v>
      </c>
      <c r="C14" s="324">
        <f ca="1">ROUND(INDIRECT("'数据-取费表'!l"&amp;$G$1)*F43+'数据-取费表'!L14*INDIRECT("'数据-取费表'!S"&amp;$G$1),0)</f>
        <v>0</v>
      </c>
      <c r="D14" s="1497" t="s">
        <v>1323</v>
      </c>
      <c r="E14" s="1494"/>
      <c r="F14" s="325"/>
      <c r="G14" s="1536"/>
      <c r="H14" s="1112" t="s">
        <v>1003</v>
      </c>
      <c r="I14" s="308" t="s">
        <v>1324</v>
      </c>
      <c r="J14" s="24">
        <f ca="1">C29</f>
        <v>0</v>
      </c>
      <c r="K14" s="15"/>
      <c r="L14" s="915"/>
      <c r="M14" s="916"/>
    </row>
    <row r="15" spans="1:37" s="1549" customFormat="1" ht="18" customHeight="1" thickBot="1">
      <c r="A15" s="1112" t="s">
        <v>1004</v>
      </c>
      <c r="B15" s="308" t="s">
        <v>1325</v>
      </c>
      <c r="C15" s="24">
        <f ca="1">ROUND(C14*F15,0)</f>
        <v>0</v>
      </c>
      <c r="D15" s="326" t="s">
        <v>1326</v>
      </c>
      <c r="E15" s="326"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6"/>
      <c r="H16" s="1210" t="s">
        <v>998</v>
      </c>
      <c r="I16" s="1211" t="s">
        <v>1329</v>
      </c>
      <c r="J16" s="316">
        <f ca="1">ROUND(J17+J22+J23+J24,0)</f>
        <v>0</v>
      </c>
      <c r="K16" s="1218" t="s">
        <v>1330</v>
      </c>
      <c r="L16" s="1219"/>
      <c r="M16" s="1203"/>
    </row>
    <row r="17" spans="1:37" s="1549" customFormat="1" ht="18" customHeight="1">
      <c r="A17" s="1112" t="s">
        <v>1295</v>
      </c>
      <c r="B17" s="308" t="s">
        <v>1331</v>
      </c>
      <c r="C17" s="24">
        <f ca="1">ROUND(F17*(F43+INDIRECT("'数据-取费表'!S"&amp;$G$1)),0)</f>
        <v>0</v>
      </c>
      <c r="D17" s="308" t="s">
        <v>1332</v>
      </c>
      <c r="E17" s="308" t="s">
        <v>1333</v>
      </c>
      <c r="F17" s="26">
        <f>'数据-取费表'!B35</f>
        <v>200</v>
      </c>
      <c r="G17" s="1548"/>
      <c r="H17" s="1112"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0</v>
      </c>
      <c r="D18" s="308" t="s">
        <v>1326</v>
      </c>
      <c r="E18" s="308" t="s">
        <v>1327</v>
      </c>
      <c r="F18" s="328">
        <f>'数据-取费表'!B36</f>
        <v>1.4999999999999999E-2</v>
      </c>
      <c r="G18" s="1548"/>
      <c r="H18" s="1112"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0</v>
      </c>
      <c r="D19" s="136" t="s">
        <v>1341</v>
      </c>
      <c r="E19" s="1512"/>
      <c r="F19" s="26"/>
      <c r="G19" s="1536"/>
      <c r="H19" s="1112"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2" t="s">
        <v>1007</v>
      </c>
      <c r="B20" s="308" t="s">
        <v>1344</v>
      </c>
      <c r="C20" s="24">
        <f ca="1">ROUND(C19*F20,0)</f>
        <v>0</v>
      </c>
      <c r="D20" s="329" t="s">
        <v>1345</v>
      </c>
      <c r="E20" s="308" t="s">
        <v>1327</v>
      </c>
      <c r="F20" s="328">
        <f>'数据-取费表'!B37</f>
        <v>0.03</v>
      </c>
      <c r="G20" s="1548"/>
      <c r="H20" s="1112" t="s">
        <v>1294</v>
      </c>
      <c r="I20" s="160" t="s">
        <v>1346</v>
      </c>
      <c r="J20" s="25">
        <f ca="1">ROUND(M20*M21,0)</f>
        <v>0</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0.03</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2"/>
      <c r="F22" s="26"/>
      <c r="G22" s="1536"/>
      <c r="H22" s="1112" t="s">
        <v>1007</v>
      </c>
      <c r="I22" s="308" t="s">
        <v>1354</v>
      </c>
      <c r="J22" s="24">
        <f ca="1">ROUND(J14*M22,0)</f>
        <v>0</v>
      </c>
      <c r="K22" s="1496" t="s">
        <v>1355</v>
      </c>
      <c r="L22" s="308" t="s">
        <v>1327</v>
      </c>
      <c r="M22" s="334">
        <f ca="1">INDIRECT("'数据-取费表'!Ak"&amp;$G$1)</f>
        <v>0</v>
      </c>
    </row>
    <row r="23" spans="1:37" s="1549"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1298</v>
      </c>
      <c r="I24" s="1221" t="s">
        <v>1344</v>
      </c>
      <c r="J24" s="1222">
        <f ca="1">ROUND(J5*M24,0)</f>
        <v>0</v>
      </c>
      <c r="K24" s="1223" t="s">
        <v>1364</v>
      </c>
      <c r="L24" s="1221" t="s">
        <v>1360</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8" t="s">
        <v>1366</v>
      </c>
      <c r="C25" s="24"/>
      <c r="D25" s="136" t="s">
        <v>1367</v>
      </c>
      <c r="E25" s="1512"/>
      <c r="F25" s="26"/>
      <c r="G25" s="1536"/>
      <c r="H25" s="1210" t="s">
        <v>999</v>
      </c>
      <c r="I25" s="1225" t="s">
        <v>1368</v>
      </c>
      <c r="J25" s="316">
        <f ca="1">J5-J16</f>
        <v>0</v>
      </c>
      <c r="K25" s="1226" t="s">
        <v>1369</v>
      </c>
      <c r="L25" s="1227"/>
      <c r="M25" s="1228"/>
    </row>
    <row r="26" spans="1:37" ht="18" customHeight="1">
      <c r="A26" s="1112"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0</v>
      </c>
      <c r="D29" s="1223"/>
      <c r="E29" s="1221"/>
      <c r="F29" s="1224"/>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0</v>
      </c>
      <c r="D30" s="1218" t="s">
        <v>1330</v>
      </c>
      <c r="E30" s="121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IF(项目基本情况!B11="自然人","——",ROUND(C6*F32/(1+'数据-取费表'!C42),0))</f>
        <v>0</v>
      </c>
      <c r="D32" s="1496"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5"/>
      <c r="I33" s="1550"/>
      <c r="J33" s="1551"/>
      <c r="K33" s="2896"/>
      <c r="L33" s="2895"/>
      <c r="M33" s="2895"/>
    </row>
    <row r="34" spans="1:18" ht="18" customHeight="1">
      <c r="A34" s="1200" t="s">
        <v>1294</v>
      </c>
      <c r="B34" s="160" t="s">
        <v>1346</v>
      </c>
      <c r="C34" s="25">
        <f ca="1">IF(项目基本情况!B11="自然人","——",ROUND(F34*F35,))</f>
        <v>0</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0</v>
      </c>
      <c r="G35" s="1536"/>
      <c r="H35" s="2892"/>
      <c r="I35" s="1550"/>
      <c r="J35" s="1551"/>
      <c r="K35" s="2896"/>
      <c r="L35" s="2895"/>
      <c r="M35" s="2895"/>
    </row>
    <row r="36" spans="1:18" ht="18" customHeight="1">
      <c r="A36" s="1233" t="s">
        <v>1007</v>
      </c>
      <c r="B36" s="308" t="s">
        <v>1354</v>
      </c>
      <c r="C36" s="24">
        <f ca="1">ROUND(C29*F36,0)</f>
        <v>0</v>
      </c>
      <c r="D36" s="1496" t="s">
        <v>1387</v>
      </c>
      <c r="E36" s="308" t="s">
        <v>1327</v>
      </c>
      <c r="F36" s="334">
        <f ca="1">INDIRECT("'数据-取费表'!Ak"&amp;$G$1)</f>
        <v>0</v>
      </c>
      <c r="G36" s="1536"/>
      <c r="H36" s="2895"/>
      <c r="I36" s="1550"/>
      <c r="J36" s="1551"/>
      <c r="K36" s="2736"/>
      <c r="L36" s="2895"/>
      <c r="M36" s="2895"/>
    </row>
    <row r="37" spans="1:18" ht="18" customHeight="1">
      <c r="A37" s="1112" t="s">
        <v>1043</v>
      </c>
      <c r="B37" s="308" t="s">
        <v>1358</v>
      </c>
      <c r="C37" s="24">
        <f ca="1">ROUND(C13*F37,0)</f>
        <v>0</v>
      </c>
      <c r="D37" s="1496" t="s">
        <v>1359</v>
      </c>
      <c r="E37" s="308" t="s">
        <v>1360</v>
      </c>
      <c r="F37" s="336">
        <f ca="1">INDIRECT("'数据-取费表'!Al"&amp;$G$1)</f>
        <v>0</v>
      </c>
      <c r="G37" s="1536"/>
      <c r="H37" s="2895"/>
      <c r="I37" s="1550"/>
      <c r="J37" s="1551"/>
      <c r="K37" s="2736"/>
      <c r="L37" s="2895"/>
      <c r="M37" s="2895"/>
    </row>
    <row r="38" spans="1:18" ht="18" customHeight="1" thickBot="1">
      <c r="A38" s="1220" t="s">
        <v>1298</v>
      </c>
      <c r="B38" s="1221" t="s">
        <v>1344</v>
      </c>
      <c r="C38" s="1222">
        <f ca="1">ROUND(C5*F38,1)</f>
        <v>0</v>
      </c>
      <c r="D38" s="1223" t="s">
        <v>1364</v>
      </c>
      <c r="E38" s="1221" t="s">
        <v>1360</v>
      </c>
      <c r="F38" s="1217">
        <f ca="1">INDIRECT("'数据-取费表'!Am"&amp;$G$1)</f>
        <v>0</v>
      </c>
      <c r="G38" s="1536"/>
      <c r="H38" s="2895"/>
      <c r="I38" s="1550"/>
      <c r="J38" s="1551"/>
      <c r="K38" s="2899"/>
      <c r="L38" s="2895"/>
      <c r="M38" s="2895"/>
    </row>
    <row r="39" spans="1:18" ht="24.6" customHeight="1" thickTop="1">
      <c r="A39" s="1210" t="s">
        <v>999</v>
      </c>
      <c r="B39" s="1225" t="s">
        <v>1388</v>
      </c>
      <c r="C39" s="316">
        <f ca="1">C5-C30</f>
        <v>0</v>
      </c>
      <c r="D39" s="1226" t="s">
        <v>1389</v>
      </c>
      <c r="E39" s="1227"/>
      <c r="F39" s="1228"/>
      <c r="G39" s="1536"/>
      <c r="H39" s="2895"/>
      <c r="I39" s="1550"/>
      <c r="J39" s="1551"/>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6"/>
      <c r="L41" s="1323"/>
      <c r="M41" s="1323"/>
    </row>
    <row r="42" spans="1:18" ht="18" customHeight="1">
      <c r="A42" s="314"/>
      <c r="B42" s="315"/>
      <c r="C42" s="316"/>
      <c r="D42" s="333"/>
      <c r="E42" s="308" t="s">
        <v>1382</v>
      </c>
      <c r="F42" s="318">
        <f ca="1">INDIRECT("'数据-取费表'!v"&amp;$G$1)</f>
        <v>0</v>
      </c>
      <c r="G42" s="1536"/>
      <c r="H42" s="1323"/>
      <c r="I42" s="1550"/>
      <c r="J42" s="1551"/>
      <c r="K42" s="2736"/>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1" t="s">
        <v>1044</v>
      </c>
      <c r="B48" s="306" t="s">
        <v>1306</v>
      </c>
      <c r="C48" s="1511">
        <f ca="1">C49+C53+C55</f>
        <v>0</v>
      </c>
      <c r="D48" s="1243"/>
      <c r="E48" s="1244"/>
      <c r="F48" s="1092"/>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5">
        <f ca="1">ROUND(F49*F51*F50*(1-F52),0)</f>
        <v>0</v>
      </c>
      <c r="D49" s="1185" t="s">
        <v>1309</v>
      </c>
      <c r="E49" s="1524" t="s">
        <v>1396</v>
      </c>
      <c r="F49" s="1190"/>
      <c r="G49" s="1577"/>
      <c r="H49" s="732"/>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6" t="s">
        <v>1311</v>
      </c>
      <c r="F50" s="1187">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4"/>
      <c r="I52" s="1589" t="s">
        <v>1448</v>
      </c>
      <c r="J52" s="1590"/>
      <c r="K52" s="1589" t="s">
        <v>1449</v>
      </c>
      <c r="L52" s="1590"/>
      <c r="O52" s="1580" t="s">
        <v>1013</v>
      </c>
      <c r="P52" s="1571" t="s">
        <v>1450</v>
      </c>
      <c r="Q52" s="1572">
        <f ca="1">J53</f>
        <v>0</v>
      </c>
      <c r="R52" s="1572" t="s">
        <v>1451</v>
      </c>
    </row>
    <row r="53" spans="1:18" s="1536" customFormat="1" ht="30.75" customHeight="1" thickBot="1">
      <c r="A53" s="1242" t="s">
        <v>1046</v>
      </c>
      <c r="B53" s="329" t="s">
        <v>1314</v>
      </c>
      <c r="C53" s="322">
        <f ca="1">ROUND(IF(F53="押一",C49/12*F11,IF(F53="押二",C49/12*2*F11,IF(F53="押三",C49/12*3*F11,C54*F11))),0)</f>
        <v>0</v>
      </c>
      <c r="D53" s="1518" t="s">
        <v>2799</v>
      </c>
      <c r="E53" s="319" t="s">
        <v>1315</v>
      </c>
      <c r="F53" s="1247"/>
      <c r="I53" s="1591" t="s">
        <v>1452</v>
      </c>
      <c r="J53" s="2353">
        <f ca="1">IF(M47="住宅",IF(D1="——",MAX(J51,L48),MAX(J51,L48-'数据-取费表'!B24)),IF(D1="——",MIN(J51,L48),MIN(J51,L48-'数据-取费表'!B24)))</f>
        <v>0</v>
      </c>
      <c r="K53" s="3557" t="s">
        <v>1453</v>
      </c>
      <c r="L53" s="3558"/>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8" t="s">
        <v>1329</v>
      </c>
      <c r="C58" s="322">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1">
        <f t="shared" si="0"/>
        <v>24</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6"/>
      <c r="C63" s="29"/>
      <c r="D63" s="1096"/>
      <c r="E63" s="1080"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8">
        <f t="shared" ca="1" si="0"/>
        <v>0</v>
      </c>
      <c r="O66" s="1570" t="s">
        <v>1009</v>
      </c>
      <c r="P66" s="1571" t="s">
        <v>1463</v>
      </c>
      <c r="Q66" s="1572" t="e">
        <f ca="1">L60</f>
        <v>#DIV/0!</v>
      </c>
      <c r="R66" s="1572" t="s">
        <v>1486</v>
      </c>
    </row>
    <row r="67" spans="1:18" s="1536" customFormat="1" ht="16.5" thickBot="1">
      <c r="A67" s="1087" t="s">
        <v>999</v>
      </c>
      <c r="B67" s="1097" t="s">
        <v>1368</v>
      </c>
      <c r="C67" s="322">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7" t="e">
        <f ca="1">ROUND(C67*(1-((1+F70)/(1+F68))^F69)/(F68-F70),0)</f>
        <v>#DIV/0!</v>
      </c>
      <c r="D68" s="1095" t="s">
        <v>1374</v>
      </c>
      <c r="E68" s="1080" t="s">
        <v>1375</v>
      </c>
      <c r="F68" s="318">
        <f ca="1">F40</f>
        <v>0</v>
      </c>
      <c r="O68" s="1580" t="s">
        <v>1011</v>
      </c>
      <c r="P68" s="1619" t="s">
        <v>1488</v>
      </c>
      <c r="Q68" s="1572">
        <f ca="1">ROUND(Q69-Q70*Q71,0)</f>
        <v>0</v>
      </c>
      <c r="R68" s="1572" t="s">
        <v>1019</v>
      </c>
    </row>
    <row r="69" spans="1:18" s="1536" customFormat="1" ht="13.5" thickBot="1">
      <c r="A69" s="1081"/>
      <c r="B69" s="1082"/>
      <c r="C69" s="312"/>
      <c r="D69" s="1100" t="s">
        <v>1378</v>
      </c>
      <c r="E69" s="1080" t="s">
        <v>1379</v>
      </c>
      <c r="F69" s="339">
        <f ca="1">F41</f>
        <v>0</v>
      </c>
      <c r="O69" s="1580" t="s">
        <v>1016</v>
      </c>
      <c r="P69" s="1619" t="s">
        <v>1489</v>
      </c>
      <c r="Q69" s="1572">
        <f ca="1">C39</f>
        <v>0</v>
      </c>
      <c r="R69" s="1572" t="s">
        <v>1434</v>
      </c>
    </row>
    <row r="70" spans="1:18" s="1536" customFormat="1" ht="13.5" thickBot="1">
      <c r="A70" s="1084"/>
      <c r="B70" s="1085"/>
      <c r="C70" s="316"/>
      <c r="D70" s="1096"/>
      <c r="E70" s="1080" t="s">
        <v>1382</v>
      </c>
      <c r="F70" s="1184">
        <f ca="1">F42</f>
        <v>0</v>
      </c>
      <c r="O70" s="1580" t="s">
        <v>1017</v>
      </c>
      <c r="P70" s="1619" t="s">
        <v>1490</v>
      </c>
      <c r="Q70" s="1572">
        <f ca="1">C13</f>
        <v>0</v>
      </c>
      <c r="R70" s="1572" t="s">
        <v>1434</v>
      </c>
    </row>
    <row r="71" spans="1:18" s="1536" customFormat="1" ht="13.5" thickBot="1">
      <c r="A71" s="1101" t="s">
        <v>1001</v>
      </c>
      <c r="B71" s="1102" t="s">
        <v>1392</v>
      </c>
      <c r="C71" s="342" t="e">
        <f ca="1">ROUND(C68/F71,0)</f>
        <v>#DIV/0!</v>
      </c>
      <c r="D71" s="1103" t="s">
        <v>1393</v>
      </c>
      <c r="E71" s="1104"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3118</v>
      </c>
      <c r="B1" s="3029"/>
      <c r="C1" s="3041"/>
      <c r="D1" s="3041"/>
      <c r="E1" s="3030"/>
      <c r="F1" s="3031"/>
      <c r="G1" s="3032"/>
      <c r="J1" s="3035" t="s">
        <v>2997</v>
      </c>
      <c r="K1" s="3036"/>
      <c r="L1" s="3036"/>
      <c r="M1" s="3036"/>
      <c r="N1" s="3036"/>
      <c r="O1" s="3036"/>
      <c r="P1" s="3036"/>
      <c r="Q1" s="3036"/>
      <c r="R1" s="3037"/>
      <c r="S1" s="3038"/>
      <c r="T1" s="3038"/>
      <c r="U1" s="3038"/>
    </row>
    <row r="2" spans="1:22" s="3050" customFormat="1" ht="13.15" customHeight="1">
      <c r="A2" s="1537" t="s">
        <v>2998</v>
      </c>
      <c r="B2" s="3040" t="e">
        <f>C40</f>
        <v>#DIV/0!</v>
      </c>
      <c r="C2" s="3041" t="s">
        <v>2999</v>
      </c>
      <c r="D2" s="3041"/>
      <c r="E2" s="3042"/>
      <c r="F2" s="3043"/>
      <c r="G2" s="3044"/>
      <c r="H2" s="3045"/>
      <c r="I2" s="3046"/>
      <c r="J2" s="3568" t="s">
        <v>3000</v>
      </c>
      <c r="K2" s="3569"/>
      <c r="L2" s="3047" t="s">
        <v>3001</v>
      </c>
      <c r="M2" s="3047" t="s">
        <v>3002</v>
      </c>
      <c r="N2" s="3047" t="s">
        <v>3003</v>
      </c>
      <c r="O2" s="3047" t="s">
        <v>3004</v>
      </c>
      <c r="P2" s="3047" t="s">
        <v>3005</v>
      </c>
      <c r="Q2" s="3048" t="s">
        <v>3006</v>
      </c>
      <c r="R2" s="3049" t="s">
        <v>3007</v>
      </c>
      <c r="S2" s="3038"/>
      <c r="T2" s="3038"/>
      <c r="U2" s="3038"/>
      <c r="V2" s="3046"/>
    </row>
    <row r="3" spans="1:22" s="3050" customFormat="1" ht="13.15" customHeight="1">
      <c r="A3" s="3051" t="s">
        <v>3008</v>
      </c>
      <c r="B3" s="3052" t="e">
        <f>ROUND(B2*10000/B4,0)</f>
        <v>#DIV/0!</v>
      </c>
      <c r="C3" s="3041" t="s">
        <v>3009</v>
      </c>
      <c r="D3" s="3041"/>
      <c r="E3" s="3042"/>
      <c r="F3" s="3043"/>
      <c r="G3" s="3044"/>
      <c r="H3" s="3045"/>
      <c r="I3" s="3046"/>
      <c r="J3" s="3570" t="s">
        <v>3010</v>
      </c>
      <c r="K3" s="3571"/>
      <c r="L3" s="3053"/>
      <c r="M3" s="3053"/>
      <c r="N3" s="3053"/>
      <c r="O3" s="3053"/>
      <c r="P3" s="3053"/>
      <c r="Q3" s="3054"/>
      <c r="R3" s="3055">
        <f>SUM(L3:Q3)</f>
        <v>0</v>
      </c>
      <c r="S3" s="3038"/>
      <c r="T3" s="3038"/>
      <c r="U3" s="3038"/>
      <c r="V3" s="3046"/>
    </row>
    <row r="4" spans="1:22" s="3050" customFormat="1" ht="13.15" customHeight="1">
      <c r="A4" s="3056" t="s">
        <v>3011</v>
      </c>
      <c r="B4" s="3057"/>
      <c r="C4" s="3041"/>
      <c r="D4" s="3041"/>
      <c r="E4" s="3042"/>
      <c r="F4" s="3043"/>
      <c r="G4" s="3044"/>
      <c r="H4" s="3045"/>
      <c r="I4" s="3046"/>
      <c r="J4" s="3570" t="s">
        <v>3012</v>
      </c>
      <c r="K4" s="3571"/>
      <c r="L4" s="3058"/>
      <c r="M4" s="3058"/>
      <c r="N4" s="3058"/>
      <c r="O4" s="3058"/>
      <c r="P4" s="3058"/>
      <c r="Q4" s="3059"/>
      <c r="R4" s="3060">
        <f>SUM(L4:Q4)</f>
        <v>0</v>
      </c>
      <c r="S4" s="3038"/>
      <c r="T4" s="3038"/>
      <c r="U4" s="3038"/>
      <c r="V4" s="3046"/>
    </row>
    <row r="5" spans="1:22" s="3050" customFormat="1" ht="13.15" customHeight="1" thickBot="1">
      <c r="A5" s="3061" t="s">
        <v>3013</v>
      </c>
      <c r="B5" s="3062"/>
      <c r="C5" s="3041"/>
      <c r="D5" s="3063"/>
      <c r="E5" s="3043"/>
      <c r="F5" s="3043"/>
      <c r="G5" s="3044"/>
      <c r="H5" s="3045"/>
      <c r="I5" s="3046"/>
      <c r="J5" s="3064" t="s">
        <v>3014</v>
      </c>
      <c r="K5" s="3065"/>
      <c r="L5" s="3065"/>
      <c r="M5" s="3066"/>
      <c r="N5" s="3066"/>
      <c r="O5" s="3066"/>
      <c r="P5" s="3066"/>
      <c r="Q5" s="3066"/>
      <c r="R5" s="3049">
        <f>SUM(R14,R19,R24,R25,R27,R28)</f>
        <v>0</v>
      </c>
      <c r="S5" s="3038"/>
      <c r="T5" s="3038" t="s">
        <v>3015</v>
      </c>
      <c r="U5" s="3038" t="e">
        <f>ROUND(R5*10000/365/R3,1)</f>
        <v>#DIV/0!</v>
      </c>
      <c r="V5" s="3046"/>
    </row>
    <row r="6" spans="1:22" s="3050" customFormat="1" ht="13.15" customHeight="1" thickBot="1">
      <c r="A6" s="3576" t="s">
        <v>3016</v>
      </c>
      <c r="B6" s="3577"/>
      <c r="C6" s="3578"/>
      <c r="D6" s="3067"/>
      <c r="E6" s="3068"/>
      <c r="F6" s="3069"/>
      <c r="G6" s="3070"/>
      <c r="H6" s="3045"/>
      <c r="I6" s="3046"/>
      <c r="J6" s="3562">
        <v>1</v>
      </c>
      <c r="K6" s="3563" t="s">
        <v>3017</v>
      </c>
      <c r="L6" s="3071" t="s">
        <v>3018</v>
      </c>
      <c r="M6" s="3072" t="s">
        <v>3019</v>
      </c>
      <c r="N6" s="3072" t="s">
        <v>3020</v>
      </c>
      <c r="O6" s="3072" t="s">
        <v>3021</v>
      </c>
      <c r="P6" s="3072" t="s">
        <v>3022</v>
      </c>
      <c r="Q6" s="3072" t="s">
        <v>3023</v>
      </c>
      <c r="R6" s="3055" t="s">
        <v>3024</v>
      </c>
      <c r="S6" s="3038"/>
      <c r="T6" s="3038" t="s">
        <v>3025</v>
      </c>
      <c r="U6" s="3038"/>
      <c r="V6" s="3046"/>
    </row>
    <row r="7" spans="1:22" s="3050" customFormat="1" ht="13.15" customHeight="1">
      <c r="A7" s="3073" t="s">
        <v>3026</v>
      </c>
      <c r="B7" s="3074"/>
      <c r="C7" s="3075"/>
      <c r="D7" s="3076">
        <f>SUM(D9,D10,D11,D17,0)</f>
        <v>0</v>
      </c>
      <c r="E7" s="3077" t="e">
        <f>E9+E10+E11+E17</f>
        <v>#DIV/0!</v>
      </c>
      <c r="F7" s="3078"/>
      <c r="G7" s="3079"/>
      <c r="H7" s="3045"/>
      <c r="I7" s="3046"/>
      <c r="J7" s="3562"/>
      <c r="K7" s="3564"/>
      <c r="L7" s="3080" t="s">
        <v>3027</v>
      </c>
      <c r="M7" s="3081"/>
      <c r="N7" s="3057"/>
      <c r="O7" s="3082"/>
      <c r="P7" s="3082"/>
      <c r="Q7" s="3083">
        <v>365</v>
      </c>
      <c r="R7" s="3084">
        <f>ROUND(M7*N7*O7*P7*Q7/10000,0)</f>
        <v>0</v>
      </c>
      <c r="S7" s="3038"/>
      <c r="T7" s="3038" t="s">
        <v>3028</v>
      </c>
      <c r="U7" s="3038"/>
      <c r="V7" s="3046"/>
    </row>
    <row r="8" spans="1:22" s="3050" customFormat="1" ht="13.15" customHeight="1">
      <c r="A8" s="3085" t="s">
        <v>3029</v>
      </c>
      <c r="B8" s="3579" t="s">
        <v>3030</v>
      </c>
      <c r="C8" s="3580"/>
      <c r="D8" s="3086" t="s">
        <v>3031</v>
      </c>
      <c r="E8" s="3087" t="s">
        <v>3032</v>
      </c>
      <c r="F8" s="3088" t="s">
        <v>3033</v>
      </c>
      <c r="G8" s="3089"/>
      <c r="H8" s="3045"/>
      <c r="I8" s="3046"/>
      <c r="J8" s="3562"/>
      <c r="K8" s="3564"/>
      <c r="L8" s="3080" t="s">
        <v>3034</v>
      </c>
      <c r="M8" s="3081"/>
      <c r="N8" s="3057"/>
      <c r="O8" s="3082"/>
      <c r="P8" s="3082"/>
      <c r="Q8" s="3083">
        <v>365</v>
      </c>
      <c r="R8" s="3084">
        <f t="shared" ref="R8:R13" si="0">ROUND(M8*N8*O8*P8*Q8/10000,0)</f>
        <v>0</v>
      </c>
      <c r="S8" s="3038"/>
      <c r="T8" s="3038" t="s">
        <v>3035</v>
      </c>
      <c r="U8" s="3038"/>
      <c r="V8" s="3046"/>
    </row>
    <row r="9" spans="1:22" s="3050" customFormat="1" ht="13.15" customHeight="1">
      <c r="A9" s="3085">
        <v>1</v>
      </c>
      <c r="B9" s="3579" t="s">
        <v>3036</v>
      </c>
      <c r="C9" s="3580"/>
      <c r="D9" s="3086">
        <f>ROUND(D6*E9,0)</f>
        <v>0</v>
      </c>
      <c r="E9" s="3090"/>
      <c r="F9" s="3091" t="s">
        <v>3037</v>
      </c>
      <c r="G9" s="3070"/>
      <c r="H9" s="3045"/>
      <c r="I9" s="3046"/>
      <c r="J9" s="3562"/>
      <c r="K9" s="3564"/>
      <c r="L9" s="3080" t="s">
        <v>3038</v>
      </c>
      <c r="M9" s="3081"/>
      <c r="N9" s="3057"/>
      <c r="O9" s="3082"/>
      <c r="P9" s="3082"/>
      <c r="Q9" s="3083">
        <v>365</v>
      </c>
      <c r="R9" s="3084">
        <f t="shared" si="0"/>
        <v>0</v>
      </c>
      <c r="S9" s="3038"/>
      <c r="T9" s="3038"/>
      <c r="U9" s="3038"/>
      <c r="V9" s="3046"/>
    </row>
    <row r="10" spans="1:22" s="3050" customFormat="1" ht="13.15" customHeight="1">
      <c r="A10" s="3085">
        <v>2</v>
      </c>
      <c r="B10" s="3579" t="s">
        <v>3039</v>
      </c>
      <c r="C10" s="3580"/>
      <c r="D10" s="3086">
        <f>ROUND(D6*E10,0)</f>
        <v>0</v>
      </c>
      <c r="E10" s="3090"/>
      <c r="F10" s="3091" t="s">
        <v>3040</v>
      </c>
      <c r="G10" s="3070"/>
      <c r="H10" s="3045"/>
      <c r="I10" s="3046"/>
      <c r="J10" s="3562"/>
      <c r="K10" s="3564"/>
      <c r="L10" s="3080" t="s">
        <v>3041</v>
      </c>
      <c r="M10" s="3081"/>
      <c r="N10" s="3057"/>
      <c r="O10" s="3082"/>
      <c r="P10" s="3082"/>
      <c r="Q10" s="3083">
        <v>365</v>
      </c>
      <c r="R10" s="3084">
        <f t="shared" si="0"/>
        <v>0</v>
      </c>
      <c r="S10" s="3038"/>
      <c r="T10" s="3038"/>
      <c r="U10" s="3038"/>
      <c r="V10" s="3046"/>
    </row>
    <row r="11" spans="1:22" s="3050" customFormat="1" ht="13.15" customHeight="1">
      <c r="A11" s="3085">
        <v>3</v>
      </c>
      <c r="B11" s="3579" t="s">
        <v>3042</v>
      </c>
      <c r="C11" s="3580"/>
      <c r="D11" s="3086">
        <f>D12+D14+D15+D16</f>
        <v>0</v>
      </c>
      <c r="E11" s="3092" t="e">
        <f>D11/D6</f>
        <v>#DIV/0!</v>
      </c>
      <c r="F11" s="3088"/>
      <c r="G11" s="3089"/>
      <c r="H11" s="3045"/>
      <c r="I11" s="3046"/>
      <c r="J11" s="3562"/>
      <c r="K11" s="3564"/>
      <c r="L11" s="3080" t="s">
        <v>3043</v>
      </c>
      <c r="M11" s="3081"/>
      <c r="N11" s="3057"/>
      <c r="O11" s="3082"/>
      <c r="P11" s="3082"/>
      <c r="Q11" s="3083">
        <v>365</v>
      </c>
      <c r="R11" s="3084">
        <f t="shared" si="0"/>
        <v>0</v>
      </c>
      <c r="S11" s="3038"/>
      <c r="T11" s="3038"/>
      <c r="U11" s="3038"/>
      <c r="V11" s="3046"/>
    </row>
    <row r="12" spans="1:22" s="3050" customFormat="1" ht="13.15" customHeight="1">
      <c r="A12" s="3093" t="s">
        <v>3044</v>
      </c>
      <c r="B12" s="3572" t="s">
        <v>3045</v>
      </c>
      <c r="C12" s="3573"/>
      <c r="D12" s="3094">
        <f>ROUND(D13*1.2%*(1-30%),0)</f>
        <v>0</v>
      </c>
      <c r="E12" s="3095">
        <v>1.2E-2</v>
      </c>
      <c r="F12" s="3088" t="s">
        <v>3046</v>
      </c>
      <c r="G12" s="3089"/>
      <c r="H12" s="3045"/>
      <c r="I12" s="3046"/>
      <c r="J12" s="3562"/>
      <c r="K12" s="3564"/>
      <c r="L12" s="3080" t="s">
        <v>3047</v>
      </c>
      <c r="M12" s="3081"/>
      <c r="N12" s="3057"/>
      <c r="O12" s="3082"/>
      <c r="P12" s="3082"/>
      <c r="Q12" s="3083">
        <v>365</v>
      </c>
      <c r="R12" s="3084">
        <f t="shared" si="0"/>
        <v>0</v>
      </c>
      <c r="S12" s="3038"/>
      <c r="T12" s="3038"/>
      <c r="U12" s="3038"/>
      <c r="V12" s="3046"/>
    </row>
    <row r="13" spans="1:22" s="3050" customFormat="1" ht="13.15" customHeight="1">
      <c r="A13" s="3093"/>
      <c r="B13" s="3096"/>
      <c r="C13" s="3097" t="s">
        <v>3048</v>
      </c>
      <c r="D13" s="3098"/>
      <c r="E13" s="3099"/>
      <c r="F13" s="3088"/>
      <c r="G13" s="3089"/>
      <c r="H13" s="3045"/>
      <c r="I13" s="3046"/>
      <c r="J13" s="3562"/>
      <c r="K13" s="3564"/>
      <c r="L13" s="3080" t="s">
        <v>3049</v>
      </c>
      <c r="M13" s="3081"/>
      <c r="N13" s="3057"/>
      <c r="O13" s="3082"/>
      <c r="P13" s="3082"/>
      <c r="Q13" s="3083">
        <v>365</v>
      </c>
      <c r="R13" s="3084">
        <f t="shared" si="0"/>
        <v>0</v>
      </c>
      <c r="S13" s="3038"/>
      <c r="T13" s="3038"/>
      <c r="U13" s="3038"/>
      <c r="V13" s="3046"/>
    </row>
    <row r="14" spans="1:22" s="3050" customFormat="1" ht="13.15" customHeight="1">
      <c r="A14" s="3093" t="s">
        <v>3050</v>
      </c>
      <c r="B14" s="3572" t="s">
        <v>3051</v>
      </c>
      <c r="C14" s="3573"/>
      <c r="D14" s="3094">
        <f>ROUND(E14*B5/10000,0)</f>
        <v>0</v>
      </c>
      <c r="E14" s="3083"/>
      <c r="F14" s="3088" t="s">
        <v>3052</v>
      </c>
      <c r="G14" s="3089"/>
      <c r="H14" s="3045"/>
      <c r="I14" s="3046"/>
      <c r="J14" s="3562"/>
      <c r="K14" s="3565"/>
      <c r="L14" s="3100" t="s">
        <v>3053</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3054</v>
      </c>
      <c r="B15" s="3572" t="s">
        <v>3055</v>
      </c>
      <c r="C15" s="3573"/>
      <c r="D15" s="3094">
        <f>ROUND(D6*E15,0)</f>
        <v>0</v>
      </c>
      <c r="E15" s="3095">
        <v>5.5E-2</v>
      </c>
      <c r="F15" s="3088" t="s">
        <v>3056</v>
      </c>
      <c r="G15" s="3070"/>
      <c r="H15" s="3045"/>
      <c r="I15" s="3046"/>
      <c r="J15" s="3562">
        <v>2</v>
      </c>
      <c r="K15" s="3563" t="s">
        <v>3057</v>
      </c>
      <c r="L15" s="3080" t="s">
        <v>3058</v>
      </c>
      <c r="M15" s="3081" t="s">
        <v>3059</v>
      </c>
      <c r="N15" s="3081" t="s">
        <v>3060</v>
      </c>
      <c r="O15" s="3082" t="s">
        <v>3061</v>
      </c>
      <c r="P15" s="3082" t="s">
        <v>3023</v>
      </c>
      <c r="Q15" s="3057" t="s">
        <v>3062</v>
      </c>
      <c r="R15" s="3104" t="s">
        <v>3024</v>
      </c>
      <c r="S15" s="3038"/>
      <c r="T15" s="3038"/>
      <c r="U15" s="3038"/>
      <c r="V15" s="3046"/>
    </row>
    <row r="16" spans="1:22" s="3050" customFormat="1" ht="13.15" customHeight="1">
      <c r="A16" s="3093" t="s">
        <v>3063</v>
      </c>
      <c r="B16" s="3572" t="s">
        <v>3064</v>
      </c>
      <c r="C16" s="3573"/>
      <c r="D16" s="3105">
        <f>D6*E16</f>
        <v>0</v>
      </c>
      <c r="E16" s="3106"/>
      <c r="F16" s="3091" t="s">
        <v>3065</v>
      </c>
      <c r="G16" s="3070"/>
      <c r="H16" s="3045"/>
      <c r="I16" s="3046"/>
      <c r="J16" s="3562"/>
      <c r="K16" s="3564"/>
      <c r="L16" s="3080" t="s">
        <v>3066</v>
      </c>
      <c r="M16" s="3081"/>
      <c r="N16" s="3081"/>
      <c r="O16" s="3082"/>
      <c r="P16" s="3083">
        <v>365</v>
      </c>
      <c r="Q16" s="3057"/>
      <c r="R16" s="3104">
        <f>ROUND(M16*N16*O16*P16/10000,0)</f>
        <v>0</v>
      </c>
      <c r="S16" s="3038"/>
      <c r="T16" s="3038"/>
      <c r="U16" s="3038"/>
      <c r="V16" s="3046"/>
    </row>
    <row r="17" spans="1:22" s="3050" customFormat="1" ht="13.15" customHeight="1" thickBot="1">
      <c r="A17" s="3107">
        <v>4</v>
      </c>
      <c r="B17" s="3574" t="s">
        <v>3067</v>
      </c>
      <c r="C17" s="3575"/>
      <c r="D17" s="3108">
        <f>ROUND(D6*E17,0)</f>
        <v>0</v>
      </c>
      <c r="E17" s="3109"/>
      <c r="F17" s="3110" t="s">
        <v>3068</v>
      </c>
      <c r="G17" s="3070"/>
      <c r="H17" s="3045"/>
      <c r="I17" s="3046"/>
      <c r="J17" s="3562"/>
      <c r="K17" s="3564"/>
      <c r="L17" s="3080" t="s">
        <v>3069</v>
      </c>
      <c r="M17" s="3081"/>
      <c r="N17" s="3081"/>
      <c r="O17" s="3082"/>
      <c r="P17" s="3083">
        <v>365</v>
      </c>
      <c r="Q17" s="3057"/>
      <c r="R17" s="3104">
        <f>ROUND(M17*N17*O17*P17/10000,0)</f>
        <v>0</v>
      </c>
      <c r="S17" s="3038"/>
      <c r="T17" s="3038"/>
      <c r="U17" s="3038"/>
      <c r="V17" s="3046"/>
    </row>
    <row r="18" spans="1:22" s="3050" customFormat="1" ht="13.15" customHeight="1" thickBot="1">
      <c r="A18" s="3073" t="s">
        <v>3070</v>
      </c>
      <c r="B18" s="3074"/>
      <c r="C18" s="3074"/>
      <c r="D18" s="3111">
        <f>ROUND(D6*E18,0)</f>
        <v>0</v>
      </c>
      <c r="E18" s="3112"/>
      <c r="F18" s="3113" t="s">
        <v>3071</v>
      </c>
      <c r="G18" s="3070"/>
      <c r="H18" s="3045"/>
      <c r="I18" s="3046"/>
      <c r="J18" s="3562"/>
      <c r="K18" s="3564"/>
      <c r="L18" s="3080" t="s">
        <v>3072</v>
      </c>
      <c r="M18" s="3081"/>
      <c r="N18" s="3081"/>
      <c r="O18" s="3082"/>
      <c r="P18" s="3083">
        <v>365</v>
      </c>
      <c r="Q18" s="3057"/>
      <c r="R18" s="3104">
        <f>ROUND(M18*N18*O18*P18/10000,0)</f>
        <v>0</v>
      </c>
      <c r="S18" s="3038"/>
      <c r="T18" s="3038"/>
      <c r="U18" s="3038"/>
      <c r="V18" s="3046"/>
    </row>
    <row r="19" spans="1:22" s="3050" customFormat="1" ht="13.15" customHeight="1" thickBot="1">
      <c r="A19" s="3114" t="s">
        <v>3073</v>
      </c>
      <c r="B19" s="3068"/>
      <c r="C19" s="3068"/>
      <c r="D19" s="3068"/>
      <c r="E19" s="3068"/>
      <c r="F19" s="3069"/>
      <c r="G19" s="3089"/>
      <c r="H19" s="3045"/>
      <c r="I19" s="3046"/>
      <c r="J19" s="3562"/>
      <c r="K19" s="3565"/>
      <c r="L19" s="3100" t="s">
        <v>3053</v>
      </c>
      <c r="M19" s="3101"/>
      <c r="N19" s="3101">
        <f>SUM(N16:N18)</f>
        <v>0</v>
      </c>
      <c r="O19" s="3102"/>
      <c r="P19" s="3115" t="s">
        <v>3117</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562">
        <v>3</v>
      </c>
      <c r="K20" s="3563" t="s">
        <v>3074</v>
      </c>
      <c r="L20" s="3080" t="s">
        <v>3075</v>
      </c>
      <c r="M20" s="3081" t="s">
        <v>3076</v>
      </c>
      <c r="N20" s="3118" t="s">
        <v>3077</v>
      </c>
      <c r="O20" s="3082" t="s">
        <v>3078</v>
      </c>
      <c r="P20" s="3083" t="s">
        <v>3079</v>
      </c>
      <c r="Q20" s="3057" t="s">
        <v>3080</v>
      </c>
      <c r="R20" s="3104" t="s">
        <v>3081</v>
      </c>
      <c r="S20" s="3119"/>
      <c r="T20" s="3119"/>
      <c r="U20" s="3119"/>
      <c r="V20" s="3046"/>
    </row>
    <row r="21" spans="1:22" s="3050" customFormat="1" ht="13.15" customHeight="1">
      <c r="A21" s="3073"/>
      <c r="B21" s="3074"/>
      <c r="C21" s="3120" t="s">
        <v>3082</v>
      </c>
      <c r="D21" s="3121" t="s">
        <v>3083</v>
      </c>
      <c r="E21" s="3122" t="s">
        <v>3084</v>
      </c>
      <c r="F21" s="3117"/>
      <c r="G21" s="3089"/>
      <c r="H21" s="3045"/>
      <c r="I21" s="3046"/>
      <c r="J21" s="3562"/>
      <c r="K21" s="3564"/>
      <c r="L21" s="3080" t="s">
        <v>3085</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3086</v>
      </c>
      <c r="D22" s="3125" t="s">
        <v>3087</v>
      </c>
      <c r="E22" s="3126" t="s">
        <v>3088</v>
      </c>
      <c r="F22" s="3117"/>
      <c r="G22" s="3127"/>
      <c r="H22" s="3045"/>
      <c r="I22" s="3046"/>
      <c r="J22" s="3562"/>
      <c r="K22" s="3564"/>
      <c r="L22" s="3080" t="s">
        <v>3089</v>
      </c>
      <c r="M22" s="3081"/>
      <c r="N22" s="3081"/>
      <c r="O22" s="3082"/>
      <c r="P22" s="3083">
        <v>365</v>
      </c>
      <c r="Q22" s="3057"/>
      <c r="R22" s="3123">
        <f>ROUND(M22*N22*O22*P22/10000,0)</f>
        <v>0</v>
      </c>
      <c r="S22" s="3119"/>
      <c r="T22" s="3119"/>
      <c r="U22" s="3119"/>
      <c r="V22" s="3046"/>
    </row>
    <row r="23" spans="1:22" s="3050" customFormat="1" ht="13.15" customHeight="1">
      <c r="A23" s="3128">
        <v>1</v>
      </c>
      <c r="B23" s="3129" t="s">
        <v>3090</v>
      </c>
      <c r="C23" s="3130">
        <f>D6</f>
        <v>0</v>
      </c>
      <c r="D23" s="3131">
        <f>C23*(1+D24)</f>
        <v>0</v>
      </c>
      <c r="E23" s="3132">
        <f>D23*(1+E24)</f>
        <v>0</v>
      </c>
      <c r="F23" s="3133"/>
      <c r="G23" s="3134"/>
      <c r="H23" s="3045"/>
      <c r="I23" s="3046"/>
      <c r="J23" s="3562"/>
      <c r="K23" s="3564"/>
      <c r="L23" s="3080" t="s">
        <v>3091</v>
      </c>
      <c r="M23" s="3081"/>
      <c r="N23" s="3081"/>
      <c r="O23" s="3082"/>
      <c r="P23" s="3083">
        <v>365</v>
      </c>
      <c r="Q23" s="3057"/>
      <c r="R23" s="3123">
        <f>ROUND(M23*N23*O23*P23/10000,0)</f>
        <v>0</v>
      </c>
      <c r="S23" s="3038"/>
      <c r="T23" s="3038"/>
      <c r="U23" s="3038"/>
      <c r="V23" s="3046"/>
    </row>
    <row r="24" spans="1:22" s="3050" customFormat="1" ht="13.15" customHeight="1">
      <c r="A24" s="3135"/>
      <c r="B24" s="3136" t="s">
        <v>3092</v>
      </c>
      <c r="C24" s="3137"/>
      <c r="D24" s="3138"/>
      <c r="E24" s="3139"/>
      <c r="F24" s="3140"/>
      <c r="G24" s="3134"/>
      <c r="H24" s="3045"/>
      <c r="I24" s="3046"/>
      <c r="J24" s="3562"/>
      <c r="K24" s="3565"/>
      <c r="L24" s="3100" t="s">
        <v>3053</v>
      </c>
      <c r="M24" s="3101">
        <f>SUM(M21:M23)</f>
        <v>0</v>
      </c>
      <c r="N24" s="3101"/>
      <c r="O24" s="3102"/>
      <c r="P24" s="3115" t="s">
        <v>3117</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3093</v>
      </c>
      <c r="L25" s="3143"/>
      <c r="M25" s="3143"/>
      <c r="N25" s="3143"/>
      <c r="O25" s="3143"/>
      <c r="P25" s="3144"/>
      <c r="Q25" s="3145">
        <v>0</v>
      </c>
      <c r="R25" s="3116">
        <f>ROUND(R14*Q25,0)</f>
        <v>0</v>
      </c>
      <c r="S25" s="3038"/>
      <c r="T25" s="3038"/>
      <c r="U25" s="3038"/>
      <c r="V25" s="3146"/>
    </row>
    <row r="26" spans="1:22" s="3147" customFormat="1" ht="13.15" customHeight="1">
      <c r="A26" s="3128">
        <v>2</v>
      </c>
      <c r="B26" s="3129" t="s">
        <v>3094</v>
      </c>
      <c r="C26" s="3130">
        <f>D7</f>
        <v>0</v>
      </c>
      <c r="D26" s="3131">
        <f>D23*D27</f>
        <v>0</v>
      </c>
      <c r="E26" s="3132">
        <f>E23*E27</f>
        <v>0</v>
      </c>
      <c r="F26" s="3133"/>
      <c r="G26" s="3134"/>
      <c r="H26" s="3045"/>
      <c r="I26" s="3046"/>
      <c r="J26" s="3566">
        <v>5</v>
      </c>
      <c r="K26" s="3148" t="s">
        <v>3095</v>
      </c>
      <c r="L26" s="3149"/>
      <c r="M26" s="3150"/>
      <c r="N26" s="3151" t="s">
        <v>3096</v>
      </c>
      <c r="O26" s="3151" t="s">
        <v>3097</v>
      </c>
      <c r="P26" s="3152" t="s">
        <v>3098</v>
      </c>
      <c r="Q26" s="3152" t="s">
        <v>3099</v>
      </c>
      <c r="R26" s="3055" t="s">
        <v>3024</v>
      </c>
      <c r="S26" s="3153"/>
      <c r="T26" s="3153"/>
      <c r="U26" s="3153"/>
      <c r="V26" s="3146"/>
    </row>
    <row r="27" spans="1:22" s="3050" customFormat="1" ht="13.15" customHeight="1">
      <c r="A27" s="3135"/>
      <c r="B27" s="3136" t="s">
        <v>3100</v>
      </c>
      <c r="C27" s="3154" t="e">
        <f>E7</f>
        <v>#DIV/0!</v>
      </c>
      <c r="D27" s="3138"/>
      <c r="E27" s="3139"/>
      <c r="F27" s="3140"/>
      <c r="G27" s="3134"/>
      <c r="H27" s="3155"/>
      <c r="I27" s="3146"/>
      <c r="J27" s="3567"/>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3101</v>
      </c>
      <c r="F28" s="3140"/>
      <c r="G28" s="3127"/>
      <c r="H28" s="3155"/>
      <c r="I28" s="3146"/>
      <c r="J28" s="3161">
        <v>6</v>
      </c>
      <c r="K28" s="3162" t="s">
        <v>3102</v>
      </c>
      <c r="L28" s="3163" t="s">
        <v>3103</v>
      </c>
      <c r="M28" s="3164"/>
      <c r="N28" s="3163" t="s">
        <v>3104</v>
      </c>
      <c r="O28" s="3165"/>
      <c r="P28" s="3163" t="s">
        <v>3105</v>
      </c>
      <c r="Q28" s="3166">
        <v>1.4999999999999999E-2</v>
      </c>
      <c r="R28" s="3167"/>
      <c r="S28" s="3119"/>
      <c r="T28" s="3119"/>
      <c r="U28" s="3119"/>
      <c r="V28" s="3146"/>
    </row>
    <row r="29" spans="1:22" s="3147" customFormat="1" ht="13.15" customHeight="1">
      <c r="A29" s="3128">
        <v>3</v>
      </c>
      <c r="B29" s="3129" t="s">
        <v>3106</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3100</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3107</v>
      </c>
      <c r="K31" s="3036"/>
      <c r="L31" s="3036"/>
      <c r="M31" s="3036"/>
      <c r="N31" s="3036"/>
      <c r="O31" s="3036"/>
      <c r="P31" s="3036"/>
      <c r="Q31" s="3036"/>
      <c r="R31" s="3037"/>
      <c r="S31" s="3119"/>
      <c r="T31" s="3038"/>
      <c r="U31" s="3038"/>
      <c r="V31" s="3146"/>
    </row>
    <row r="32" spans="1:22" s="3147" customFormat="1" ht="13.15" customHeight="1">
      <c r="A32" s="3128">
        <v>4</v>
      </c>
      <c r="B32" s="3129" t="s">
        <v>3108</v>
      </c>
      <c r="C32" s="3130">
        <f>C23-C26-C29</f>
        <v>0</v>
      </c>
      <c r="D32" s="3131">
        <f>D23-D26-D29</f>
        <v>0</v>
      </c>
      <c r="E32" s="3132">
        <f>E23-E26-E29</f>
        <v>0</v>
      </c>
      <c r="F32" s="3133"/>
      <c r="G32" s="3127"/>
      <c r="H32" s="3045"/>
      <c r="I32" s="3046"/>
      <c r="J32" s="3568" t="s">
        <v>3000</v>
      </c>
      <c r="K32" s="3569"/>
      <c r="L32" s="3047" t="s">
        <v>3001</v>
      </c>
      <c r="M32" s="3047" t="s">
        <v>3002</v>
      </c>
      <c r="N32" s="3047" t="s">
        <v>3003</v>
      </c>
      <c r="O32" s="3047" t="s">
        <v>3004</v>
      </c>
      <c r="P32" s="3047" t="s">
        <v>3005</v>
      </c>
      <c r="Q32" s="3048" t="s">
        <v>3006</v>
      </c>
      <c r="R32" s="3170" t="s">
        <v>3007</v>
      </c>
      <c r="S32" s="3119"/>
      <c r="T32" s="3038"/>
      <c r="U32" s="3038"/>
      <c r="V32" s="3146"/>
    </row>
    <row r="33" spans="1:23" s="3050" customFormat="1" ht="13.15" customHeight="1">
      <c r="A33" s="3128"/>
      <c r="B33" s="3129"/>
      <c r="C33" s="3130"/>
      <c r="D33" s="3171"/>
      <c r="E33" s="3172"/>
      <c r="F33" s="3133"/>
      <c r="G33" s="3127"/>
      <c r="H33" s="3155"/>
      <c r="I33" s="3146"/>
      <c r="J33" s="3570" t="s">
        <v>3010</v>
      </c>
      <c r="K33" s="3571"/>
      <c r="L33" s="3053"/>
      <c r="M33" s="3053"/>
      <c r="N33" s="3053"/>
      <c r="O33" s="3053"/>
      <c r="P33" s="3053"/>
      <c r="Q33" s="3054"/>
      <c r="R33" s="3173">
        <f>SUM(L33:Q33)</f>
        <v>0</v>
      </c>
      <c r="S33" s="3119"/>
      <c r="T33" s="3038"/>
      <c r="U33" s="3038"/>
      <c r="V33" s="3046"/>
    </row>
    <row r="34" spans="1:23" s="3050" customFormat="1" ht="13.15" customHeight="1">
      <c r="A34" s="3128">
        <v>5</v>
      </c>
      <c r="B34" s="3129" t="s">
        <v>3109</v>
      </c>
      <c r="C34" s="3174"/>
      <c r="D34" s="3175"/>
      <c r="E34" s="3176"/>
      <c r="F34" s="3133"/>
      <c r="G34" s="3127"/>
      <c r="H34" s="3155"/>
      <c r="I34" s="3146"/>
      <c r="J34" s="3570" t="s">
        <v>3012</v>
      </c>
      <c r="K34" s="3571"/>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3110</v>
      </c>
      <c r="C35" s="3178"/>
      <c r="D35" s="3179"/>
      <c r="E35" s="3180"/>
      <c r="F35" s="3133"/>
      <c r="G35" s="3181"/>
      <c r="H35" s="3045"/>
      <c r="I35" s="3146"/>
      <c r="J35" s="3064" t="s">
        <v>3014</v>
      </c>
      <c r="K35" s="3065"/>
      <c r="L35" s="3065"/>
      <c r="M35" s="3066"/>
      <c r="N35" s="3066"/>
      <c r="O35" s="3066"/>
      <c r="P35" s="3066"/>
      <c r="Q35" s="3066"/>
      <c r="R35" s="3182">
        <f>R40+R41+R43</f>
        <v>0</v>
      </c>
      <c r="S35" s="3119"/>
      <c r="T35" s="3038" t="s">
        <v>3015</v>
      </c>
      <c r="U35" s="3038"/>
      <c r="V35" s="3046"/>
    </row>
    <row r="36" spans="1:23" s="3050" customFormat="1" ht="13.15" customHeight="1" thickBot="1">
      <c r="A36" s="3128">
        <v>7</v>
      </c>
      <c r="B36" s="3183" t="s">
        <v>3111</v>
      </c>
      <c r="C36" s="3184"/>
      <c r="D36" s="3185"/>
      <c r="E36" s="3186"/>
      <c r="F36" s="3187">
        <f>C36+D36+E36</f>
        <v>0</v>
      </c>
      <c r="G36" s="3127"/>
      <c r="H36" s="3045"/>
      <c r="I36" s="3046"/>
      <c r="J36" s="3562">
        <v>1</v>
      </c>
      <c r="K36" s="3563" t="s">
        <v>3112</v>
      </c>
      <c r="L36" s="3071"/>
      <c r="M36" s="3072"/>
      <c r="N36" s="3072"/>
      <c r="O36" s="3072"/>
      <c r="P36" s="3072"/>
      <c r="Q36" s="3072"/>
      <c r="R36" s="3055" t="s">
        <v>3024</v>
      </c>
      <c r="S36" s="3119"/>
      <c r="T36" s="3038" t="s">
        <v>3025</v>
      </c>
      <c r="U36" s="3038"/>
      <c r="V36" s="3046"/>
    </row>
    <row r="37" spans="1:23" s="3050" customFormat="1" ht="13.15" customHeight="1">
      <c r="A37" s="3128"/>
      <c r="B37" s="3129"/>
      <c r="C37" s="3129"/>
      <c r="D37" s="3129"/>
      <c r="E37" s="3129"/>
      <c r="F37" s="3133"/>
      <c r="G37" s="3127"/>
      <c r="H37" s="3045"/>
      <c r="I37" s="3046"/>
      <c r="J37" s="3562"/>
      <c r="K37" s="3564"/>
      <c r="L37" s="3080"/>
      <c r="M37" s="3081"/>
      <c r="N37" s="3057"/>
      <c r="O37" s="3082"/>
      <c r="P37" s="3082"/>
      <c r="Q37" s="3083"/>
      <c r="R37" s="3084"/>
      <c r="S37" s="3119"/>
      <c r="T37" s="3038" t="s">
        <v>3028</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562"/>
      <c r="K38" s="3564"/>
      <c r="L38" s="3080"/>
      <c r="M38" s="3081"/>
      <c r="N38" s="3057"/>
      <c r="O38" s="3082"/>
      <c r="P38" s="3082"/>
      <c r="Q38" s="3083"/>
      <c r="R38" s="3084"/>
      <c r="S38" s="3119"/>
      <c r="T38" s="3038" t="s">
        <v>3035</v>
      </c>
      <c r="U38" s="3038"/>
      <c r="V38" s="3046"/>
    </row>
    <row r="39" spans="1:23" s="3050" customFormat="1" ht="13.15" customHeight="1">
      <c r="A39" s="3128">
        <v>9</v>
      </c>
      <c r="B39" s="3129" t="s">
        <v>3113</v>
      </c>
      <c r="C39" s="3094" t="e">
        <f>C38</f>
        <v>#DIV/0!</v>
      </c>
      <c r="D39" s="3129">
        <f>D38/(1+D34)^C36</f>
        <v>0</v>
      </c>
      <c r="E39" s="3129">
        <f>E38/(1+E34)^(C36+D36)</f>
        <v>0</v>
      </c>
      <c r="F39" s="3133"/>
      <c r="G39" s="3188"/>
      <c r="H39" s="3045"/>
      <c r="I39" s="3046"/>
      <c r="J39" s="3562"/>
      <c r="K39" s="3564"/>
      <c r="L39" s="3080"/>
      <c r="M39" s="3081"/>
      <c r="N39" s="3057"/>
      <c r="O39" s="3082"/>
      <c r="P39" s="3082"/>
      <c r="Q39" s="3083"/>
      <c r="R39" s="3084"/>
      <c r="S39" s="3119"/>
      <c r="T39" s="3038"/>
      <c r="U39" s="3038"/>
      <c r="V39" s="3046"/>
    </row>
    <row r="40" spans="1:23" s="3050" customFormat="1" ht="13.15" customHeight="1">
      <c r="A40" s="3189">
        <v>10</v>
      </c>
      <c r="B40" s="3129" t="s">
        <v>3114</v>
      </c>
      <c r="C40" s="3190" t="e">
        <f>C39+D39+E39</f>
        <v>#DIV/0!</v>
      </c>
      <c r="D40" s="3191"/>
      <c r="E40" s="3191"/>
      <c r="F40" s="3192"/>
      <c r="G40" s="3127"/>
      <c r="H40" s="3045"/>
      <c r="I40" s="3046"/>
      <c r="J40" s="3562"/>
      <c r="K40" s="3565"/>
      <c r="L40" s="3100" t="s">
        <v>3053</v>
      </c>
      <c r="M40" s="3101"/>
      <c r="N40" s="3101"/>
      <c r="O40" s="3102"/>
      <c r="P40" s="3102"/>
      <c r="Q40" s="3103"/>
      <c r="R40" s="3049">
        <f>SUM(R37:R39)</f>
        <v>0</v>
      </c>
      <c r="S40" s="3119"/>
      <c r="T40" s="3038"/>
      <c r="U40" s="3038"/>
      <c r="V40" s="3046"/>
    </row>
    <row r="41" spans="1:23" s="3050" customFormat="1" ht="13.15" customHeight="1" thickBot="1">
      <c r="A41" s="3193">
        <v>11</v>
      </c>
      <c r="B41" s="3194" t="s">
        <v>3115</v>
      </c>
      <c r="C41" s="3194" t="e">
        <f>ROUND(C40*10000/B4,0)</f>
        <v>#DIV/0!</v>
      </c>
      <c r="D41" s="3195"/>
      <c r="E41" s="3195"/>
      <c r="F41" s="3196"/>
      <c r="G41" s="3197"/>
      <c r="H41" s="3045"/>
      <c r="I41" s="3046"/>
      <c r="J41" s="3141">
        <v>2</v>
      </c>
      <c r="K41" s="3142" t="s">
        <v>3093</v>
      </c>
      <c r="L41" s="3143"/>
      <c r="M41" s="3143"/>
      <c r="N41" s="3143"/>
      <c r="O41" s="3143"/>
      <c r="P41" s="3144"/>
      <c r="Q41" s="3145"/>
      <c r="R41" s="3116">
        <f>ROUND(R40*Q41,0)</f>
        <v>0</v>
      </c>
      <c r="S41" s="3119"/>
      <c r="T41" s="3038"/>
      <c r="U41" s="3153"/>
      <c r="V41" s="3046"/>
    </row>
    <row r="42" spans="1:23" s="3050" customFormat="1" ht="13.15" customHeight="1">
      <c r="G42" s="3197"/>
      <c r="H42" s="3045"/>
      <c r="I42" s="3046"/>
      <c r="J42" s="3566">
        <v>3</v>
      </c>
      <c r="K42" s="3148" t="s">
        <v>3095</v>
      </c>
      <c r="L42" s="3149"/>
      <c r="M42" s="3150"/>
      <c r="N42" s="3151" t="s">
        <v>3096</v>
      </c>
      <c r="O42" s="3151" t="s">
        <v>3097</v>
      </c>
      <c r="P42" s="3152" t="s">
        <v>3098</v>
      </c>
      <c r="Q42" s="3152" t="s">
        <v>3099</v>
      </c>
      <c r="R42" s="3055" t="s">
        <v>3024</v>
      </c>
      <c r="S42" s="3153"/>
      <c r="T42" s="3153"/>
      <c r="U42" s="3038"/>
      <c r="V42" s="3046"/>
    </row>
    <row r="43" spans="1:23" ht="13.15" customHeight="1">
      <c r="A43" s="3050"/>
      <c r="B43" s="3050"/>
      <c r="C43" s="3050"/>
      <c r="D43" s="3050"/>
      <c r="E43" s="3050"/>
      <c r="F43" s="3050"/>
      <c r="I43" s="3033"/>
      <c r="J43" s="3567"/>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3102</v>
      </c>
      <c r="L44" s="3201" t="s">
        <v>3103</v>
      </c>
      <c r="M44" s="3164"/>
      <c r="N44" s="3201" t="s">
        <v>3104</v>
      </c>
      <c r="O44" s="3164"/>
      <c r="P44" s="3201" t="s">
        <v>3105</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J512"/>
  <sheetViews>
    <sheetView view="pageBreakPreview" zoomScale="90" zoomScaleNormal="100" zoomScaleSheetLayoutView="90" zoomScalePageLayoutView="80" workbookViewId="0">
      <selection activeCell="F36" sqref="F36"/>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1887</v>
      </c>
      <c r="B1" s="1900"/>
      <c r="C1" s="1901" t="s">
        <v>3204</v>
      </c>
      <c r="D1" s="1900"/>
      <c r="E1" s="1900"/>
      <c r="F1" s="1902" t="s">
        <v>1888</v>
      </c>
      <c r="G1" s="1714"/>
      <c r="H1" s="1903" t="str">
        <f>IF(G1="现房","——","估价对象范围")</f>
        <v>估价对象范围</v>
      </c>
      <c r="I1" s="1904"/>
    </row>
    <row r="2" spans="1:12" ht="21.75" customHeight="1" thickBot="1">
      <c r="A2" s="3433" t="str">
        <f>项目基本情况!S2</f>
        <v>北京市房地产</v>
      </c>
      <c r="B2" s="3434"/>
      <c r="C2" s="3434"/>
      <c r="D2" s="3434"/>
      <c r="E2" s="3434"/>
      <c r="F2" s="3434"/>
      <c r="G2" s="3434"/>
      <c r="H2" s="3434"/>
      <c r="I2" s="3435"/>
    </row>
    <row r="3" spans="1:12" ht="12.75">
      <c r="A3" s="3437" t="s">
        <v>1889</v>
      </c>
      <c r="B3" s="3438"/>
      <c r="C3" s="3438"/>
      <c r="D3" s="3438"/>
      <c r="E3" s="3438"/>
      <c r="F3" s="3438"/>
      <c r="G3" s="3438"/>
      <c r="H3" s="3438"/>
      <c r="I3" s="3438"/>
    </row>
    <row r="4" spans="1:12" ht="14.25">
      <c r="A4" s="1907" t="s">
        <v>1890</v>
      </c>
      <c r="B4" s="1908" t="s">
        <v>1891</v>
      </c>
      <c r="C4" s="1909" t="s">
        <v>3138</v>
      </c>
      <c r="D4" s="1909" t="s">
        <v>3217</v>
      </c>
      <c r="E4" s="3439" t="s">
        <v>1892</v>
      </c>
      <c r="F4" s="3440"/>
      <c r="G4" s="3440"/>
      <c r="H4" s="3440"/>
      <c r="I4" s="3441"/>
      <c r="K4" s="151" t="str">
        <f>IF(ISNUMBER(FIND("比较法",'结果表 (地下综合)'!C4)),"比较法",IF(ISNUMBER(FIND("成本法",'结果表 (地下综合)'!C4)),"成本法",IF(ISNUMBER(FIND("假设开发法",'结果表 (地下综合)'!C4)),"假设开发法",IF(ISNUMBER(FIND("收益法",'结果表 (地下综合)'!C4)),"收益法","基准地价系数修正法"))))</f>
        <v>成本法</v>
      </c>
      <c r="L4" s="151" t="str">
        <f>IF(ISNUMBER(FIND("比较法",'结果表 (地下综合)'!D4)),"比较法",IF(ISNUMBER(FIND("成本法",'结果表 (地下综合)'!D4)),"成本法",IF(ISNUMBER(FIND("假设开发法",'结果表 (地下综合)'!D4)),"假设开发法",IF(ISNUMBER(FIND("收益法",'结果表 (地下综合)'!D4)),"收益法","基准地价系数修正法"))))</f>
        <v>收益法</v>
      </c>
    </row>
    <row r="5" spans="1:12" ht="12.75">
      <c r="A5" s="3413" t="s">
        <v>1893</v>
      </c>
      <c r="B5" s="3400">
        <v>25</v>
      </c>
      <c r="C5" s="3416"/>
      <c r="D5" s="3436"/>
      <c r="E5" s="136" t="s">
        <v>1894</v>
      </c>
      <c r="F5" s="1910"/>
      <c r="G5" s="1910"/>
      <c r="H5" s="1910"/>
      <c r="I5" s="1525"/>
    </row>
    <row r="6" spans="1:12" ht="12.75">
      <c r="A6" s="3413"/>
      <c r="B6" s="3400"/>
      <c r="C6" s="3417"/>
      <c r="D6" s="3436"/>
      <c r="E6" s="136" t="s">
        <v>1895</v>
      </c>
      <c r="F6" s="1910"/>
      <c r="G6" s="1910"/>
      <c r="H6" s="1910"/>
      <c r="I6" s="1525"/>
    </row>
    <row r="7" spans="1:12" ht="12.75">
      <c r="A7" s="3413"/>
      <c r="B7" s="3400"/>
      <c r="C7" s="3418"/>
      <c r="D7" s="3436"/>
      <c r="E7" s="136" t="s">
        <v>1896</v>
      </c>
      <c r="F7" s="1910"/>
      <c r="G7" s="1910"/>
      <c r="H7" s="1910"/>
      <c r="I7" s="1525"/>
    </row>
    <row r="8" spans="1:12" ht="12.75">
      <c r="A8" s="3413" t="s">
        <v>1897</v>
      </c>
      <c r="B8" s="3400">
        <v>15</v>
      </c>
      <c r="C8" s="3416"/>
      <c r="D8" s="3436"/>
      <c r="E8" s="136" t="s">
        <v>1898</v>
      </c>
      <c r="F8" s="1910"/>
      <c r="G8" s="1910"/>
      <c r="H8" s="1910"/>
      <c r="I8" s="1525"/>
    </row>
    <row r="9" spans="1:12" ht="12.75">
      <c r="A9" s="3413"/>
      <c r="B9" s="3400"/>
      <c r="C9" s="3418"/>
      <c r="D9" s="3436"/>
      <c r="E9" s="136" t="s">
        <v>1899</v>
      </c>
      <c r="F9" s="1910"/>
      <c r="G9" s="1910"/>
      <c r="H9" s="1910"/>
      <c r="I9" s="1525"/>
    </row>
    <row r="10" spans="1:12" ht="12.75">
      <c r="A10" s="3413" t="s">
        <v>1900</v>
      </c>
      <c r="B10" s="3400">
        <v>15</v>
      </c>
      <c r="C10" s="3416"/>
      <c r="D10" s="3436"/>
      <c r="E10" s="136" t="s">
        <v>1901</v>
      </c>
      <c r="F10" s="1910"/>
      <c r="G10" s="1910"/>
      <c r="H10" s="1910"/>
      <c r="I10" s="1525"/>
    </row>
    <row r="11" spans="1:12" ht="12.75">
      <c r="A11" s="3413"/>
      <c r="B11" s="3400"/>
      <c r="C11" s="3418"/>
      <c r="D11" s="3436"/>
      <c r="E11" s="136" t="s">
        <v>1902</v>
      </c>
      <c r="F11" s="1910"/>
      <c r="G11" s="1910"/>
      <c r="H11" s="1910"/>
      <c r="I11" s="1525"/>
    </row>
    <row r="12" spans="1:12" ht="12.75">
      <c r="A12" s="3413" t="s">
        <v>1903</v>
      </c>
      <c r="B12" s="3400">
        <v>15</v>
      </c>
      <c r="C12" s="3416"/>
      <c r="D12" s="3436"/>
      <c r="E12" s="136" t="s">
        <v>1904</v>
      </c>
      <c r="F12" s="1910"/>
      <c r="G12" s="1910"/>
      <c r="H12" s="1910"/>
      <c r="I12" s="1525"/>
    </row>
    <row r="13" spans="1:12" ht="12.75">
      <c r="A13" s="3413"/>
      <c r="B13" s="3400"/>
      <c r="C13" s="3418"/>
      <c r="D13" s="3436"/>
      <c r="E13" s="136" t="s">
        <v>1905</v>
      </c>
      <c r="F13" s="1910"/>
      <c r="G13" s="1910"/>
      <c r="H13" s="1910"/>
      <c r="I13" s="1525"/>
    </row>
    <row r="14" spans="1:12" ht="12.75">
      <c r="A14" s="3413" t="s">
        <v>1906</v>
      </c>
      <c r="B14" s="3400">
        <v>30</v>
      </c>
      <c r="C14" s="3416">
        <v>5</v>
      </c>
      <c r="D14" s="3436">
        <f>10-C14</f>
        <v>5</v>
      </c>
      <c r="E14" s="136" t="s">
        <v>1907</v>
      </c>
      <c r="F14" s="1910"/>
      <c r="G14" s="1910"/>
      <c r="H14" s="1910"/>
      <c r="I14" s="1525"/>
    </row>
    <row r="15" spans="1:12" ht="12.75">
      <c r="A15" s="3413"/>
      <c r="B15" s="3400"/>
      <c r="C15" s="3417"/>
      <c r="D15" s="3436"/>
      <c r="E15" s="136" t="s">
        <v>1908</v>
      </c>
      <c r="F15" s="1910"/>
      <c r="G15" s="1910"/>
      <c r="H15" s="1910"/>
      <c r="I15" s="1525"/>
    </row>
    <row r="16" spans="1:12" ht="12.75">
      <c r="A16" s="3413"/>
      <c r="B16" s="3400"/>
      <c r="C16" s="3418"/>
      <c r="D16" s="3436"/>
      <c r="E16" s="136" t="s">
        <v>1909</v>
      </c>
      <c r="F16" s="1910"/>
      <c r="G16" s="1910"/>
      <c r="H16" s="1910"/>
      <c r="I16" s="1525"/>
    </row>
    <row r="17" spans="1:36" ht="15">
      <c r="A17" s="1911" t="s">
        <v>1910</v>
      </c>
      <c r="B17" s="60"/>
      <c r="C17" s="137">
        <f>SUM(C5:C16)</f>
        <v>5</v>
      </c>
      <c r="D17" s="137">
        <f>SUM(D5:D16)</f>
        <v>5</v>
      </c>
      <c r="E17" s="134"/>
      <c r="F17" s="134"/>
      <c r="G17" s="134"/>
      <c r="H17" s="134"/>
      <c r="I17" s="134"/>
      <c r="K17" s="308"/>
      <c r="L17" s="308" t="s">
        <v>1911</v>
      </c>
      <c r="M17" s="308" t="s">
        <v>1912</v>
      </c>
    </row>
    <row r="18" spans="1:36" ht="31.9" customHeight="1" thickBot="1">
      <c r="A18" s="1912" t="s">
        <v>1913</v>
      </c>
      <c r="B18" s="1913"/>
      <c r="C18" s="138">
        <f>ROUND(C17/SUM(C17:D17),2)</f>
        <v>0.5</v>
      </c>
      <c r="D18" s="138">
        <f>1-C18</f>
        <v>0.5</v>
      </c>
      <c r="E18" s="3423" t="s">
        <v>2812</v>
      </c>
      <c r="F18" s="3424"/>
      <c r="G18" s="3424"/>
      <c r="H18" s="3424"/>
      <c r="I18" s="3424"/>
      <c r="K18" s="308" t="s">
        <v>1914</v>
      </c>
      <c r="L18" s="308">
        <f>IF(C1="",'数据-汇总表'!E3,SUMIF(项目类型,C1,'数据-汇总表'!E17:E26)+SUMIF(项目类型,C1,'数据-汇总表'!I17:I26))</f>
        <v>3284.7900000000004</v>
      </c>
      <c r="M18" s="308">
        <f>IF(C1="",'数据-汇总表'!E3,SUMIF(项目类型,C1,'数据-汇总表'!E17:E26))</f>
        <v>3284.7900000000004</v>
      </c>
    </row>
    <row r="19" spans="1:36" ht="15">
      <c r="A19" s="1914" t="s">
        <v>1915</v>
      </c>
      <c r="B19" s="1915" t="s">
        <v>1916</v>
      </c>
      <c r="C19" s="139">
        <f ca="1">SUMIF(INDIRECT("'"&amp;C4&amp;"'"&amp;"!A:A"),'结果表 (地下综合)'!B19,INDIRECT("'"&amp;C4&amp;"'"&amp;"!B:B"))</f>
        <v>5806</v>
      </c>
      <c r="D19" s="140">
        <f ca="1">SUMIF(INDIRECT("'"&amp;D4&amp;"'"&amp;"!A:A"),'结果表 (地下综合)'!B19,INDIRECT("'"&amp;D4&amp;"'"&amp;"!B:B"))</f>
        <v>6819</v>
      </c>
      <c r="E19" s="1914" t="s">
        <v>1917</v>
      </c>
      <c r="F19" s="1915" t="s">
        <v>1916</v>
      </c>
      <c r="G19" s="141">
        <f ca="1">ROUND(C19*$C$18+D19*$D$18,0)</f>
        <v>6313</v>
      </c>
      <c r="H19" s="1916" t="s">
        <v>1918</v>
      </c>
      <c r="I19" s="134"/>
      <c r="K19" s="308" t="s">
        <v>1919</v>
      </c>
      <c r="L19" s="308">
        <f>IF(C1="",'数据-汇总表'!D3,SUMIF(项目类型,C1,'数据-汇总表'!D17:D26)+SUMIF(项目类型,C1,'数据-汇总表'!H17:H27))</f>
        <v>447</v>
      </c>
      <c r="M19" s="308">
        <f>IF(C1="",'数据-汇总表'!D3,SUMIF(项目类型,C1,'数据-汇总表'!D17:D26))</f>
        <v>447</v>
      </c>
    </row>
    <row r="20" spans="1:36" ht="15">
      <c r="A20" s="1917"/>
      <c r="B20" s="1156" t="s">
        <v>1920</v>
      </c>
      <c r="C20" s="142">
        <f ca="1">SUMIF(INDIRECT("'"&amp;C4&amp;"'"&amp;"!A:A"),'结果表 (地下综合)'!B20,INDIRECT("'"&amp;C4&amp;"'"&amp;"!B:B"))</f>
        <v>17675</v>
      </c>
      <c r="D20" s="143">
        <f ca="1">SUMIF(INDIRECT("'"&amp;D4&amp;"'"&amp;"!A:A"),'结果表 (地下综合)'!B20,INDIRECT("'"&amp;D4&amp;"'"&amp;"!B:B"))</f>
        <v>20759</v>
      </c>
      <c r="E20" s="1917"/>
      <c r="F20" s="1156" t="s">
        <v>1920</v>
      </c>
      <c r="G20" s="144">
        <f ca="1">ROUND(C20*$C$18+D20*$D$18,0)</f>
        <v>19217</v>
      </c>
      <c r="H20" s="916" t="s">
        <v>1921</v>
      </c>
      <c r="I20" s="134"/>
    </row>
    <row r="21" spans="1:36" ht="15" customHeight="1" thickBot="1">
      <c r="A21" s="936"/>
      <c r="B21" s="1918" t="s">
        <v>1922</v>
      </c>
      <c r="C21" s="728">
        <f ca="1">ROUND(C19*10000/L19,0)</f>
        <v>129888</v>
      </c>
      <c r="D21" s="729">
        <f ca="1">ROUND(D19*10000/L19,0)</f>
        <v>152550</v>
      </c>
      <c r="E21" s="936"/>
      <c r="F21" s="1918" t="s">
        <v>1922</v>
      </c>
      <c r="G21" s="145">
        <f ca="1">ROUND(G19*10000/L19,0)</f>
        <v>141230</v>
      </c>
      <c r="H21" s="1919" t="s">
        <v>1921</v>
      </c>
      <c r="I21" s="134"/>
    </row>
    <row r="22" spans="1:36" ht="15" thickBot="1">
      <c r="A22" s="1841" t="s">
        <v>1923</v>
      </c>
      <c r="B22" s="1920"/>
      <c r="C22" s="1921"/>
      <c r="D22" s="730">
        <f ca="1">IF(C19&lt;D19,D19/C19-1,C19/D19-1)</f>
        <v>0.17447468136410604</v>
      </c>
      <c r="E22" s="134"/>
      <c r="F22" s="134"/>
      <c r="G22" s="134"/>
      <c r="H22" s="134"/>
      <c r="I22" s="134"/>
    </row>
    <row r="23" spans="1:36" ht="13.5" thickBot="1">
      <c r="A23" s="1900"/>
      <c r="B23" s="1900"/>
      <c r="C23" s="1900"/>
      <c r="D23" s="1900"/>
      <c r="E23" s="134"/>
      <c r="F23" s="134"/>
      <c r="G23" s="134"/>
      <c r="H23" s="134"/>
      <c r="I23" s="134"/>
    </row>
    <row r="24" spans="1:36" ht="14.25">
      <c r="A24" s="3407" t="s">
        <v>1924</v>
      </c>
      <c r="B24" s="1915" t="s">
        <v>1916</v>
      </c>
      <c r="C24" s="141">
        <f>IF(B30=0,0,D30)</f>
        <v>0</v>
      </c>
      <c r="D24" s="1922"/>
      <c r="E24" s="134"/>
      <c r="F24" s="134"/>
      <c r="G24" s="134"/>
      <c r="H24" s="134"/>
      <c r="I24" s="134"/>
    </row>
    <row r="25" spans="1:36" ht="14.25">
      <c r="A25" s="3408"/>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5"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1930</v>
      </c>
      <c r="B32" s="1927"/>
      <c r="C32" s="149">
        <f ca="1">IF(D32="总价",G19-C24,G20-C25)</f>
        <v>6313</v>
      </c>
      <c r="D32" s="1928" t="s">
        <v>3137</v>
      </c>
      <c r="E32" s="134"/>
      <c r="F32" s="134"/>
      <c r="G32" s="134"/>
      <c r="H32" s="134"/>
      <c r="I32" s="134"/>
    </row>
    <row r="33" spans="1:15" ht="15">
      <c r="A33" s="893" t="s">
        <v>1931</v>
      </c>
      <c r="B33" s="1929"/>
      <c r="C33" s="1930" t="s">
        <v>3431</v>
      </c>
      <c r="D33" s="1931" t="s">
        <v>3217</v>
      </c>
      <c r="E33" s="1932" t="s">
        <v>1932</v>
      </c>
      <c r="F33" s="1933" t="str">
        <f>IF(D32="楼面单价","取值（单价）","取值（总价）")</f>
        <v>取值（总价）</v>
      </c>
      <c r="G33" s="134"/>
      <c r="H33" s="134"/>
      <c r="I33" s="134"/>
    </row>
    <row r="34" spans="1:15" ht="15">
      <c r="A34" s="1934"/>
      <c r="B34" s="1935" t="s">
        <v>1933</v>
      </c>
      <c r="C34" s="153">
        <f ca="1">IF(C33="自定义",F34,C32-C35)</f>
        <v>2273</v>
      </c>
      <c r="D34" s="969">
        <f ca="1">IF(C33="自定义",ROUND(C34/C32,3),IF(C33="收益比率",SUMIF(INDIRECT("'"&amp;D33&amp;"'"&amp;"!b:b"),"土地收益比率",INDIRECT("'"&amp;D33&amp;"'"&amp;"!c:c")),SUMIF(INDIRECT("'"&amp;D33&amp;"'"&amp;"!b:b"),"土地成本比率",INDIRECT("'"&amp;D33&amp;"'"&amp;"!c:c"))))</f>
        <v>0.36</v>
      </c>
      <c r="E34" s="1936" t="s">
        <v>1934</v>
      </c>
      <c r="F34" s="1468"/>
      <c r="G34" s="134"/>
      <c r="H34" s="134"/>
      <c r="I34" s="134"/>
    </row>
    <row r="35" spans="1:15" ht="15.75" thickBot="1">
      <c r="A35" s="1937"/>
      <c r="B35" s="1938" t="s">
        <v>1935</v>
      </c>
      <c r="C35" s="1302">
        <f ca="1">IF(C33="自定义",F35,ROUND(C32*D35,0))</f>
        <v>4040</v>
      </c>
      <c r="D35" s="1303">
        <f ca="1">IF(C33="自定义",ROUND(C35/C32,3),IF(C33="收益比率",SUMIF(INDIRECT("'"&amp;D33&amp;"'"&amp;"!b:b"),"建筑物收益比率",INDIRECT("'"&amp;D33&amp;"'"&amp;"!c:c")),SUMIF(INDIRECT("'"&amp;D33&amp;"'"&amp;"!b:b"),"建筑物成本比率",INDIRECT("'"&amp;D33&amp;"'"&amp;"!c:c"))))</f>
        <v>0.64</v>
      </c>
      <c r="E35" s="1939" t="s">
        <v>1936</v>
      </c>
      <c r="F35" s="159"/>
      <c r="G35" s="134"/>
      <c r="H35" s="134"/>
      <c r="I35" s="134"/>
    </row>
    <row r="36" spans="1:15" ht="15.75" thickBot="1">
      <c r="A36" s="3427" t="s">
        <v>1937</v>
      </c>
      <c r="B36" s="1940" t="s">
        <v>1938</v>
      </c>
      <c r="C36" s="150"/>
      <c r="D36" s="1941"/>
      <c r="E36" s="1942"/>
      <c r="F36" s="1943"/>
      <c r="G36" s="134"/>
      <c r="H36" s="134"/>
      <c r="I36" s="134"/>
    </row>
    <row r="37" spans="1:15" ht="15.75" thickBot="1">
      <c r="A37" s="3428"/>
      <c r="B37" s="1827" t="s">
        <v>1939</v>
      </c>
      <c r="C37" s="152"/>
      <c r="D37" s="1271"/>
      <c r="E37" s="1271"/>
      <c r="F37" s="1943"/>
      <c r="G37" s="134"/>
      <c r="H37" s="134"/>
      <c r="I37" s="134"/>
    </row>
    <row r="38" spans="1:15" ht="15.75" thickBot="1">
      <c r="A38" s="3429"/>
      <c r="B38" s="1944" t="s">
        <v>1940</v>
      </c>
      <c r="C38" s="683"/>
      <c r="D38" s="1945" t="s">
        <v>1941</v>
      </c>
      <c r="E38" s="1271"/>
      <c r="F38" s="1943"/>
      <c r="G38" s="134"/>
      <c r="H38" s="134"/>
      <c r="I38" s="134"/>
    </row>
    <row r="39" spans="1:15" ht="15">
      <c r="A39" s="1917" t="s">
        <v>1942</v>
      </c>
      <c r="B39" s="1946" t="s">
        <v>1926</v>
      </c>
      <c r="C39" s="1947" t="s">
        <v>1927</v>
      </c>
      <c r="D39" s="1947" t="s">
        <v>1945</v>
      </c>
      <c r="E39" s="1948" t="s">
        <v>1928</v>
      </c>
      <c r="F39" s="1943"/>
      <c r="G39" s="134"/>
      <c r="H39" s="134"/>
      <c r="I39" s="134"/>
    </row>
    <row r="40" spans="1:15" ht="14.25">
      <c r="A40" s="1949" t="s">
        <v>1947</v>
      </c>
      <c r="B40" s="154"/>
      <c r="C40" s="155"/>
      <c r="D40" s="155"/>
      <c r="E40" s="156"/>
      <c r="F40" s="1943"/>
      <c r="G40" s="134"/>
      <c r="H40" s="134"/>
      <c r="I40" s="134"/>
    </row>
    <row r="41" spans="1:15" ht="14.25">
      <c r="A41" s="1949" t="s">
        <v>1948</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hidden="1">
      <c r="A44" s="1953" t="s">
        <v>1949</v>
      </c>
      <c r="B44" s="1954"/>
      <c r="C44" s="1954"/>
      <c r="D44" s="1955"/>
      <c r="E44" s="1955"/>
      <c r="F44" s="1956"/>
      <c r="G44" s="1956"/>
      <c r="H44" s="1956"/>
      <c r="I44" s="1956"/>
      <c r="J44" s="1957" t="s">
        <v>1950</v>
      </c>
      <c r="K44" s="1958"/>
      <c r="L44" s="1958"/>
      <c r="M44" s="1958"/>
      <c r="N44" s="1958"/>
      <c r="O44" s="1958"/>
    </row>
    <row r="45" spans="1:15" ht="14.25" hidden="1" customHeight="1" thickBot="1">
      <c r="A45" s="3404" t="s">
        <v>1951</v>
      </c>
      <c r="B45" s="3405"/>
      <c r="C45" s="3406"/>
      <c r="D45" s="160">
        <f ca="1">ROUND(H101*F45,0)</f>
        <v>4040</v>
      </c>
      <c r="E45" s="161" t="s">
        <v>1952</v>
      </c>
      <c r="F45" s="162">
        <v>0.64</v>
      </c>
      <c r="G45" s="163" t="s">
        <v>1953</v>
      </c>
      <c r="H45" s="134"/>
      <c r="I45" s="134"/>
      <c r="J45" s="3485" t="s">
        <v>1954</v>
      </c>
      <c r="K45" s="3485"/>
      <c r="L45" s="3485"/>
      <c r="M45" s="3485"/>
      <c r="N45" s="3485"/>
      <c r="O45" s="3485"/>
    </row>
    <row r="46" spans="1:15" ht="14.25" hidden="1" customHeight="1">
      <c r="A46" s="3401" t="s">
        <v>1955</v>
      </c>
      <c r="B46" s="3402"/>
      <c r="C46" s="3402"/>
      <c r="D46" s="3402"/>
      <c r="E46" s="3402"/>
      <c r="F46" s="3402"/>
      <c r="G46" s="3403"/>
      <c r="H46" s="1959"/>
      <c r="I46" s="164"/>
      <c r="J46" s="3233">
        <v>1</v>
      </c>
      <c r="K46" s="3466" t="s">
        <v>1956</v>
      </c>
      <c r="L46" s="3466"/>
      <c r="M46" s="3486"/>
      <c r="N46" s="3486"/>
      <c r="O46" s="3486"/>
    </row>
    <row r="47" spans="1:15" ht="12" hidden="1" customHeight="1">
      <c r="A47" s="165" t="s">
        <v>1957</v>
      </c>
      <c r="B47" s="166"/>
      <c r="C47" s="167"/>
      <c r="D47" s="1218" t="s">
        <v>1958</v>
      </c>
      <c r="E47" s="308" t="s">
        <v>1959</v>
      </c>
      <c r="F47" s="168" t="s">
        <v>1960</v>
      </c>
      <c r="G47" s="2738" t="s">
        <v>1961</v>
      </c>
      <c r="H47" s="2739"/>
      <c r="I47" s="164"/>
      <c r="J47" s="3233">
        <v>2</v>
      </c>
      <c r="K47" s="3466" t="s">
        <v>1962</v>
      </c>
      <c r="L47" s="3466"/>
      <c r="M47" s="3487">
        <f>'数据-取费表'!B2</f>
        <v>44665</v>
      </c>
      <c r="N47" s="3487"/>
      <c r="O47" s="3487"/>
    </row>
    <row r="48" spans="1:15" ht="25.5" hidden="1">
      <c r="A48" s="3432" t="s">
        <v>1963</v>
      </c>
      <c r="B48" s="3415"/>
      <c r="C48" s="3415"/>
      <c r="D48" s="3230">
        <f ca="1">IF(H48="情况1",0,IF(H48="情况2",D52,IF(H48="情况3",D53,IF(H48="情况4",D54))))</f>
        <v>215</v>
      </c>
      <c r="E48" s="3243" t="str">
        <f>IF(H48="情况4","(销售额-原购置价)×税（费）率","销售额×税（费）率")</f>
        <v>销售额×税（费）率</v>
      </c>
      <c r="F48" s="2740">
        <f>IF(H48="情况1","免征",'数据-取费表'!B41)</f>
        <v>5.6000000000000001E-2</v>
      </c>
      <c r="G48" s="2741" t="s">
        <v>1964</v>
      </c>
      <c r="H48" s="2742" t="s">
        <v>3221</v>
      </c>
      <c r="I48" s="1959"/>
      <c r="J48" s="3233">
        <v>3</v>
      </c>
      <c r="K48" s="3466" t="s">
        <v>1965</v>
      </c>
      <c r="L48" s="3466"/>
      <c r="M48" s="3488">
        <f ca="1">H101</f>
        <v>6313</v>
      </c>
      <c r="N48" s="3488"/>
      <c r="O48" s="3488"/>
    </row>
    <row r="49" spans="1:35" ht="25.5" hidden="1" customHeight="1">
      <c r="A49" s="3242" t="s">
        <v>1966</v>
      </c>
      <c r="B49" s="3399" t="s">
        <v>1967</v>
      </c>
      <c r="C49" s="3399"/>
      <c r="D49" s="1743">
        <v>0</v>
      </c>
      <c r="E49" s="330" t="s">
        <v>1968</v>
      </c>
      <c r="F49" s="3228" t="s">
        <v>34</v>
      </c>
      <c r="G49" s="3472"/>
      <c r="H49" s="2495" t="s">
        <v>2815</v>
      </c>
      <c r="I49" s="2496"/>
      <c r="J49" s="3233">
        <v>4</v>
      </c>
      <c r="K49" s="3466" t="str">
        <f>IF(项目基本情况!E8="房地产抵押价值","房地产抵押价值","抵押担保权已注销时的房地产抵押价值")</f>
        <v>房地产抵押价值</v>
      </c>
      <c r="L49" s="3466"/>
      <c r="M49" s="3488">
        <f ca="1">IF(项目基本情况!E8="房地产抵押价值",H107,H109)</f>
        <v>6313</v>
      </c>
      <c r="N49" s="3488"/>
      <c r="O49" s="3488"/>
    </row>
    <row r="50" spans="1:35" ht="25.5" hidden="1" customHeight="1">
      <c r="A50" s="2743"/>
      <c r="B50" s="3399" t="s">
        <v>1969</v>
      </c>
      <c r="C50" s="3399"/>
      <c r="D50" s="2744"/>
      <c r="E50" s="338"/>
      <c r="F50" s="3228"/>
      <c r="G50" s="3473"/>
      <c r="H50" s="2497" t="s">
        <v>2816</v>
      </c>
      <c r="I50" s="2496"/>
      <c r="J50" s="3485" t="s">
        <v>1970</v>
      </c>
      <c r="K50" s="3485"/>
      <c r="L50" s="3485"/>
      <c r="M50" s="3485"/>
      <c r="N50" s="3485"/>
      <c r="O50" s="3485"/>
    </row>
    <row r="51" spans="1:35" ht="20.45" hidden="1" customHeight="1">
      <c r="A51" s="2745"/>
      <c r="B51" s="3399" t="s">
        <v>1971</v>
      </c>
      <c r="C51" s="3399"/>
      <c r="D51" s="1218"/>
      <c r="E51" s="333"/>
      <c r="F51" s="3228"/>
      <c r="G51" s="3474"/>
      <c r="H51" s="2497" t="s">
        <v>2817</v>
      </c>
      <c r="I51" s="2496"/>
      <c r="J51" s="3229" t="s">
        <v>1972</v>
      </c>
      <c r="K51" s="3466" t="s">
        <v>1973</v>
      </c>
      <c r="L51" s="3466"/>
      <c r="M51" s="3229" t="s">
        <v>1974</v>
      </c>
      <c r="N51" s="3229" t="s">
        <v>1975</v>
      </c>
      <c r="O51" s="3229" t="s">
        <v>1976</v>
      </c>
    </row>
    <row r="52" spans="1:35" ht="24" hidden="1" customHeight="1">
      <c r="A52" s="3244" t="s">
        <v>1977</v>
      </c>
      <c r="B52" s="3399" t="s">
        <v>1978</v>
      </c>
      <c r="C52" s="3399"/>
      <c r="D52" s="1218">
        <f ca="1">ROUND(D45*'数据-取费表'!B41/(1+'数据-取费表'!C42),0)</f>
        <v>215</v>
      </c>
      <c r="E52" s="3243" t="s">
        <v>1979</v>
      </c>
      <c r="F52" s="2746">
        <f>'数据-取费表'!B41</f>
        <v>5.6000000000000001E-2</v>
      </c>
      <c r="G52" s="2747"/>
      <c r="H52" s="2736"/>
      <c r="I52" s="1960"/>
      <c r="J52" s="3233">
        <v>1</v>
      </c>
      <c r="K52" s="3467" t="s">
        <v>1980</v>
      </c>
      <c r="L52" s="3467"/>
      <c r="M52" s="2717">
        <f ca="1">D48</f>
        <v>215</v>
      </c>
      <c r="N52" s="3233" t="str">
        <f>E48</f>
        <v>销售额×税（费）率</v>
      </c>
      <c r="O52" s="2718">
        <f>F48</f>
        <v>5.6000000000000001E-2</v>
      </c>
    </row>
    <row r="53" spans="1:35" ht="12" hidden="1" customHeight="1">
      <c r="A53" s="3244" t="s">
        <v>1981</v>
      </c>
      <c r="B53" s="3425" t="s">
        <v>2970</v>
      </c>
      <c r="C53" s="3426"/>
      <c r="D53" s="1218">
        <f ca="1">ROUND(D45*'数据-取费表'!B41/(1+'数据-取费表'!C42),0)</f>
        <v>215</v>
      </c>
      <c r="E53" s="3243" t="s">
        <v>1979</v>
      </c>
      <c r="F53" s="2746">
        <f>'数据-取费表'!B41</f>
        <v>5.6000000000000001E-2</v>
      </c>
      <c r="G53" s="2747"/>
      <c r="H53" s="2736"/>
      <c r="I53" s="1960"/>
      <c r="J53" s="3233">
        <v>2</v>
      </c>
      <c r="K53" s="3467" t="s">
        <v>1982</v>
      </c>
      <c r="L53" s="3467"/>
      <c r="M53" s="2717">
        <f t="shared" ref="M53:O54" ca="1" si="0">D55</f>
        <v>2</v>
      </c>
      <c r="N53" s="3233" t="str">
        <f t="shared" si="0"/>
        <v>销售额×税（费）率</v>
      </c>
      <c r="O53" s="2718">
        <f t="shared" si="0"/>
        <v>5.0000000000000001E-4</v>
      </c>
    </row>
    <row r="54" spans="1:35" ht="12" hidden="1" customHeight="1">
      <c r="A54" s="3244" t="s">
        <v>1983</v>
      </c>
      <c r="B54" s="3425" t="s">
        <v>2971</v>
      </c>
      <c r="C54" s="3426"/>
      <c r="D54" s="1218">
        <f ca="1">C68</f>
        <v>215</v>
      </c>
      <c r="E54" s="333" t="s">
        <v>1984</v>
      </c>
      <c r="F54" s="2746">
        <f>'数据-取费表'!B41</f>
        <v>5.6000000000000001E-2</v>
      </c>
      <c r="G54" s="2747"/>
      <c r="H54" s="2748"/>
      <c r="I54" s="1960"/>
      <c r="J54" s="3233">
        <v>3</v>
      </c>
      <c r="K54" s="3467" t="s">
        <v>1985</v>
      </c>
      <c r="L54" s="3467"/>
      <c r="M54" s="2717">
        <f t="shared" ca="1" si="0"/>
        <v>0</v>
      </c>
      <c r="N54" s="3233" t="str">
        <f t="shared" si="0"/>
        <v>增值额×税（费）率</v>
      </c>
      <c r="O54" s="2719" t="str">
        <f t="shared" si="0"/>
        <v>——</v>
      </c>
    </row>
    <row r="55" spans="1:35" ht="24" hidden="1" customHeight="1">
      <c r="A55" s="3414" t="s">
        <v>1986</v>
      </c>
      <c r="B55" s="3415"/>
      <c r="C55" s="3415"/>
      <c r="D55" s="3230">
        <f ca="1">IF(H55="个人住宅",0,ROUND(D45*I55,0))</f>
        <v>2</v>
      </c>
      <c r="E55" s="3243" t="s">
        <v>1987</v>
      </c>
      <c r="F55" s="2746">
        <f>IF(H55="正常",I55,"免征")</f>
        <v>5.0000000000000001E-4</v>
      </c>
      <c r="G55" s="2747"/>
      <c r="H55" s="2742" t="s">
        <v>3222</v>
      </c>
      <c r="I55" s="170">
        <f>'数据-取费表'!B49</f>
        <v>5.0000000000000001E-4</v>
      </c>
      <c r="J55" s="3233" t="str">
        <f>IF(H59="非个人房产","",4)</f>
        <v/>
      </c>
      <c r="K55" s="3467" t="str">
        <f>IF(H59="非个人房产","——","个人所得税")</f>
        <v>——</v>
      </c>
      <c r="L55" s="3467"/>
      <c r="M55" s="2720" t="str">
        <f>D59</f>
        <v>——</v>
      </c>
      <c r="N55" s="3234" t="str">
        <f>E59</f>
        <v>——</v>
      </c>
      <c r="O55" s="2721" t="str">
        <f>F59</f>
        <v>——</v>
      </c>
    </row>
    <row r="56" spans="1:35" ht="24.75" hidden="1">
      <c r="A56" s="3414" t="s">
        <v>1988</v>
      </c>
      <c r="B56" s="3415"/>
      <c r="C56" s="3415"/>
      <c r="D56" s="3230">
        <f ca="1">IF(H56="个人住宅",D57,D58)</f>
        <v>0</v>
      </c>
      <c r="E56" s="3243" t="s">
        <v>1989</v>
      </c>
      <c r="F56" s="2746" t="str">
        <f>IF(H56="正常",F58,"免征")</f>
        <v>——</v>
      </c>
      <c r="G56" s="2749" t="s">
        <v>1990</v>
      </c>
      <c r="H56" s="2750" t="s">
        <v>3222</v>
      </c>
      <c r="I56" s="1961"/>
      <c r="J56" s="3233" t="str">
        <f>IF(项目基本情况!K6="上海银行",IF(J55="",4,J55+1),"")</f>
        <v/>
      </c>
      <c r="K56" s="3490" t="str">
        <f>IF(项目基本情况!K6="上海银行","其他处置费用","")</f>
        <v/>
      </c>
      <c r="L56" s="3491"/>
      <c r="M56" s="2717" t="str">
        <f>IF(项目基本情况!K6="上海银行",M69,"")</f>
        <v/>
      </c>
      <c r="N56" s="3490" t="str">
        <f>IF(项目基本情况!K6="上海银行","包含处置中涉及的律师、诉讼、拍卖、评估等费用","")</f>
        <v/>
      </c>
      <c r="O56" s="3493"/>
    </row>
    <row r="57" spans="1:35" ht="12.75" hidden="1">
      <c r="A57" s="3244" t="s">
        <v>1966</v>
      </c>
      <c r="B57" s="3425" t="s">
        <v>1991</v>
      </c>
      <c r="C57" s="3426"/>
      <c r="D57" s="1743">
        <v>0</v>
      </c>
      <c r="E57" s="330" t="s">
        <v>1968</v>
      </c>
      <c r="F57" s="308"/>
      <c r="G57" s="2747"/>
      <c r="H57" s="2751"/>
      <c r="I57" s="1961"/>
      <c r="J57" s="3467">
        <f>IF(AND(J55="",J56=""),4,IF(项目基本情况!K6="上海银行",'结果表 (地下综合)'!J56+1,'结果表 (地下综合)'!J55+1))</f>
        <v>4</v>
      </c>
      <c r="K57" s="3467" t="s">
        <v>1992</v>
      </c>
      <c r="L57" s="2722" t="s">
        <v>1993</v>
      </c>
      <c r="M57" s="2723"/>
      <c r="N57" s="2724">
        <f ca="1">SUMIF(M52:M56,"&lt;9e307")</f>
        <v>217</v>
      </c>
      <c r="O57" s="2725"/>
      <c r="P57" s="2885">
        <f ca="1">N57/M49</f>
        <v>3.4373514969111355E-2</v>
      </c>
    </row>
    <row r="58" spans="1:35" ht="24.75" hidden="1">
      <c r="A58" s="3244" t="s">
        <v>1977</v>
      </c>
      <c r="B58" s="3425" t="s">
        <v>1994</v>
      </c>
      <c r="C58" s="3399"/>
      <c r="D58" s="3230">
        <f ca="1">IF(H58="转让取得",C81,C97)</f>
        <v>0</v>
      </c>
      <c r="E58" s="3243" t="s">
        <v>1989</v>
      </c>
      <c r="F58" s="308" t="s">
        <v>34</v>
      </c>
      <c r="G58" s="2747"/>
      <c r="H58" s="2750" t="s">
        <v>3223</v>
      </c>
      <c r="I58" s="1961"/>
      <c r="J58" s="3467"/>
      <c r="K58" s="3467"/>
      <c r="L58" s="2722" t="s">
        <v>1995</v>
      </c>
      <c r="M58" s="2726"/>
      <c r="N58" s="2727" t="str">
        <f ca="1">NUMBERSTRING(INT(N57*10000),2)&amp;"元整"</f>
        <v>贰佰壹拾柒万元整</v>
      </c>
      <c r="O58" s="2728"/>
    </row>
    <row r="59" spans="1:35" ht="24.75" hidden="1" thickBot="1">
      <c r="A59" s="3470" t="s">
        <v>1996</v>
      </c>
      <c r="B59" s="3471"/>
      <c r="C59" s="3471"/>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68">
        <f>J57+1</f>
        <v>5</v>
      </c>
      <c r="K59" s="3467" t="s">
        <v>1997</v>
      </c>
      <c r="L59" s="3233" t="s">
        <v>1993</v>
      </c>
      <c r="M59" s="2729"/>
      <c r="N59" s="2730">
        <f ca="1">M49-N57</f>
        <v>6096</v>
      </c>
      <c r="O59" s="2731"/>
    </row>
    <row r="60" spans="1:35" ht="12" hidden="1" customHeight="1">
      <c r="A60" s="1962"/>
      <c r="B60" s="1900"/>
      <c r="C60" s="1900"/>
      <c r="D60" s="1900"/>
      <c r="E60" s="1731"/>
      <c r="F60" s="1961"/>
      <c r="G60" s="1961"/>
      <c r="H60" s="1963"/>
      <c r="I60" s="134"/>
      <c r="J60" s="3469"/>
      <c r="K60" s="3467"/>
      <c r="L60" s="2722" t="s">
        <v>1995</v>
      </c>
      <c r="M60" s="2726"/>
      <c r="N60" s="2727" t="str">
        <f ca="1">NUMBERSTRING(INT(N59*10000),2)&amp;"元整"</f>
        <v>陆仟零玖拾陆万元整</v>
      </c>
      <c r="O60" s="2728"/>
    </row>
    <row r="61" spans="1:35" ht="13.5" hidden="1" thickBot="1">
      <c r="A61" s="3412" t="s">
        <v>1998</v>
      </c>
      <c r="B61" s="3412"/>
      <c r="C61" s="3412"/>
      <c r="D61" s="3412"/>
      <c r="E61" s="3412"/>
      <c r="F61" s="1961"/>
      <c r="G61" s="1961"/>
      <c r="H61" s="1963"/>
      <c r="I61" s="134"/>
      <c r="J61" s="3233">
        <f>J59+1</f>
        <v>6</v>
      </c>
      <c r="K61" s="3467" t="s">
        <v>1999</v>
      </c>
      <c r="L61" s="3467"/>
      <c r="M61" s="2732"/>
      <c r="N61" s="2733">
        <f ca="1">ROUND(N59*10000/'数据-汇总表'!E3,0)</f>
        <v>868</v>
      </c>
      <c r="O61" s="2734"/>
    </row>
    <row r="62" spans="1:35" ht="12.75" hidden="1">
      <c r="A62" s="3430" t="s">
        <v>2000</v>
      </c>
      <c r="B62" s="3431"/>
      <c r="C62" s="3238"/>
      <c r="D62" s="3238" t="s">
        <v>2001</v>
      </c>
      <c r="E62" s="171" t="s">
        <v>2002</v>
      </c>
      <c r="F62" s="1961"/>
      <c r="G62" s="1961"/>
      <c r="H62" s="1963"/>
      <c r="I62" s="134"/>
    </row>
    <row r="63" spans="1:35" ht="12.75" hidden="1">
      <c r="A63" s="178" t="s">
        <v>775</v>
      </c>
      <c r="B63" s="172" t="s">
        <v>2003</v>
      </c>
      <c r="C63" s="2756">
        <f ca="1">ROUND((C64+C65)/(1+'数据-取费表'!C42),0)</f>
        <v>3848</v>
      </c>
      <c r="D63" s="172"/>
      <c r="E63" s="173"/>
      <c r="F63" s="1961"/>
      <c r="G63" s="1961"/>
      <c r="H63" s="1963"/>
      <c r="I63" s="134"/>
      <c r="J63" s="3492" t="s">
        <v>2004</v>
      </c>
      <c r="K63" s="3231" t="s">
        <v>2005</v>
      </c>
      <c r="L63" s="3231">
        <f ca="1">IF(M49&gt;10000,M49*0.5%,IF(AND(M49&gt;1000,M49&lt;=10000),M49*1%,IF(AND(M49&gt;100,M49&lt;=1000),M49*3%,IF(AND(M49&gt;10,M49&lt;=100),M49*5%,M49*8%))))</f>
        <v>63.13</v>
      </c>
      <c r="M63" s="308">
        <f ca="1">ROUND(L63,1)</f>
        <v>63.1</v>
      </c>
      <c r="N63" s="2735"/>
      <c r="Z63" s="1905"/>
      <c r="AI63" s="1906"/>
    </row>
    <row r="64" spans="1:35" ht="14.25" hidden="1" customHeight="1">
      <c r="A64" s="174" t="s">
        <v>770</v>
      </c>
      <c r="B64" s="175" t="s">
        <v>2006</v>
      </c>
      <c r="C64" s="2757">
        <f ca="1">D45</f>
        <v>4040</v>
      </c>
      <c r="D64" s="175" t="s">
        <v>32</v>
      </c>
      <c r="E64" s="177"/>
      <c r="F64" s="1961"/>
      <c r="G64" s="1961"/>
      <c r="H64" s="1963"/>
      <c r="I64" s="134"/>
      <c r="J64" s="3492"/>
      <c r="K64" s="3231" t="s">
        <v>2007</v>
      </c>
      <c r="L64" s="3231">
        <f ca="1">IF(M49&gt;2000,M49*0.5%,IF(AND(M49&gt;1000,M49&lt;=2000),M49*0.6%,IF(AND(M49&gt;500,M49&lt;=1000),M49*0.7%,IF(AND(M49&gt;200,M49&lt;=500),M49*0.8%,IF(AND(M49&gt;100,M49&lt;=200),M49*0.9%,IF(AND(M49&gt;50,M49&lt;=100),M49*1%,IF(AND(M49&gt;20,M49&lt;=50),M49*1.5%,IF(AND(M49&gt;10,M49&lt;=20),M49*2%,IF(AND(M49&gt;1,M49&lt;=10),M49*2.5%)))))))))</f>
        <v>31.565000000000001</v>
      </c>
      <c r="M64" s="308">
        <f t="shared" ref="M64:M65" ca="1" si="1">ROUND(L64,1)</f>
        <v>31.6</v>
      </c>
      <c r="N64" s="2736" t="s">
        <v>2008</v>
      </c>
      <c r="Z64" s="1905"/>
      <c r="AI64" s="1906"/>
    </row>
    <row r="65" spans="1:35" ht="14.25" hidden="1" customHeight="1">
      <c r="A65" s="174" t="s">
        <v>771</v>
      </c>
      <c r="B65" s="175" t="s">
        <v>2009</v>
      </c>
      <c r="C65" s="2758"/>
      <c r="D65" s="175"/>
      <c r="E65" s="177"/>
      <c r="F65" s="1961"/>
      <c r="G65" s="1961"/>
      <c r="H65" s="1963"/>
      <c r="I65" s="134"/>
      <c r="J65" s="3492"/>
      <c r="K65" s="3231" t="s">
        <v>2010</v>
      </c>
      <c r="L65" s="3231">
        <f ca="1">IF(M49&gt;1000,M49*0.1%,IF(AND(M49&gt;500,M49&lt;=1000),M49*0.5%,IF(AND(M49&gt;50,M49&lt;=500),M49*1%,IF(AND(M49&gt;1,M49&lt;=50),M49*1.5%))))</f>
        <v>6.3129999999999997</v>
      </c>
      <c r="M65" s="308">
        <f t="shared" ca="1" si="1"/>
        <v>6.3</v>
      </c>
      <c r="N65" s="2736" t="s">
        <v>2008</v>
      </c>
      <c r="Z65" s="1905"/>
      <c r="AI65" s="1906"/>
    </row>
    <row r="66" spans="1:35" ht="14.25" hidden="1" customHeight="1">
      <c r="A66" s="178" t="s">
        <v>772</v>
      </c>
      <c r="B66" s="179" t="s">
        <v>2011</v>
      </c>
      <c r="C66" s="2759"/>
      <c r="D66" s="179" t="s">
        <v>32</v>
      </c>
      <c r="E66" s="1477" t="s">
        <v>1277</v>
      </c>
      <c r="F66" s="1961"/>
      <c r="G66" s="1961"/>
      <c r="H66" s="1963"/>
      <c r="I66" s="134"/>
      <c r="J66" s="3492"/>
      <c r="K66" s="3231" t="s">
        <v>2012</v>
      </c>
      <c r="L66" s="3231">
        <f ca="1">M49*0.5%</f>
        <v>31.565000000000001</v>
      </c>
      <c r="M66" s="308">
        <f ca="1">IF(L66&gt;0.5,0.5,ROUND(L66,0))</f>
        <v>0.5</v>
      </c>
      <c r="N66" s="2736" t="s">
        <v>2013</v>
      </c>
      <c r="Z66" s="1905"/>
      <c r="AI66" s="1906"/>
    </row>
    <row r="67" spans="1:35" ht="14.25" hidden="1" customHeight="1">
      <c r="A67" s="178" t="s">
        <v>773</v>
      </c>
      <c r="B67" s="179" t="s">
        <v>2014</v>
      </c>
      <c r="C67" s="2760">
        <f ca="1">C63-C66</f>
        <v>3848</v>
      </c>
      <c r="D67" s="175" t="s">
        <v>32</v>
      </c>
      <c r="E67" s="177"/>
      <c r="F67" s="1961"/>
      <c r="G67" s="1961"/>
      <c r="H67" s="1963"/>
      <c r="I67" s="134"/>
      <c r="J67" s="3492"/>
      <c r="K67" s="3231" t="s">
        <v>2015</v>
      </c>
      <c r="L67" s="3231">
        <f ca="1">IF(M49&gt;=10000,(8.25+(M49-10000)*0.01%),IF(AND(M49&gt;=8000,M49&lt;10000),(7.85+(M49-8000)*0.02%),IF(AND(M49&gt;=5000,M49&lt;8000),(6.65+(M49-5000)*0.04%),IF(AND(M49&gt;=2000,M49&lt;5000),(4.25+(PM49-2000)*0.08%),IF(AND(M49&gt;=1000,M49&lt;2000),(2.75+(M49-1000)*0.15%),IF(AND(M49&gt;=100,M49&lt;1000),(0.5+(M49-100)*0.25%),IF(AND(M49&gt;0,M49&lt;100),M49*0.5%)))))))</f>
        <v>7.1752000000000002</v>
      </c>
      <c r="M67" s="308">
        <f ca="1">ROUND(L67*0.9,1)</f>
        <v>6.5</v>
      </c>
      <c r="N67" s="2735"/>
      <c r="Z67" s="1905"/>
      <c r="AI67" s="1906"/>
    </row>
    <row r="68" spans="1:35" ht="14.25" hidden="1" customHeight="1" thickBot="1">
      <c r="A68" s="181" t="s">
        <v>774</v>
      </c>
      <c r="B68" s="182" t="s">
        <v>2016</v>
      </c>
      <c r="C68" s="2761">
        <f ca="1">IF(C67&lt;=0,0,ROUND(C67*D68,0))</f>
        <v>215</v>
      </c>
      <c r="D68" s="2762">
        <f>'数据-取费表'!B41</f>
        <v>5.6000000000000001E-2</v>
      </c>
      <c r="E68" s="184"/>
      <c r="F68" s="1961"/>
      <c r="G68" s="1961"/>
      <c r="H68" s="1963"/>
      <c r="I68" s="134"/>
      <c r="J68" s="3492"/>
      <c r="K68" s="3231" t="s">
        <v>2017</v>
      </c>
      <c r="L68" s="3231">
        <f ca="1">IF(M49&gt;10000,M49*0.5%,IF(AND(M49&gt;5000,M49&lt;=10000),M49*1%,IF(AND(M49&gt;1000,M49&lt;=5000),M49*2%,IF(AND(M49&gt;200,M49&lt;=1000),M49*3%,M49*5%))))</f>
        <v>63.13</v>
      </c>
      <c r="M68" s="308">
        <f ca="1">ROUND(L68,1)</f>
        <v>63.1</v>
      </c>
      <c r="N68" s="2735"/>
      <c r="Z68" s="1905"/>
      <c r="AI68" s="1906"/>
    </row>
    <row r="69" spans="1:35" s="1925" customFormat="1" ht="16.5" hidden="1" customHeight="1">
      <c r="A69" s="1964"/>
      <c r="B69" s="1965"/>
      <c r="C69" s="1966"/>
      <c r="D69" s="1967"/>
      <c r="E69" s="1968"/>
      <c r="F69" s="1731"/>
      <c r="G69" s="1731"/>
      <c r="H69" s="1730"/>
      <c r="I69" s="1900"/>
      <c r="J69" s="3492"/>
      <c r="K69" s="3231" t="s">
        <v>2018</v>
      </c>
      <c r="L69" s="3231"/>
      <c r="M69" s="308">
        <f ca="1">ROUND(SUM(M63:M68),0)</f>
        <v>171</v>
      </c>
      <c r="N69" s="2737">
        <f ca="1">M69/M49</f>
        <v>2.7086963408838902E-2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hidden="1" thickBot="1">
      <c r="A70" s="3451" t="s">
        <v>2019</v>
      </c>
      <c r="B70" s="3452"/>
      <c r="C70" s="3452"/>
      <c r="D70" s="3452"/>
      <c r="E70" s="3452"/>
      <c r="F70" s="3452"/>
      <c r="G70" s="3452"/>
      <c r="H70" s="3452"/>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hidden="1">
      <c r="A71" s="3430" t="s">
        <v>2000</v>
      </c>
      <c r="B71" s="3431"/>
      <c r="C71" s="3238"/>
      <c r="D71" s="3238"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hidden="1">
      <c r="A72" s="178" t="s">
        <v>775</v>
      </c>
      <c r="B72" s="179" t="s">
        <v>2020</v>
      </c>
      <c r="C72" s="2760">
        <f ca="1">ROUND(D45/(1+'数据-取费表'!C42),0)</f>
        <v>3848</v>
      </c>
      <c r="D72" s="175" t="s">
        <v>32</v>
      </c>
      <c r="E72" s="3240"/>
      <c r="F72" s="3239"/>
      <c r="G72" s="3239"/>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hidden="1">
      <c r="A73" s="178" t="s">
        <v>772</v>
      </c>
      <c r="B73" s="168" t="s">
        <v>2021</v>
      </c>
      <c r="C73" s="2760">
        <f ca="1">C74+C78</f>
        <v>23</v>
      </c>
      <c r="D73" s="175" t="s">
        <v>32</v>
      </c>
      <c r="E73" s="3240"/>
      <c r="F73" s="3239"/>
      <c r="G73" s="3239"/>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3240"/>
      <c r="F74" s="3239"/>
      <c r="G74" s="3239"/>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25" t="s">
        <v>2027</v>
      </c>
      <c r="F76" s="3399"/>
      <c r="G76" s="3399"/>
      <c r="H76" s="3450"/>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3230" t="s">
        <v>2029</v>
      </c>
      <c r="F77" s="192"/>
      <c r="G77" s="1975"/>
      <c r="H77" s="324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23</v>
      </c>
      <c r="D78" s="2769">
        <f>'数据-取费表'!B43</f>
        <v>6.000000000000001E-3</v>
      </c>
      <c r="E78" s="3409" t="s">
        <v>2031</v>
      </c>
      <c r="F78" s="3410"/>
      <c r="G78" s="3410"/>
      <c r="H78" s="3419"/>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hidden="1">
      <c r="A79" s="178" t="s">
        <v>773</v>
      </c>
      <c r="B79" s="179" t="s">
        <v>2032</v>
      </c>
      <c r="C79" s="2760">
        <f ca="1">C72-C73</f>
        <v>3825</v>
      </c>
      <c r="D79" s="175" t="s">
        <v>32</v>
      </c>
      <c r="E79" s="3240"/>
      <c r="F79" s="3239"/>
      <c r="G79" s="3239"/>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166.30434782608697</v>
      </c>
      <c r="D80" s="175" t="s">
        <v>32</v>
      </c>
      <c r="E80" s="3230" t="str">
        <f ca="1">IF(C80&gt;=200%,"增值额超过扣除项目金额200%",IF(C80&gt;=100%,"增值额超过扣除项目金额100%，未超过200%",IF(C80&gt;=50%,"增值额超过扣除项目金额50%，未超过100%",IF(C80&lt;50%,"增值额未超过扣除项目金额50%"))))</f>
        <v>增值额超过扣除项目金额200%</v>
      </c>
      <c r="F80" s="3239"/>
      <c r="G80" s="3239"/>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hidden="1" thickBot="1">
      <c r="A81" s="181" t="s">
        <v>781</v>
      </c>
      <c r="B81" s="182" t="s">
        <v>2034</v>
      </c>
      <c r="C81" s="2771">
        <f ca="1">ROUND(IF(C79&lt;=0,0,IF(C80&gt;=200%,C79*60%-C73*35%,IF(C80&gt;=100%,C79*50%-C73*15%,IF(C80&gt;=50%,C79*40%-C73*5%,IF(C80&lt;50%,C79*30%,0))))),0)</f>
        <v>2287</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hidden="1" thickBot="1">
      <c r="A83" s="3451" t="s">
        <v>2035</v>
      </c>
      <c r="B83" s="3452"/>
      <c r="C83" s="3452"/>
      <c r="D83" s="3452"/>
      <c r="E83" s="3452"/>
      <c r="F83" s="3452"/>
      <c r="G83" s="3452"/>
      <c r="H83" s="3452"/>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hidden="1">
      <c r="A84" s="3430" t="s">
        <v>2000</v>
      </c>
      <c r="B84" s="3431"/>
      <c r="C84" s="3238"/>
      <c r="D84" s="3238"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hidden="1">
      <c r="A85" s="178" t="s">
        <v>775</v>
      </c>
      <c r="B85" s="179" t="s">
        <v>2020</v>
      </c>
      <c r="C85" s="2760">
        <f ca="1">ROUND(D45/(1+'数据-取费表'!C42),0)</f>
        <v>3848</v>
      </c>
      <c r="D85" s="175" t="s">
        <v>32</v>
      </c>
      <c r="E85" s="3240"/>
      <c r="F85" s="3239"/>
      <c r="G85" s="3239"/>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hidden="1">
      <c r="A86" s="178" t="s">
        <v>772</v>
      </c>
      <c r="B86" s="168" t="s">
        <v>2021</v>
      </c>
      <c r="C86" s="2760">
        <f ca="1">IF(H88="仅含出让金",C87+C90+C91+C92+C93+C94,C87+C91+C92+C93+C94)</f>
        <v>131900.17170000001</v>
      </c>
      <c r="D86" s="2773"/>
      <c r="E86" s="3240"/>
      <c r="F86" s="3239"/>
      <c r="G86" s="3239"/>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hidden="1">
      <c r="A87" s="174" t="s">
        <v>770</v>
      </c>
      <c r="B87" s="175" t="s">
        <v>2036</v>
      </c>
      <c r="C87" s="2768">
        <f>C88+C89</f>
        <v>21444.171699999999</v>
      </c>
      <c r="D87" s="2769"/>
      <c r="E87" s="3235"/>
      <c r="F87" s="3236"/>
      <c r="G87" s="3236"/>
      <c r="H87" s="323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hidden="1">
      <c r="A88" s="174" t="s">
        <v>776</v>
      </c>
      <c r="B88" s="175" t="s">
        <v>2037</v>
      </c>
      <c r="C88" s="2774">
        <f>信息!B22+信息!E22</f>
        <v>20809.171699999999</v>
      </c>
      <c r="D88" s="2769"/>
      <c r="E88" s="199" t="s">
        <v>2038</v>
      </c>
      <c r="F88" s="3236"/>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hidden="1">
      <c r="A89" s="174" t="s">
        <v>777</v>
      </c>
      <c r="B89" s="175" t="s">
        <v>2028</v>
      </c>
      <c r="C89" s="2768">
        <f>ROUND(C88*D89,0)</f>
        <v>635</v>
      </c>
      <c r="D89" s="2769">
        <f>'数据-取费表'!B48+'数据-取费表'!B49</f>
        <v>3.0499999999999999E-2</v>
      </c>
      <c r="E89" s="199" t="s">
        <v>2040</v>
      </c>
      <c r="F89" s="3236"/>
      <c r="G89" s="3236"/>
      <c r="H89" s="323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hidden="1">
      <c r="A90" s="174" t="s">
        <v>771</v>
      </c>
      <c r="B90" s="175" t="s">
        <v>2041</v>
      </c>
      <c r="C90" s="2774"/>
      <c r="D90" s="2769"/>
      <c r="E90" s="199" t="str">
        <f>IF(H88="-","土地取得成本中已包含该笔费用"," ")</f>
        <v xml:space="preserve"> </v>
      </c>
      <c r="F90" s="3236"/>
      <c r="G90" s="3494" t="s">
        <v>2810</v>
      </c>
      <c r="H90" s="3495"/>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2042</v>
      </c>
      <c r="B91" s="175" t="s">
        <v>2043</v>
      </c>
      <c r="C91" s="2768">
        <f>IF(H91="——",成本法!C33,I91)</f>
        <v>80000</v>
      </c>
      <c r="D91" s="2769"/>
      <c r="E91" s="3409" t="s">
        <v>2044</v>
      </c>
      <c r="F91" s="3410"/>
      <c r="G91" s="341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2045</v>
      </c>
      <c r="B92" s="175" t="s">
        <v>2046</v>
      </c>
      <c r="C92" s="2768">
        <f>ROUND((C87+C90+C91)*D92,0)</f>
        <v>10144</v>
      </c>
      <c r="D92" s="2775">
        <v>0.1</v>
      </c>
      <c r="E92" s="3409" t="s">
        <v>2047</v>
      </c>
      <c r="F92" s="3410"/>
      <c r="G92" s="3410"/>
      <c r="H92" s="3419"/>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2048</v>
      </c>
      <c r="B93" s="175" t="s">
        <v>2030</v>
      </c>
      <c r="C93" s="2768">
        <f ca="1">ROUND(D45*D93/(1+'数据-取费表'!C42),0)</f>
        <v>23</v>
      </c>
      <c r="D93" s="2769">
        <f>'数据-取费表'!B43</f>
        <v>6.000000000000001E-3</v>
      </c>
      <c r="E93" s="3409" t="s">
        <v>2031</v>
      </c>
      <c r="F93" s="3410"/>
      <c r="G93" s="3410"/>
      <c r="H93" s="3419"/>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2049</v>
      </c>
      <c r="B94" s="175" t="s">
        <v>2050</v>
      </c>
      <c r="C94" s="2774">
        <f>ROUND((C87+C90+C91)*D94,0)</f>
        <v>20289</v>
      </c>
      <c r="D94" s="2769">
        <v>0.2</v>
      </c>
      <c r="E94" s="3420" t="s">
        <v>2051</v>
      </c>
      <c r="F94" s="3421"/>
      <c r="G94" s="3421"/>
      <c r="H94" s="3422"/>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hidden="1">
      <c r="A95" s="178" t="s">
        <v>773</v>
      </c>
      <c r="B95" s="179" t="s">
        <v>2032</v>
      </c>
      <c r="C95" s="2760">
        <f ca="1">ROUND(C85-C86,0)</f>
        <v>-128052</v>
      </c>
      <c r="D95" s="175" t="s">
        <v>32</v>
      </c>
      <c r="E95" s="3240"/>
      <c r="F95" s="3239"/>
      <c r="G95" s="3239"/>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2033</v>
      </c>
      <c r="C96" s="2770">
        <f ca="1">IF(C95&lt;=0,0,C95/C86)</f>
        <v>0</v>
      </c>
      <c r="D96" s="175" t="s">
        <v>32</v>
      </c>
      <c r="E96" s="3230" t="str">
        <f ca="1">IF(C96&gt;=200%,"增值额超过扣除项目金额200%",IF(C96&gt;=100%,"增值额超过扣除项目金额100%，未超过200%",IF(C96&gt;=50%,"增值额超过扣除项目金额50%，未超过100%",IF(C96&lt;50%,"增值额未超过扣除项目金额50%"))))</f>
        <v>增值额未超过扣除项目金额50%</v>
      </c>
      <c r="F96" s="3239"/>
      <c r="G96" s="3239"/>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hidden="1"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hidden="1" customHeight="1" thickBot="1">
      <c r="A99" s="1953" t="s">
        <v>2052</v>
      </c>
      <c r="B99" s="1900"/>
      <c r="C99" s="1900"/>
      <c r="D99" s="1900"/>
      <c r="E99" s="1731"/>
      <c r="F99" s="1731"/>
      <c r="G99" s="1731"/>
      <c r="H99" s="1730"/>
      <c r="I99" s="134"/>
    </row>
    <row r="100" spans="1:35" ht="18.75" hidden="1" customHeight="1">
      <c r="A100" s="3388" t="s">
        <v>2053</v>
      </c>
      <c r="B100" s="3389"/>
      <c r="C100" s="3389"/>
      <c r="D100" s="3411"/>
      <c r="E100" s="3389" t="s">
        <v>2054</v>
      </c>
      <c r="F100" s="3389"/>
      <c r="G100" s="3389"/>
      <c r="H100" s="3411"/>
      <c r="I100" s="134"/>
    </row>
    <row r="101" spans="1:35" ht="18.75" hidden="1" customHeight="1">
      <c r="A101" s="3475" t="s">
        <v>2055</v>
      </c>
      <c r="B101" s="3476"/>
      <c r="C101" s="2777" t="str">
        <f>C4</f>
        <v>成本法</v>
      </c>
      <c r="D101" s="2778" t="str">
        <f>D4</f>
        <v>收益法 (地下综合)</v>
      </c>
      <c r="E101" s="3489" t="s">
        <v>2056</v>
      </c>
      <c r="F101" s="3443"/>
      <c r="G101" s="1980" t="s">
        <v>2057</v>
      </c>
      <c r="H101" s="2787">
        <f ca="1">H118</f>
        <v>6313</v>
      </c>
      <c r="I101" s="134"/>
    </row>
    <row r="102" spans="1:35" ht="18.75" hidden="1" customHeight="1">
      <c r="A102" s="3445" t="s">
        <v>2058</v>
      </c>
      <c r="B102" s="2776" t="s">
        <v>2057</v>
      </c>
      <c r="C102" s="2777">
        <f ca="1">C19</f>
        <v>5806</v>
      </c>
      <c r="D102" s="2778">
        <f ca="1">D19</f>
        <v>6819</v>
      </c>
      <c r="E102" s="3489"/>
      <c r="F102" s="3443"/>
      <c r="G102" s="1980" t="s">
        <v>2059</v>
      </c>
      <c r="H102" s="2747">
        <f ca="1">I118</f>
        <v>19219</v>
      </c>
      <c r="I102" s="134"/>
    </row>
    <row r="103" spans="1:35" ht="42.75" hidden="1" customHeight="1">
      <c r="A103" s="3445"/>
      <c r="B103" s="2776" t="s">
        <v>2059</v>
      </c>
      <c r="C103" s="2779">
        <f ca="1">C20</f>
        <v>17675</v>
      </c>
      <c r="D103" s="2780">
        <f ca="1">D20</f>
        <v>20759</v>
      </c>
      <c r="E103" s="3483" t="s">
        <v>2060</v>
      </c>
      <c r="F103" s="3484"/>
      <c r="G103" s="1981" t="s">
        <v>2061</v>
      </c>
      <c r="H103" s="2787">
        <f>IF(D36="正常操作",H104+H105+H106,H105+H106)</f>
        <v>0</v>
      </c>
      <c r="I103" s="134"/>
    </row>
    <row r="104" spans="1:35" ht="18.75" hidden="1" customHeight="1">
      <c r="A104" s="3445" t="s">
        <v>2062</v>
      </c>
      <c r="B104" s="2781" t="s">
        <v>2057</v>
      </c>
      <c r="C104" s="2782">
        <f ca="1">H118</f>
        <v>6313</v>
      </c>
      <c r="D104" s="2783"/>
      <c r="E104" s="1827" t="s">
        <v>2063</v>
      </c>
      <c r="F104" s="1819"/>
      <c r="G104" s="1981" t="s">
        <v>2061</v>
      </c>
      <c r="H104" s="2788">
        <f>IF(D36="同一抵押权人同一抵押物续贷",C36&amp;"（续贷，未扣减，详见特别提示）",C36)</f>
        <v>0</v>
      </c>
      <c r="I104" s="134"/>
    </row>
    <row r="105" spans="1:35" ht="18.75" hidden="1" customHeight="1" thickBot="1">
      <c r="A105" s="3446"/>
      <c r="B105" s="2784" t="s">
        <v>2059</v>
      </c>
      <c r="C105" s="2785">
        <f ca="1">I118</f>
        <v>19219</v>
      </c>
      <c r="D105" s="2786"/>
      <c r="E105" s="1827" t="s">
        <v>2064</v>
      </c>
      <c r="F105" s="1819"/>
      <c r="G105" s="1981" t="s">
        <v>2061</v>
      </c>
      <c r="H105" s="2789">
        <f>C37</f>
        <v>0</v>
      </c>
      <c r="I105" s="134"/>
    </row>
    <row r="106" spans="1:35" ht="18.75" hidden="1" customHeight="1">
      <c r="A106" s="1900" t="s">
        <v>2065</v>
      </c>
      <c r="B106" s="1900"/>
      <c r="C106" s="1900"/>
      <c r="D106" s="1900"/>
      <c r="E106" s="1982" t="s">
        <v>2066</v>
      </c>
      <c r="F106" s="1819"/>
      <c r="G106" s="1981" t="s">
        <v>2061</v>
      </c>
      <c r="H106" s="2789">
        <f>C38</f>
        <v>0</v>
      </c>
      <c r="I106" s="134"/>
    </row>
    <row r="107" spans="1:35" ht="18.75" hidden="1" customHeight="1">
      <c r="A107" s="134"/>
      <c r="B107" s="134"/>
      <c r="C107" s="134"/>
      <c r="D107" s="134"/>
      <c r="E107" s="3442" t="str">
        <f>IF(项目基本情况!E8="已注销","——","3.房地产抵押价值")</f>
        <v>3.房地产抵押价值</v>
      </c>
      <c r="F107" s="3443"/>
      <c r="G107" s="1980" t="s">
        <v>2057</v>
      </c>
      <c r="H107" s="2787">
        <f ca="1">IF(E107="——","——",H101-H103)</f>
        <v>6313</v>
      </c>
      <c r="I107" s="134"/>
    </row>
    <row r="108" spans="1:35" ht="18.75" hidden="1" customHeight="1">
      <c r="A108" s="134"/>
      <c r="B108" s="134"/>
      <c r="C108" s="134"/>
      <c r="D108" s="134"/>
      <c r="E108" s="3442"/>
      <c r="F108" s="3443"/>
      <c r="G108" s="1980" t="s">
        <v>2059</v>
      </c>
      <c r="H108" s="2747">
        <f ca="1">ROUND(H107*10000/'数据-汇总表'!E3,0)</f>
        <v>899</v>
      </c>
      <c r="I108" s="134"/>
    </row>
    <row r="109" spans="1:35" ht="18.75" hidden="1" customHeight="1">
      <c r="A109" s="134"/>
      <c r="B109" s="134"/>
      <c r="C109" s="134"/>
      <c r="D109" s="134"/>
      <c r="E109" s="3442" t="str">
        <f>IF(项目基本情况!E8="已注销及未注销","4.抵押担保权已注销时的房地产抵押价值",IF(项目基本情况!E8="已注销","3.抵押担保权已注销时的房地产抵押价值","——"))</f>
        <v>——</v>
      </c>
      <c r="F109" s="3443"/>
      <c r="G109" s="1980" t="s">
        <v>2057</v>
      </c>
      <c r="H109" s="2790" t="str">
        <f>IF(E109="——","——",H101-H105-H106)</f>
        <v>——</v>
      </c>
      <c r="I109" s="134"/>
    </row>
    <row r="110" spans="1:35" ht="18.75" hidden="1" customHeight="1">
      <c r="A110" s="134"/>
      <c r="B110" s="134"/>
      <c r="C110" s="134"/>
      <c r="D110" s="134"/>
      <c r="E110" s="3442"/>
      <c r="F110" s="3443"/>
      <c r="G110" s="1980" t="s">
        <v>2059</v>
      </c>
      <c r="H110" s="2747" t="str">
        <f>IF(H109="——","——",ROUND(H109*10000/'数据-汇总表'!E3,0))</f>
        <v>——</v>
      </c>
      <c r="I110" s="134"/>
    </row>
    <row r="111" spans="1:35" ht="18.75" hidden="1" customHeight="1">
      <c r="A111" s="134"/>
      <c r="B111" s="134"/>
      <c r="C111" s="134"/>
      <c r="D111" s="134"/>
      <c r="E111" s="3477" t="str">
        <f>IF(项目基本情况!E9="抵押净值",IF(OR(项目基本情况!E8="已注销",项目基本情况!E8="房地产抵押价值"),"4.抵押净值","5.抵押净值"),"——")</f>
        <v>4.抵押净值</v>
      </c>
      <c r="F111" s="3444"/>
      <c r="G111" s="1980" t="s">
        <v>2057</v>
      </c>
      <c r="H111" s="2787">
        <f ca="1">IF(E111="——","——",N59)</f>
        <v>6096</v>
      </c>
      <c r="I111" s="134"/>
    </row>
    <row r="112" spans="1:35" ht="18.75" hidden="1" customHeight="1" thickBot="1">
      <c r="A112" s="134"/>
      <c r="B112" s="134"/>
      <c r="C112" s="134"/>
      <c r="D112" s="134"/>
      <c r="E112" s="3478"/>
      <c r="F112" s="3479"/>
      <c r="G112" s="1983" t="s">
        <v>2059</v>
      </c>
      <c r="H112" s="2791">
        <f ca="1">IF(E111="——","——",N61)</f>
        <v>868</v>
      </c>
      <c r="I112" s="134"/>
    </row>
    <row r="113" spans="1:27" ht="18.75" hidden="1" customHeight="1">
      <c r="A113" s="134"/>
      <c r="B113" s="134"/>
      <c r="C113" s="134"/>
      <c r="D113" s="134"/>
      <c r="E113" s="3447" t="s">
        <v>2065</v>
      </c>
      <c r="F113" s="3447"/>
      <c r="G113" s="3447"/>
      <c r="H113" s="3447"/>
      <c r="I113" s="134"/>
    </row>
    <row r="114" spans="1:27" ht="3.75" customHeight="1">
      <c r="A114" s="1900"/>
      <c r="B114" s="1900"/>
      <c r="C114" s="1900"/>
      <c r="D114" s="1900"/>
      <c r="E114" s="1962"/>
      <c r="F114" s="1962"/>
      <c r="G114" s="1962"/>
      <c r="H114" s="1962"/>
      <c r="I114" s="1900"/>
    </row>
    <row r="115" spans="1:27" ht="18.75" customHeight="1">
      <c r="A115" s="3460" t="s">
        <v>2067</v>
      </c>
      <c r="B115" s="3461"/>
      <c r="C115" s="3461"/>
      <c r="D115" s="3461"/>
      <c r="E115" s="3461"/>
      <c r="F115" s="3461"/>
      <c r="G115" s="3461"/>
      <c r="H115" s="3461"/>
      <c r="I115" s="3462"/>
    </row>
    <row r="116" spans="1:27" ht="27" customHeight="1">
      <c r="A116" s="3413" t="s">
        <v>2068</v>
      </c>
      <c r="B116" s="3448" t="s">
        <v>2069</v>
      </c>
      <c r="C116" s="3448" t="s">
        <v>2070</v>
      </c>
      <c r="D116" s="3464" t="s">
        <v>2071</v>
      </c>
      <c r="E116" s="3465"/>
      <c r="F116" s="3456" t="s">
        <v>2072</v>
      </c>
      <c r="G116" s="3456"/>
      <c r="H116" s="3413" t="s">
        <v>2073</v>
      </c>
      <c r="I116" s="3413"/>
    </row>
    <row r="117" spans="1:27" ht="18.75" customHeight="1">
      <c r="A117" s="3413"/>
      <c r="B117" s="3449"/>
      <c r="C117" s="3449"/>
      <c r="D117" s="3232" t="s">
        <v>2074</v>
      </c>
      <c r="E117" s="3232" t="s">
        <v>2075</v>
      </c>
      <c r="F117" s="3232" t="s">
        <v>2074</v>
      </c>
      <c r="G117" s="3232" t="s">
        <v>2076</v>
      </c>
      <c r="H117" s="3232" t="s">
        <v>2074</v>
      </c>
      <c r="I117" s="3232" t="s">
        <v>2076</v>
      </c>
    </row>
    <row r="118" spans="1:27" ht="24.75" customHeight="1">
      <c r="A118" s="2792" t="str">
        <f>项目基本情况!S2</f>
        <v>北京市房地产</v>
      </c>
      <c r="B118" s="3232">
        <f>M18</f>
        <v>3284.7900000000004</v>
      </c>
      <c r="C118" s="3232">
        <f>M19</f>
        <v>447</v>
      </c>
      <c r="D118" s="3232">
        <f ca="1">ROUND(IF(D32="总价",C34,E118*B118/10000),0)</f>
        <v>2273</v>
      </c>
      <c r="E118" s="3232">
        <f ca="1">ROUND(IF(C33="自定义",IF(D32="楼面单价",C34,D118*10000/B118),I118-G118),0)</f>
        <v>6920</v>
      </c>
      <c r="F118" s="3232">
        <f ca="1">ROUND(IF(D32="总价",C35,G118*B118/10000),0)</f>
        <v>4040</v>
      </c>
      <c r="G118" s="3232">
        <f ca="1">ROUND(IF(D32="楼面单价",C35,F118*10000/B118),0)</f>
        <v>12299</v>
      </c>
      <c r="H118" s="3232">
        <f ca="1">ROUND(IF(D32="总价",C32,I118*B118/10000),0)</f>
        <v>6313</v>
      </c>
      <c r="I118" s="3232">
        <f ca="1">ROUND(IF(D32="楼面单价",C32,H118*10000/B118),0)</f>
        <v>19219</v>
      </c>
    </row>
    <row r="119" spans="1:27" ht="18.75" customHeight="1">
      <c r="A119" s="3413" t="s">
        <v>2077</v>
      </c>
      <c r="B119" s="3413"/>
      <c r="C119" s="3413"/>
      <c r="D119" s="3453" t="str">
        <f ca="1">NUMBERSTRING(INT(D118*10000),2)&amp;"元整"</f>
        <v>贰仟贰佰柒拾叁万元整</v>
      </c>
      <c r="E119" s="3455"/>
      <c r="F119" s="3453" t="str">
        <f ca="1">NUMBERSTRING(INT(F118*10000),2)&amp;"元整"</f>
        <v>肆仟零肆拾万元整</v>
      </c>
      <c r="G119" s="3455"/>
      <c r="H119" s="3453" t="str">
        <f ca="1">NUMBERSTRING(INT(H118*10000),2)&amp;"元整"</f>
        <v>陆仟叁佰壹拾叁万元整</v>
      </c>
      <c r="I119" s="3455"/>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7" t="s">
        <v>2077</v>
      </c>
      <c r="B121" s="3458"/>
      <c r="C121" s="3459"/>
      <c r="D121" s="3453" t="str">
        <f>IF(D120=0,"零元整",NUMBERSTRING(INT(D120*10000),2)&amp;"元整")</f>
        <v>零元整</v>
      </c>
      <c r="E121" s="3454"/>
      <c r="F121" s="3454"/>
      <c r="G121" s="3454"/>
      <c r="H121" s="3454"/>
      <c r="I121" s="3455"/>
      <c r="AA121" s="734"/>
    </row>
    <row r="122" spans="1:27" ht="18.75" customHeight="1">
      <c r="A122" s="3444" t="str">
        <f>IF(项目基本情况!B9="房地产市场价值","",MID(E107,3,LEN(E107)-2))</f>
        <v>房地产抵押价值</v>
      </c>
      <c r="B122" s="3444"/>
      <c r="C122" s="3444"/>
      <c r="D122" s="3480">
        <f ca="1">H107</f>
        <v>6313</v>
      </c>
      <c r="E122" s="3481"/>
      <c r="F122" s="3481"/>
      <c r="G122" s="3481"/>
      <c r="H122" s="3481"/>
      <c r="I122" s="3482"/>
      <c r="AA122" s="734"/>
    </row>
    <row r="123" spans="1:27" ht="18.75" customHeight="1">
      <c r="A123" s="3413" t="s">
        <v>2077</v>
      </c>
      <c r="B123" s="3413"/>
      <c r="C123" s="3413"/>
      <c r="D123" s="3453" t="str">
        <f ca="1">NUMBERSTRING(INT(D122*10000),2)&amp;"元整"</f>
        <v>陆仟叁佰壹拾叁万元整</v>
      </c>
      <c r="E123" s="3454"/>
      <c r="F123" s="3454"/>
      <c r="G123" s="3454"/>
      <c r="H123" s="3454"/>
      <c r="I123" s="3455"/>
      <c r="AA123" s="734"/>
    </row>
    <row r="124" spans="1:27" ht="18.75" customHeight="1">
      <c r="A124" s="3444" t="str">
        <f>IF(项目基本情况!B9="房地产市场价值","",MID(E109,3,LEN(E109)-2))</f>
        <v/>
      </c>
      <c r="B124" s="3444"/>
      <c r="C124" s="3444"/>
      <c r="D124" s="3480" t="str">
        <f>H109</f>
        <v>——</v>
      </c>
      <c r="E124" s="3481"/>
      <c r="F124" s="3481"/>
      <c r="G124" s="3481"/>
      <c r="H124" s="3481"/>
      <c r="I124" s="3482"/>
      <c r="AA124" s="734"/>
    </row>
    <row r="125" spans="1:27" ht="18.75" customHeight="1">
      <c r="A125" s="3413" t="s">
        <v>2077</v>
      </c>
      <c r="B125" s="3413"/>
      <c r="C125" s="3413"/>
      <c r="D125" s="3453" t="e">
        <f>NUMBERSTRING(INT(D124*10000),2)&amp;"元整"</f>
        <v>#VALUE!</v>
      </c>
      <c r="E125" s="3454"/>
      <c r="F125" s="3454"/>
      <c r="G125" s="3454"/>
      <c r="H125" s="3454"/>
      <c r="I125" s="3455"/>
      <c r="AA125" s="734"/>
    </row>
    <row r="126" spans="1:27" ht="18.75" customHeight="1">
      <c r="A126" s="3444" t="str">
        <f>IF(项目基本情况!B9="房地产市场价值","",MID(E111,3,LEN(E111)-2))</f>
        <v>抵押净值</v>
      </c>
      <c r="B126" s="3444"/>
      <c r="C126" s="3444"/>
      <c r="D126" s="3480">
        <f ca="1">H111</f>
        <v>6096</v>
      </c>
      <c r="E126" s="3481"/>
      <c r="F126" s="3481"/>
      <c r="G126" s="3481"/>
      <c r="H126" s="3481"/>
      <c r="I126" s="3482"/>
      <c r="AA126" s="734"/>
    </row>
    <row r="127" spans="1:27" ht="18.75" customHeight="1">
      <c r="A127" s="3413" t="s">
        <v>2077</v>
      </c>
      <c r="B127" s="3413"/>
      <c r="C127" s="3413"/>
      <c r="D127" s="3453" t="str">
        <f ca="1">NUMBERSTRING(INT(D126*10000),2)&amp;"元整"</f>
        <v>陆仟零玖拾陆万元整</v>
      </c>
      <c r="E127" s="3454"/>
      <c r="F127" s="3454"/>
      <c r="G127" s="3454"/>
      <c r="H127" s="3454"/>
      <c r="I127" s="3455"/>
      <c r="AA127" s="734"/>
    </row>
    <row r="128" spans="1:27" ht="21.75" customHeight="1">
      <c r="A128" s="3463" t="s">
        <v>2078</v>
      </c>
      <c r="B128" s="3463"/>
      <c r="C128" s="3463"/>
      <c r="D128" s="3463"/>
      <c r="E128" s="3463"/>
      <c r="F128" s="3463"/>
      <c r="G128" s="3463"/>
      <c r="H128" s="3463"/>
      <c r="I128" s="3463"/>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xr:uid="{00000000-0002-0000-1C00-000000000000}">
      <formula1>"0,5%,10%"</formula1>
    </dataValidation>
    <dataValidation type="list" allowBlank="1" showInputMessage="1" showErrorMessage="1" sqref="H59" xr:uid="{00000000-0002-0000-1C00-000001000000}">
      <formula1>"非个人房产,个人住宅（满五唯一有凭证）,个人其他（有凭证）,个人其他（无凭证）"</formula1>
    </dataValidation>
    <dataValidation type="list" allowBlank="1" showInputMessage="1" showErrorMessage="1" sqref="E103" xr:uid="{00000000-0002-0000-1C00-000002000000}">
      <formula1>"2.估价师知悉的法定优先受偿款,2.估价师知悉的除抵押担保权以外的法定优先受偿款"</formula1>
    </dataValidation>
    <dataValidation type="list" allowBlank="1" showInputMessage="1" showErrorMessage="1" sqref="G77" xr:uid="{00000000-0002-0000-1C00-000003000000}">
      <formula1>"个人住宅,2016年5月1日前购买,2016年5月1日后购买"</formula1>
    </dataValidation>
    <dataValidation type="list" allowBlank="1" showInputMessage="1" showErrorMessage="1" sqref="C1" xr:uid="{00000000-0002-0000-1C00-000004000000}">
      <formula1>项目类型</formula1>
    </dataValidation>
    <dataValidation type="list" allowBlank="1" showInputMessage="1" showErrorMessage="1" sqref="I1" xr:uid="{00000000-0002-0000-1C00-000005000000}">
      <formula1>"项目局部,项目全部,——"</formula1>
    </dataValidation>
    <dataValidation type="list" showInputMessage="1" showErrorMessage="1" sqref="G1" xr:uid="{00000000-0002-0000-1C00-000006000000}">
      <formula1>"现房,在建,土地,-"</formula1>
    </dataValidation>
    <dataValidation type="list" allowBlank="1" showInputMessage="1" showErrorMessage="1" sqref="C129" xr:uid="{00000000-0002-0000-1C00-000007000000}">
      <formula1>"无,有"</formula1>
    </dataValidation>
    <dataValidation type="list" allowBlank="1" showInputMessage="1" showErrorMessage="1" sqref="F116:G116" xr:uid="{00000000-0002-0000-1C00-000008000000}">
      <formula1>"建筑物价值,在建建筑物价值,建筑物/在建建筑物价值"</formula1>
    </dataValidation>
    <dataValidation type="list" allowBlank="1" showInputMessage="1" showErrorMessage="1" sqref="D116:E116" xr:uid="{00000000-0002-0000-1C00-000009000000}">
      <formula1>"出让国有建设用地使用权价值,划拨国有建设用地使用权价值"</formula1>
    </dataValidation>
    <dataValidation type="list" allowBlank="1" showInputMessage="1" showErrorMessage="1" sqref="C116:C117" xr:uid="{00000000-0002-0000-1C00-00000A000000}">
      <formula1>"土地面积,分摊土地面积,（分摊）土地面积"</formula1>
    </dataValidation>
    <dataValidation type="list" allowBlank="1" showInputMessage="1" showErrorMessage="1" sqref="B116:B117" xr:uid="{00000000-0002-0000-1C00-00000B000000}">
      <formula1>"建筑面积,规划建筑面积,（规划）建筑面积"</formula1>
    </dataValidation>
    <dataValidation type="list" allowBlank="1" showInputMessage="1" showErrorMessage="1" sqref="D36" xr:uid="{00000000-0002-0000-1C00-00000C000000}">
      <formula1>"同一抵押权人同一抵押物续贷,注销后放款,正常操作"</formula1>
    </dataValidation>
    <dataValidation type="list" allowBlank="1" showInputMessage="1" showErrorMessage="1" sqref="F75" xr:uid="{00000000-0002-0000-1C00-00000D000000}">
      <formula1>"买卖合同,购房发票"</formula1>
    </dataValidation>
    <dataValidation type="list" allowBlank="1" showInputMessage="1" showErrorMessage="1" sqref="H88" xr:uid="{00000000-0002-0000-1C00-00000E000000}">
      <formula1>"仅含出让金,出让金+开发费"</formula1>
    </dataValidation>
    <dataValidation type="list" allowBlank="1" showInputMessage="1" showErrorMessage="1" sqref="H91" xr:uid="{00000000-0002-0000-1C00-00000F000000}">
      <formula1>"企业提供（在右侧录入）,——"</formula1>
    </dataValidation>
    <dataValidation type="list" allowBlank="1" showInputMessage="1" showErrorMessage="1" sqref="C33" xr:uid="{00000000-0002-0000-1C00-000010000000}">
      <formula1>"成本比率,收益比率,自定义"</formula1>
    </dataValidation>
    <dataValidation type="list" allowBlank="1" showInputMessage="1" showErrorMessage="1" sqref="F45" xr:uid="{00000000-0002-0000-1C00-000011000000}">
      <formula1>"100%,80%,60%,64%"</formula1>
    </dataValidation>
    <dataValidation type="list" allowBlank="1" showInputMessage="1" showErrorMessage="1" sqref="D32" xr:uid="{00000000-0002-0000-1C00-000012000000}">
      <formula1>"总价,楼面单价"</formula1>
    </dataValidation>
    <dataValidation type="list" allowBlank="1" showInputMessage="1" showErrorMessage="1" sqref="H58" xr:uid="{00000000-0002-0000-1C00-000013000000}">
      <formula1>"转让取得,自行开发建设"</formula1>
    </dataValidation>
    <dataValidation type="list" allowBlank="1" showInputMessage="1" showErrorMessage="1" sqref="H48" xr:uid="{00000000-0002-0000-1C00-000014000000}">
      <formula1>"情况1,情况2,情况3,情况4"</formula1>
    </dataValidation>
    <dataValidation type="list" allowBlank="1" showInputMessage="1" showErrorMessage="1" sqref="H55:H56" xr:uid="{00000000-0002-0000-1C00-000015000000}">
      <formula1>"个人住宅,正常"</formula1>
    </dataValidation>
    <dataValidation type="list" allowBlank="1" showInputMessage="1" showErrorMessage="1" sqref="C4:D4 D33" xr:uid="{00000000-0002-0000-1C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估价对象为北京市房地产，为所有。根据，估价对象（分摊）出让国有建设用地使用权面积为9552.52平方米，建筑面积为70196.47平方米。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估价对象为北京市房地产,属开发建设的，该项目尚在开发建设中。根据，估价对象（分摊）出让国有建设用地使用权面积为9552.52平方米，规划建筑面积为70196.47平方米。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2022年4月14日（评估专业人员实地查勘之日）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14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本次评估采用的主估价方法为基准地价系数修正法和收益法。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2" t="s">
        <v>3204</v>
      </c>
      <c r="C1" s="204"/>
      <c r="D1" s="204"/>
      <c r="E1" s="204"/>
      <c r="F1" s="204"/>
      <c r="G1" s="1259">
        <f>MATCH(B1,'数据-取费表'!A6:A16,0)+5</f>
        <v>7</v>
      </c>
    </row>
    <row r="2" spans="1:9" s="206" customFormat="1" ht="18" customHeight="1">
      <c r="A2" s="207" t="s">
        <v>2087</v>
      </c>
      <c r="B2" s="208">
        <f ca="1">IF(D2="——",C52,C52-E2)</f>
        <v>5806</v>
      </c>
      <c r="C2" s="205" t="s">
        <v>2088</v>
      </c>
      <c r="D2" s="2006" t="s">
        <v>70</v>
      </c>
      <c r="E2" s="1301" t="e">
        <f ca="1">SUMIF(INDIRECT("'"&amp;G2&amp;"'"&amp;"!A:A"),"承租人权益价值",INDIRECT("'"&amp;G2&amp;"'"&amp;"!c:c"))</f>
        <v>#REF!</v>
      </c>
      <c r="F2" s="2007" t="s">
        <v>2088</v>
      </c>
      <c r="G2" s="2008"/>
    </row>
    <row r="3" spans="1:9" s="206" customFormat="1" ht="18" customHeight="1" thickBot="1">
      <c r="A3" s="209" t="s">
        <v>2089</v>
      </c>
      <c r="B3" s="210">
        <f ca="1">ROUND(B2*10000/(IF(B1="",'数据-汇总表'!E3,INDIRECT("'数据-取费表'!k"&amp;$G$1))),0)</f>
        <v>17675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2290</v>
      </c>
      <c r="D5" s="217" t="s">
        <v>2094</v>
      </c>
      <c r="E5" s="218" t="s">
        <v>2095</v>
      </c>
      <c r="F5" s="218" t="s">
        <v>2096</v>
      </c>
      <c r="G5" s="219"/>
    </row>
    <row r="6" spans="1:9" s="220" customFormat="1" ht="13.5" customHeight="1">
      <c r="A6" s="885" t="s">
        <v>2097</v>
      </c>
      <c r="B6" s="221" t="s">
        <v>2098</v>
      </c>
      <c r="C6" s="222">
        <f>[2]基准地价修正!$E$40</f>
        <v>2158</v>
      </c>
      <c r="D6" s="223"/>
      <c r="E6" s="224"/>
      <c r="F6" s="224"/>
      <c r="G6" s="225"/>
    </row>
    <row r="7" spans="1:9" s="220" customFormat="1" ht="13.5" customHeight="1">
      <c r="A7" s="885" t="s">
        <v>2099</v>
      </c>
      <c r="B7" s="221" t="s">
        <v>2100</v>
      </c>
      <c r="C7" s="226">
        <f>ROUND(C6*F7,0)</f>
        <v>66</v>
      </c>
      <c r="D7" s="226"/>
      <c r="E7" s="224"/>
      <c r="F7" s="227">
        <f>IF(项目基本情况!B8="出让",0,'数据-取费表'!B48+'数据-取费表'!B49)</f>
        <v>3.0499999999999999E-2</v>
      </c>
      <c r="G7" s="225"/>
    </row>
    <row r="8" spans="1:9" s="229" customFormat="1">
      <c r="A8" s="885" t="s">
        <v>2101</v>
      </c>
      <c r="B8" s="221" t="s">
        <v>2102</v>
      </c>
      <c r="C8" s="226">
        <f ca="1">IF(G8="已包含在土地购买价格中","0",IF(B1="",'数据-取费表'!B29,IF(G9="全部缴纳",C9+C10,H9)))</f>
        <v>66</v>
      </c>
      <c r="D8" s="228"/>
      <c r="E8" s="226"/>
      <c r="F8" s="227"/>
      <c r="G8" s="2009" t="s">
        <v>3211</v>
      </c>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160</v>
      </c>
      <c r="F9" s="227"/>
      <c r="G9" s="2010" t="s">
        <v>3212</v>
      </c>
      <c r="H9" s="3249">
        <f ca="1">C10</f>
        <v>66</v>
      </c>
      <c r="I9" s="2011" t="s">
        <v>2104</v>
      </c>
    </row>
    <row r="10" spans="1:9" s="220" customFormat="1" ht="13.5" customHeight="1">
      <c r="A10" s="886" t="s">
        <v>801</v>
      </c>
      <c r="B10" s="230" t="s">
        <v>2105</v>
      </c>
      <c r="C10" s="231">
        <f ca="1">ROUND(D10*E10/10000,0)</f>
        <v>66</v>
      </c>
      <c r="D10" s="953">
        <f ca="1">IF(B1="",'数据-汇总表'!E6,IF(INDIRECT("'数据-取费表'!c"&amp;$G$1)="住宅",INDIRECT("'数据-取费表'!s"&amp;$G$1),INDIRECT("'数据-取费表'!k"&amp;$G$1)+INDIRECT("'数据-取费表'!s"&amp;$G$1)))</f>
        <v>3284.7900000000004</v>
      </c>
      <c r="E10" s="231">
        <f>'数据-取费表'!B28</f>
        <v>200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2109</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2109</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t="str">
        <f>IF(G19="已包含在土地取得成本中","0",ROUND(D19*E19/10000,0))</f>
        <v>0</v>
      </c>
      <c r="D19" s="957">
        <f ca="1">D9+D10</f>
        <v>3284.7900000000004</v>
      </c>
      <c r="E19" s="217">
        <f>'数据-取费表'!B31</f>
        <v>200</v>
      </c>
      <c r="F19" s="237"/>
      <c r="G19" s="2009" t="s">
        <v>3210</v>
      </c>
    </row>
    <row r="20" spans="1:7" s="220" customFormat="1" ht="13.5" customHeight="1">
      <c r="A20" s="261" t="s">
        <v>2118</v>
      </c>
      <c r="B20" s="216" t="s">
        <v>2119</v>
      </c>
      <c r="C20" s="238">
        <f ca="1">ROUND((C5+C19)*F20,0)</f>
        <v>69</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5">
        <f ca="1">ROUND(SUM(C23:C25),0)</f>
        <v>305</v>
      </c>
      <c r="D22" s="241">
        <f ca="1">C26</f>
        <v>1.9E-3</v>
      </c>
      <c r="E22" s="242" t="s">
        <v>2123</v>
      </c>
      <c r="F22" s="243">
        <f ca="1">'数据-取费表'!B40</f>
        <v>4.2000000000000003E-2</v>
      </c>
      <c r="G22" s="240" t="str">
        <f>IF('数据-取费表'!B22&lt;=1,"单利计息","复利计息")</f>
        <v>复利计息</v>
      </c>
    </row>
    <row r="23" spans="1:7" s="220" customFormat="1" ht="13.5" customHeight="1">
      <c r="A23" s="887" t="s">
        <v>2127</v>
      </c>
      <c r="B23" s="221" t="s">
        <v>2128</v>
      </c>
      <c r="C23" s="1236">
        <f ca="1">ROUND(IF('数据-取费表'!B22&lt;=1,C5*F22*'数据-取费表'!B23,C5*(POWER((1+F22),'数据-取费表'!B23)-1)),0)</f>
        <v>301</v>
      </c>
      <c r="D23" s="244"/>
      <c r="E23" s="244"/>
      <c r="F23" s="245"/>
      <c r="G23" s="246" t="s">
        <v>2129</v>
      </c>
    </row>
    <row r="24" spans="1:7" s="220" customFormat="1" ht="13.5" customHeight="1">
      <c r="A24" s="887" t="s">
        <v>2130</v>
      </c>
      <c r="B24" s="221" t="s">
        <v>2131</v>
      </c>
      <c r="C24" s="1236">
        <f ca="1">ROUND(IF('数据-取费表'!B22&lt;=1,C19*F22*('数据-取费表'!B19/2+'数据-取费表'!B21),C19*(POWER((1+F22),('数据-取费表'!B19/2+'数据-取费表'!B21))-1)),0)</f>
        <v>0</v>
      </c>
      <c r="D24" s="244"/>
      <c r="E24" s="244"/>
      <c r="F24" s="245"/>
      <c r="G24" s="246" t="s">
        <v>2132</v>
      </c>
    </row>
    <row r="25" spans="1:7" s="220" customFormat="1" ht="24">
      <c r="A25" s="887" t="s">
        <v>2133</v>
      </c>
      <c r="B25" s="221" t="s">
        <v>2134</v>
      </c>
      <c r="C25" s="1236">
        <f ca="1">ROUND(IF('数据-取费表'!B22&lt;=1,C20*F22*'数据-取费表'!B23/2,C20*(POWER((1+F22),'数据-取费表'!B23/2)-1)),0)</f>
        <v>4</v>
      </c>
      <c r="D25" s="244"/>
      <c r="E25" s="247"/>
      <c r="F25" s="245"/>
      <c r="G25" s="248" t="s">
        <v>2135</v>
      </c>
    </row>
    <row r="26" spans="1:7" s="220" customFormat="1">
      <c r="A26" s="887" t="s">
        <v>795</v>
      </c>
      <c r="B26" s="221" t="s">
        <v>2136</v>
      </c>
      <c r="C26" s="244">
        <f ca="1">ROUND(IF('数据-取费表'!B22&lt;=1,F21*F22*'数据-取费表'!B23/2,F21*(POWER((1+F22),'数据-取费表'!B23/2)-1)),4)</f>
        <v>1.9E-3</v>
      </c>
      <c r="D26" s="244"/>
      <c r="E26" s="247"/>
      <c r="F26" s="245"/>
      <c r="G26" s="249"/>
    </row>
    <row r="27" spans="1:7" s="220" customFormat="1" ht="24.75">
      <c r="A27" s="261" t="s">
        <v>2137</v>
      </c>
      <c r="B27" s="250" t="s">
        <v>2138</v>
      </c>
      <c r="C27" s="251">
        <f ca="1">C28</f>
        <v>354</v>
      </c>
      <c r="D27" s="241">
        <f ca="1">C29</f>
        <v>4.4999999999999997E-3</v>
      </c>
      <c r="E27" s="242" t="s">
        <v>2139</v>
      </c>
      <c r="F27" s="252">
        <f ca="1">IF(B1="",'数据-取费表'!Q16,INDIRECT("'数据-取费表'!q"&amp;$G$1))</f>
        <v>0.15</v>
      </c>
      <c r="G27" s="253" t="s">
        <v>2140</v>
      </c>
    </row>
    <row r="28" spans="1:7" s="220" customFormat="1" ht="13.5" customHeight="1">
      <c r="A28" s="887" t="s">
        <v>791</v>
      </c>
      <c r="B28" s="254" t="s">
        <v>2141</v>
      </c>
      <c r="C28" s="255">
        <f ca="1">ROUND((C5+C19+C20)*F27*'数据-取费表'!B21/'数据-取费表'!B20,0)</f>
        <v>354</v>
      </c>
      <c r="D28" s="241"/>
      <c r="E28" s="242"/>
      <c r="F28" s="252"/>
      <c r="G28" s="253"/>
    </row>
    <row r="29" spans="1:7" s="220" customFormat="1" ht="13.5" customHeight="1">
      <c r="A29" s="887" t="s">
        <v>792</v>
      </c>
      <c r="B29" s="254" t="s">
        <v>2142</v>
      </c>
      <c r="C29" s="244">
        <f ca="1">ROUND(C21*F27*'数据-取费表'!B21/'数据-取费表'!B20,4)</f>
        <v>4.4999999999999997E-3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3315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1815</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1642</v>
      </c>
      <c r="D34" s="223"/>
      <c r="E34" s="226"/>
      <c r="F34" s="263">
        <f ca="1">IF('数据-取费表'!B24=0,1,IF(B1="",'数据-取费表'!N16,INDIRECT("'数据-取费表'!n"&amp;$G$1)))</f>
        <v>1</v>
      </c>
      <c r="G34" s="225" t="s">
        <v>2151</v>
      </c>
    </row>
    <row r="35" spans="1:7" ht="13.5" customHeight="1">
      <c r="A35" s="887" t="s">
        <v>796</v>
      </c>
      <c r="B35" s="221" t="s">
        <v>2152</v>
      </c>
      <c r="C35" s="226">
        <f ca="1">ROUND(C34*F35,0)</f>
        <v>82</v>
      </c>
      <c r="D35" s="226"/>
      <c r="E35" s="226"/>
      <c r="F35" s="265">
        <f>'数据-取费表'!B33</f>
        <v>0.05</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66</v>
      </c>
      <c r="D37" s="223">
        <f ca="1">D19</f>
        <v>3284.7900000000004</v>
      </c>
      <c r="E37" s="255">
        <f>'数据-取费表'!B35</f>
        <v>200</v>
      </c>
      <c r="F37" s="265"/>
      <c r="G37" s="267" t="s">
        <v>2157</v>
      </c>
    </row>
    <row r="38" spans="1:7" ht="13.5" customHeight="1">
      <c r="A38" s="887"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2">
        <f>F20</f>
        <v>0.03</v>
      </c>
      <c r="G39" s="240" t="s">
        <v>2161</v>
      </c>
    </row>
    <row r="40" spans="1:7" s="220" customFormat="1" ht="13.5" customHeight="1">
      <c r="A40" s="261" t="s">
        <v>2162</v>
      </c>
      <c r="B40" s="216" t="s">
        <v>2163</v>
      </c>
      <c r="C40" s="1465">
        <f>F21</f>
        <v>0.03</v>
      </c>
      <c r="D40" s="242" t="s">
        <v>2164</v>
      </c>
      <c r="E40" s="238"/>
      <c r="F40" s="2502">
        <f>F21</f>
        <v>0.03</v>
      </c>
      <c r="G40" s="240" t="s">
        <v>2165</v>
      </c>
    </row>
    <row r="41" spans="1:7" s="220" customFormat="1" ht="13.5" customHeight="1">
      <c r="A41" s="261" t="s">
        <v>2166</v>
      </c>
      <c r="B41" s="216" t="s">
        <v>2167</v>
      </c>
      <c r="C41" s="238">
        <f ca="1">ROUND(SUM(C42:C43),0)</f>
        <v>119</v>
      </c>
      <c r="D41" s="241">
        <f ca="1">C44</f>
        <v>1.9E-3</v>
      </c>
      <c r="E41" s="242" t="s">
        <v>2164</v>
      </c>
      <c r="F41" s="2503">
        <f ca="1">F22</f>
        <v>4.2000000000000003E-2</v>
      </c>
      <c r="G41" s="240" t="str">
        <f>IF('数据-取费表'!B22&lt;=1,"单利计息","复利计息")</f>
        <v>复利计息</v>
      </c>
    </row>
    <row r="42" spans="1:7" ht="13.5" customHeight="1">
      <c r="A42" s="887" t="s">
        <v>791</v>
      </c>
      <c r="B42" s="221" t="s">
        <v>2168</v>
      </c>
      <c r="C42" s="244">
        <f ca="1">ROUND(IF('数据-取费表'!B22&lt;=1,C33*F22*'数据-取费表'!B21/2,C33*(POWER((1+F22),'数据-取费表'!B21/2)-1)),0)</f>
        <v>116</v>
      </c>
      <c r="D42" s="244"/>
      <c r="E42" s="244"/>
      <c r="F42" s="245"/>
      <c r="G42" s="3496" t="s">
        <v>2169</v>
      </c>
    </row>
    <row r="43" spans="1:7" ht="13.5" customHeight="1">
      <c r="A43" s="887" t="s">
        <v>792</v>
      </c>
      <c r="B43" s="221" t="s">
        <v>2170</v>
      </c>
      <c r="C43" s="244">
        <f ca="1">ROUND(IF('数据-取费表'!B22&lt;=1,C39*F22*'数据-取费表'!B21/2,C39*(POWER((1+F22),'数据-取费表'!B21/2)-1)),0)</f>
        <v>3</v>
      </c>
      <c r="D43" s="244"/>
      <c r="E43" s="244"/>
      <c r="F43" s="245"/>
      <c r="G43" s="3497"/>
    </row>
    <row r="44" spans="1:7" ht="13.5" customHeight="1">
      <c r="A44" s="887" t="s">
        <v>793</v>
      </c>
      <c r="B44" s="221" t="s">
        <v>2171</v>
      </c>
      <c r="C44" s="244">
        <f ca="1">ROUND(IF('数据-取费表'!B22&lt;=1,C40*F22*'数据-取费表'!B21/2,C40*(POWER((1+F22),'数据-取费表'!B21/2)-1)),4)</f>
        <v>1.9E-3</v>
      </c>
      <c r="D44" s="244"/>
      <c r="E44" s="244"/>
      <c r="F44" s="245"/>
      <c r="G44" s="3498"/>
    </row>
    <row r="45" spans="1:7" s="220" customFormat="1" ht="13.5" customHeight="1">
      <c r="A45" s="261" t="s">
        <v>2172</v>
      </c>
      <c r="B45" s="250" t="s">
        <v>2138</v>
      </c>
      <c r="C45" s="251">
        <f ca="1">C46</f>
        <v>280</v>
      </c>
      <c r="D45" s="241">
        <f ca="1">C47</f>
        <v>4.4999999999999997E-3</v>
      </c>
      <c r="E45" s="242" t="s">
        <v>2164</v>
      </c>
      <c r="F45" s="2504">
        <f ca="1">F27</f>
        <v>0.15</v>
      </c>
      <c r="G45" s="253" t="s">
        <v>2173</v>
      </c>
    </row>
    <row r="46" spans="1:7" s="220" customFormat="1" ht="13.5" customHeight="1">
      <c r="A46" s="887" t="s">
        <v>791</v>
      </c>
      <c r="B46" s="254" t="s">
        <v>2174</v>
      </c>
      <c r="C46" s="255">
        <f ca="1">ROUND((C33+C39)*F27,0)</f>
        <v>280</v>
      </c>
      <c r="D46" s="269"/>
      <c r="E46" s="242"/>
      <c r="F46" s="252"/>
      <c r="G46" s="253"/>
    </row>
    <row r="47" spans="1:7" s="220" customFormat="1" ht="13.5" customHeight="1">
      <c r="A47" s="887" t="s">
        <v>792</v>
      </c>
      <c r="B47" s="254" t="s">
        <v>2175</v>
      </c>
      <c r="C47" s="244">
        <f ca="1">ROUND(C40*F27,4)</f>
        <v>4.4999999999999997E-3</v>
      </c>
      <c r="D47" s="269"/>
      <c r="E47" s="242"/>
      <c r="F47" s="252"/>
      <c r="G47" s="253"/>
    </row>
    <row r="48" spans="1:7" s="220" customFormat="1" ht="13.5" customHeight="1">
      <c r="A48" s="261" t="s">
        <v>2137</v>
      </c>
      <c r="B48" s="216" t="s">
        <v>2176</v>
      </c>
      <c r="C48" s="1465">
        <f>ROUND(F30/(1+'数据-取费表'!C42),4)</f>
        <v>5.33E-2</v>
      </c>
      <c r="D48" s="242" t="s">
        <v>2164</v>
      </c>
      <c r="E48" s="238"/>
      <c r="F48" s="2503">
        <f>F30</f>
        <v>5.6000000000000001E-2</v>
      </c>
      <c r="G48" s="240" t="s">
        <v>2177</v>
      </c>
    </row>
    <row r="49" spans="1:7" ht="16.5" customHeight="1">
      <c r="A49" s="261" t="s">
        <v>2143</v>
      </c>
      <c r="B49" s="216" t="s">
        <v>2178</v>
      </c>
      <c r="C49" s="238">
        <f ca="1">ROUND((C33+C39+C41+C45)/(1-C40-D41-D45-C48),0)</f>
        <v>2491</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2491</v>
      </c>
      <c r="D51" s="238"/>
      <c r="E51" s="238"/>
      <c r="F51" s="270"/>
      <c r="G51" s="240" t="s">
        <v>2185</v>
      </c>
    </row>
    <row r="52" spans="1:7" s="214" customFormat="1" ht="16.5" thickBot="1">
      <c r="A52" s="271" t="s">
        <v>2186</v>
      </c>
      <c r="B52" s="272"/>
      <c r="C52" s="273">
        <f ca="1">C31+C51</f>
        <v>5806</v>
      </c>
      <c r="D52" s="272"/>
      <c r="E52" s="272"/>
      <c r="F52" s="272"/>
      <c r="G52" s="274"/>
    </row>
    <row r="55" spans="1:7" ht="15">
      <c r="B55" s="276" t="s">
        <v>2187</v>
      </c>
      <c r="C55" s="277"/>
    </row>
    <row r="56" spans="1:7">
      <c r="B56" s="279" t="s">
        <v>1418</v>
      </c>
      <c r="C56" s="281">
        <f ca="1">1-C57</f>
        <v>0.57099999999999995</v>
      </c>
    </row>
    <row r="57" spans="1:7">
      <c r="B57" s="279" t="s">
        <v>1419</v>
      </c>
      <c r="C57" s="280">
        <f ca="1">ROUND(C51/C52,3)</f>
        <v>0.42899999999999999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9" xr:uid="{00000000-0002-0000-1D00-000003000000}">
      <formula1>"部分缴纳,全部缴纳"</formula1>
    </dataValidation>
    <dataValidation type="list" allowBlank="1" showInputMessage="1" showErrorMessage="1" sqref="G2" xr:uid="{00000000-0002-0000-1D00-000004000000}">
      <formula1>估价方法</formula1>
    </dataValidation>
    <dataValidation type="list" allowBlank="1" showInputMessage="1" showErrorMessage="1" sqref="D2" xr:uid="{00000000-0002-0000-1D00-000005000000}">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topLeftCell="A19" zoomScale="90" zoomScaleNormal="70" zoomScaleSheetLayoutView="90" workbookViewId="0">
      <selection activeCell="D24" sqref="D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3204</v>
      </c>
      <c r="D1" s="1514" t="s">
        <v>70</v>
      </c>
      <c r="E1" s="1515" t="s">
        <v>1292</v>
      </c>
      <c r="F1" s="1192">
        <f ca="1">J53</f>
        <v>35.92</v>
      </c>
      <c r="G1" s="1530">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6819</v>
      </c>
      <c r="C2" s="1539" t="s">
        <v>1421</v>
      </c>
      <c r="D2" s="1539"/>
      <c r="E2" s="1540"/>
      <c r="F2" s="1541"/>
      <c r="G2" s="2901"/>
      <c r="H2" s="2890"/>
      <c r="I2" s="2890"/>
      <c r="J2" s="2890"/>
      <c r="K2" s="2891"/>
      <c r="L2" s="2890"/>
      <c r="M2" s="2890"/>
    </row>
    <row r="3" spans="1:37" ht="18" customHeight="1" thickBot="1">
      <c r="A3" s="1542" t="s">
        <v>1422</v>
      </c>
      <c r="B3" s="1543">
        <f ca="1">IF(ISERROR(B2*10000/F43),0,ROUND(B2*10000/F43,0))</f>
        <v>20759</v>
      </c>
      <c r="C3" s="1539" t="s">
        <v>1423</v>
      </c>
      <c r="D3" s="1539"/>
      <c r="E3" s="1540"/>
      <c r="F3" s="1541"/>
      <c r="G3" s="2901"/>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1">
        <f ca="1">C6+C10+C12</f>
        <v>411</v>
      </c>
      <c r="D5" s="1516" t="s">
        <v>1307</v>
      </c>
      <c r="E5" s="1202"/>
      <c r="F5" s="1203"/>
      <c r="G5" s="1536"/>
      <c r="H5" s="305">
        <v>1</v>
      </c>
      <c r="I5" s="306" t="s">
        <v>1306</v>
      </c>
      <c r="J5" s="1201">
        <f ca="1">J6+J10+J12</f>
        <v>0</v>
      </c>
      <c r="K5" s="1516" t="s">
        <v>1307</v>
      </c>
      <c r="L5" s="1202"/>
      <c r="M5" s="1203"/>
    </row>
    <row r="6" spans="1:37" ht="18" customHeight="1">
      <c r="A6" s="1200" t="s">
        <v>1003</v>
      </c>
      <c r="B6" s="3559" t="s">
        <v>1308</v>
      </c>
      <c r="C6" s="1205">
        <f ca="1">ROUND(F6*F8*F7*(1-F9)/10000,0)</f>
        <v>410</v>
      </c>
      <c r="D6" s="160" t="s">
        <v>2789</v>
      </c>
      <c r="E6" s="308" t="s">
        <v>1310</v>
      </c>
      <c r="F6" s="309">
        <f ca="1">INDIRECT("'数据-取费表'!u"&amp;$G$1)</f>
        <v>3.8</v>
      </c>
      <c r="G6" s="1536"/>
      <c r="H6" s="1200" t="s">
        <v>1003</v>
      </c>
      <c r="I6" s="3559" t="s">
        <v>1308</v>
      </c>
      <c r="J6" s="307">
        <f ca="1">ROUND(M6*M8*M7*(1-M9)/10000,0)</f>
        <v>0</v>
      </c>
      <c r="K6" s="160" t="s">
        <v>2788</v>
      </c>
      <c r="L6" s="308" t="s">
        <v>1310</v>
      </c>
      <c r="M6" s="309">
        <f ca="1">INDIRECT("'数据-取费表'!z"&amp;$G$1)</f>
        <v>0</v>
      </c>
    </row>
    <row r="7" spans="1:37" ht="18" customHeight="1">
      <c r="A7" s="1204"/>
      <c r="B7" s="3560"/>
      <c r="C7" s="1206"/>
      <c r="D7" s="313"/>
      <c r="E7" s="3212" t="s">
        <v>1311</v>
      </c>
      <c r="F7" s="309">
        <f ca="1">IF(INDIRECT("'数据-取费表'!ah"&amp;$G$1)="",INDIRECT("'数据-取费表'!k"&amp;$G$1),INDIRECT("'数据-取费表'!ah"&amp;$G$1))</f>
        <v>3284.7900000000004</v>
      </c>
      <c r="G7" s="1536"/>
      <c r="H7" s="310"/>
      <c r="I7" s="3560"/>
      <c r="J7" s="312"/>
      <c r="K7" s="313"/>
      <c r="L7" s="308" t="s">
        <v>1311</v>
      </c>
      <c r="M7" s="309">
        <f ca="1">F7</f>
        <v>3284.7900000000004</v>
      </c>
    </row>
    <row r="8" spans="1:37" ht="18" customHeight="1">
      <c r="A8" s="310"/>
      <c r="B8" s="3560"/>
      <c r="C8" s="312"/>
      <c r="D8" s="313"/>
      <c r="E8" s="308" t="s">
        <v>1312</v>
      </c>
      <c r="F8" s="309">
        <f ca="1">INDIRECT("'数据-取费表'!ai"&amp;$G$1)</f>
        <v>365</v>
      </c>
      <c r="G8" s="1536"/>
      <c r="H8" s="310"/>
      <c r="I8" s="3560"/>
      <c r="J8" s="312"/>
      <c r="K8" s="313"/>
      <c r="L8" s="308" t="s">
        <v>1312</v>
      </c>
      <c r="M8" s="309">
        <f ca="1">INDIRECT("'数据-取费表'!ai"&amp;$G$1)</f>
        <v>365</v>
      </c>
    </row>
    <row r="9" spans="1:37" ht="18" customHeight="1">
      <c r="A9" s="310"/>
      <c r="B9" s="3561"/>
      <c r="C9" s="312"/>
      <c r="D9" s="313"/>
      <c r="E9" s="308" t="s">
        <v>1313</v>
      </c>
      <c r="F9" s="318">
        <f ca="1">INDIRECT("'数据-取费表'!w"&amp;$G$1)</f>
        <v>0.1</v>
      </c>
      <c r="G9" s="1536"/>
      <c r="H9" s="310"/>
      <c r="I9" s="3561"/>
      <c r="J9" s="312"/>
      <c r="K9" s="313"/>
      <c r="L9" s="319" t="s">
        <v>1313</v>
      </c>
      <c r="M9" s="320">
        <f ca="1">INDIRECT("'数据-取费表'!ab"&amp;$G$1)</f>
        <v>0</v>
      </c>
    </row>
    <row r="10" spans="1:37" ht="18" customHeight="1">
      <c r="A10" s="1200" t="s">
        <v>1007</v>
      </c>
      <c r="B10" s="1517" t="s">
        <v>1314</v>
      </c>
      <c r="C10" s="322">
        <f ca="1">ROUND(IF(F10="押一",C6/12*F11,IF(F10="押二",C6/12*2*F11,IF(F10="押三",C6/12*3*F11,C11*F11))),0)</f>
        <v>1</v>
      </c>
      <c r="D10" s="1518" t="s">
        <v>2796</v>
      </c>
      <c r="E10" s="319" t="s">
        <v>1315</v>
      </c>
      <c r="F10" s="1247" t="s">
        <v>3213</v>
      </c>
      <c r="G10" s="1536"/>
      <c r="H10" s="1200" t="s">
        <v>1007</v>
      </c>
      <c r="I10" s="1517" t="s">
        <v>1314</v>
      </c>
      <c r="J10" s="307">
        <f ca="1">ROUND(IF(M10="押一",J6/12*M11,IF(M10="押二",J6/12*2*M11,IF(M10="押三",J6/12*3*M11,J11*M11))),0)</f>
        <v>0</v>
      </c>
      <c r="K10" s="1518" t="s">
        <v>2796</v>
      </c>
      <c r="L10" s="319" t="s">
        <v>1315</v>
      </c>
      <c r="M10" s="1247" t="s">
        <v>1316</v>
      </c>
    </row>
    <row r="11" spans="1:37" ht="18" customHeight="1">
      <c r="A11" s="314"/>
      <c r="B11" s="1519" t="s">
        <v>1293</v>
      </c>
      <c r="C11" s="1089"/>
      <c r="D11" s="1520"/>
      <c r="E11" s="319" t="s">
        <v>1317</v>
      </c>
      <c r="F11" s="320">
        <f ca="1">'数据-取费表'!B39</f>
        <v>1.4999999999999999E-2</v>
      </c>
      <c r="G11" s="1536"/>
      <c r="H11" s="1208"/>
      <c r="I11" s="1519" t="s">
        <v>1293</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2491</v>
      </c>
      <c r="D13" s="3204" t="s">
        <v>1320</v>
      </c>
      <c r="E13" s="3204"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8" t="s">
        <v>1322</v>
      </c>
      <c r="C14" s="324">
        <f ca="1">INDIRECT("'数据-取费表'!m"&amp;$G$1)+INDIRECT("'数据-取费表'!t"&amp;$G$1)</f>
        <v>1642</v>
      </c>
      <c r="D14" s="3208" t="s">
        <v>1323</v>
      </c>
      <c r="E14" s="3206"/>
      <c r="F14" s="325"/>
      <c r="G14" s="1536"/>
      <c r="H14" s="1112" t="s">
        <v>1003</v>
      </c>
      <c r="I14" s="308" t="s">
        <v>1324</v>
      </c>
      <c r="J14" s="24">
        <f ca="1">C29</f>
        <v>2491</v>
      </c>
      <c r="K14" s="3211"/>
      <c r="L14" s="915"/>
      <c r="M14" s="916"/>
    </row>
    <row r="15" spans="1:37" s="1549" customFormat="1" ht="18" customHeight="1" thickBot="1">
      <c r="A15" s="1112" t="s">
        <v>1004</v>
      </c>
      <c r="B15" s="308" t="s">
        <v>1325</v>
      </c>
      <c r="C15" s="24">
        <f ca="1">ROUND(C14*F15,0)</f>
        <v>82</v>
      </c>
      <c r="D15" s="3205" t="s">
        <v>1326</v>
      </c>
      <c r="E15" s="3205"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10" t="s">
        <v>998</v>
      </c>
      <c r="I16" s="1211" t="s">
        <v>1329</v>
      </c>
      <c r="J16" s="316">
        <f ca="1">ROUND(J17+J22+J23+J24,0)</f>
        <v>59</v>
      </c>
      <c r="K16" s="1218" t="s">
        <v>1330</v>
      </c>
      <c r="L16" s="3209"/>
      <c r="M16" s="1203"/>
    </row>
    <row r="17" spans="1:37" s="1549" customFormat="1" ht="18" customHeight="1">
      <c r="A17" s="1112" t="s">
        <v>1295</v>
      </c>
      <c r="B17" s="308" t="s">
        <v>1331</v>
      </c>
      <c r="C17" s="24">
        <f ca="1">ROUND(F17*(F43+INDIRECT("'数据-取费表'!S"&amp;$G$1))/10000,0)</f>
        <v>66</v>
      </c>
      <c r="D17" s="308" t="s">
        <v>1332</v>
      </c>
      <c r="E17" s="308" t="s">
        <v>1333</v>
      </c>
      <c r="F17" s="26">
        <f>'数据-取费表'!B35</f>
        <v>200</v>
      </c>
      <c r="G17" s="1548"/>
      <c r="H17" s="1112" t="s">
        <v>1003</v>
      </c>
      <c r="I17" s="308" t="s">
        <v>1334</v>
      </c>
      <c r="J17" s="2501">
        <f ca="1">ROUND(IF(AND(项目基本情况!B11="自然人",项目基本情况!B10="北京市"),J6*M17/(1+'数据-取费表'!C42),J18+J19+J20),0)</f>
        <v>22</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25</v>
      </c>
      <c r="D18" s="308" t="s">
        <v>1326</v>
      </c>
      <c r="E18" s="308" t="s">
        <v>1327</v>
      </c>
      <c r="F18" s="328">
        <f>'数据-取费表'!B36</f>
        <v>1.4999999999999999E-2</v>
      </c>
      <c r="G18" s="1548"/>
      <c r="H18" s="1112"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1815</v>
      </c>
      <c r="D19" s="136" t="s">
        <v>1341</v>
      </c>
      <c r="E19" s="3214"/>
      <c r="F19" s="26"/>
      <c r="G19" s="1536"/>
      <c r="H19" s="1112" t="s">
        <v>1004</v>
      </c>
      <c r="I19" s="308" t="s">
        <v>1342</v>
      </c>
      <c r="J19" s="24">
        <f ca="1">IF(K19="按租金收入计税",ROUND(J6*M19/(1+'数据-取费表'!C42),2),ROUND(C29*M19*0.7,2))</f>
        <v>20.92</v>
      </c>
      <c r="K19" s="1522" t="s">
        <v>1343</v>
      </c>
      <c r="L19" s="308" t="s">
        <v>1327</v>
      </c>
      <c r="M19" s="328">
        <f>IF(K19="按租金收入计税",'数据-取费表'!B51,'数据-取费表'!B50)</f>
        <v>1.2E-2</v>
      </c>
    </row>
    <row r="20" spans="1:37" s="1549" customFormat="1" ht="18" customHeight="1">
      <c r="A20" s="1112" t="s">
        <v>1007</v>
      </c>
      <c r="B20" s="308" t="s">
        <v>1344</v>
      </c>
      <c r="C20" s="24">
        <f ca="1">ROUND(C19*F20,0)</f>
        <v>54</v>
      </c>
      <c r="D20" s="329" t="s">
        <v>1345</v>
      </c>
      <c r="E20" s="308" t="s">
        <v>1327</v>
      </c>
      <c r="F20" s="328">
        <f>'数据-取费表'!B37</f>
        <v>0.03</v>
      </c>
      <c r="G20" s="1548"/>
      <c r="H20" s="1112" t="s">
        <v>1294</v>
      </c>
      <c r="I20" s="160" t="s">
        <v>1346</v>
      </c>
      <c r="J20" s="25">
        <f ca="1">ROUND(M20*M21/10000,2)</f>
        <v>1.07</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0.03</v>
      </c>
      <c r="G21" s="1548"/>
      <c r="H21" s="332"/>
      <c r="I21" s="317"/>
      <c r="J21" s="29"/>
      <c r="K21" s="333"/>
      <c r="L21" s="308" t="s">
        <v>1352</v>
      </c>
      <c r="M21" s="309">
        <f ca="1">INDIRECT("'数据-取费表'!r"&amp;$G$1)</f>
        <v>447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14"/>
      <c r="F22" s="26"/>
      <c r="G22" s="1536"/>
      <c r="H22" s="1112" t="s">
        <v>1007</v>
      </c>
      <c r="I22" s="308" t="s">
        <v>1354</v>
      </c>
      <c r="J22" s="24">
        <f ca="1">ROUND(J14*M22,1)</f>
        <v>37.4</v>
      </c>
      <c r="K22" s="3207" t="s">
        <v>1355</v>
      </c>
      <c r="L22" s="308" t="s">
        <v>1327</v>
      </c>
      <c r="M22" s="334">
        <f ca="1">INDIRECT("'数据-取费表'!Ak"&amp;$G$1)</f>
        <v>1.4999999999999999E-2</v>
      </c>
    </row>
    <row r="23" spans="1:37" s="1549" customFormat="1" ht="18" customHeight="1">
      <c r="A23" s="1112" t="s">
        <v>1002</v>
      </c>
      <c r="B23" s="308" t="s">
        <v>1356</v>
      </c>
      <c r="C23" s="24">
        <f ca="1">IF('数据-取费表'!B22&lt;=1,ROUND(C19*F24*F23/2,0)+ROUND(C20*F24*F23/2,0),ROUND(C19*(POWER((1+F24),F23/2)-1),0)+ROUND(C20*(POWER((1+F24),F23/2)-1),0))</f>
        <v>119</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1004</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1297</v>
      </c>
      <c r="I24" s="1221" t="s">
        <v>1344</v>
      </c>
      <c r="J24" s="1222">
        <f ca="1">ROUND(J5*M24,1)</f>
        <v>0</v>
      </c>
      <c r="K24" s="1223" t="s">
        <v>1364</v>
      </c>
      <c r="L24" s="1221" t="s">
        <v>1327</v>
      </c>
      <c r="M24" s="1217">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3214"/>
      <c r="F25" s="26"/>
      <c r="G25" s="1536"/>
      <c r="H25" s="1210" t="s">
        <v>999</v>
      </c>
      <c r="I25" s="1225" t="s">
        <v>1368</v>
      </c>
      <c r="J25" s="316">
        <f ca="1">J5-J16</f>
        <v>-59</v>
      </c>
      <c r="K25" s="1226" t="s">
        <v>1369</v>
      </c>
      <c r="L25" s="1227"/>
      <c r="M25" s="1228"/>
    </row>
    <row r="26" spans="1:37">
      <c r="A26" s="1112" t="s">
        <v>1002</v>
      </c>
      <c r="B26" s="308" t="s">
        <v>1370</v>
      </c>
      <c r="C26" s="24">
        <f ca="1">ROUND((C19+C20)*F26,0)</f>
        <v>280</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4.4999999999999997E-3</v>
      </c>
      <c r="D27" s="329" t="s">
        <v>1377</v>
      </c>
      <c r="E27" s="3205"/>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2491</v>
      </c>
      <c r="D29" s="1223"/>
      <c r="E29" s="1221"/>
      <c r="F29" s="1224"/>
      <c r="G29" s="1548"/>
      <c r="H29" s="340" t="s">
        <v>1001</v>
      </c>
      <c r="I29" s="341" t="s">
        <v>1384</v>
      </c>
      <c r="J29" s="342">
        <f ca="1">ROUND(J26/(1+F40)^F41,0)</f>
        <v>0</v>
      </c>
      <c r="K29" s="343" t="s">
        <v>1385</v>
      </c>
      <c r="L29" s="344"/>
      <c r="M29" s="345">
        <f ca="1">INDIRECT("'数据-取费表'!k"&amp;$G$1)</f>
        <v>3284.7900000000004</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119</v>
      </c>
      <c r="D30" s="1218" t="s">
        <v>1330</v>
      </c>
      <c r="E30" s="320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70</v>
      </c>
      <c r="D31" s="3208" t="s">
        <v>1335</v>
      </c>
      <c r="E31" s="3207"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IF(项目基本情况!B11="自然人","——",ROUND(C6*F32/(1+'数据-取费表'!C42),2))</f>
        <v>21.87</v>
      </c>
      <c r="D32" s="3207"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46.86</v>
      </c>
      <c r="D33" s="1522" t="s">
        <v>3214</v>
      </c>
      <c r="E33" s="308" t="s">
        <v>1327</v>
      </c>
      <c r="F33" s="328">
        <f>IF(D33="按票据","——",IF(D33="按租金收入计税",'数据-取费表'!B51,'数据-取费表'!B50))</f>
        <v>0.12</v>
      </c>
      <c r="G33" s="1536"/>
      <c r="H33" s="2895"/>
      <c r="I33" s="1550"/>
      <c r="J33" s="1551"/>
      <c r="K33" s="2896"/>
      <c r="L33" s="2895"/>
      <c r="M33" s="2895"/>
    </row>
    <row r="34" spans="1:18" ht="18" customHeight="1">
      <c r="A34" s="1200" t="s">
        <v>1294</v>
      </c>
      <c r="B34" s="160" t="s">
        <v>1346</v>
      </c>
      <c r="C34" s="25">
        <f ca="1">IF(项目基本情况!B11="自然人","——",ROUND(F34*F35/10000,2))</f>
        <v>1.07</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447</v>
      </c>
      <c r="G35" s="1536"/>
      <c r="H35" s="2892"/>
      <c r="I35" s="1550"/>
      <c r="J35" s="1551"/>
      <c r="K35" s="2896"/>
      <c r="L35" s="2895"/>
      <c r="M35" s="2895"/>
    </row>
    <row r="36" spans="1:18" ht="18" customHeight="1">
      <c r="A36" s="1233" t="s">
        <v>1007</v>
      </c>
      <c r="B36" s="308" t="s">
        <v>1354</v>
      </c>
      <c r="C36" s="24">
        <f ca="1">ROUND(C29*F36,1)</f>
        <v>37.4</v>
      </c>
      <c r="D36" s="3207" t="s">
        <v>1387</v>
      </c>
      <c r="E36" s="308" t="s">
        <v>1327</v>
      </c>
      <c r="F36" s="334">
        <f ca="1">INDIRECT("'数据-取费表'!Ak"&amp;$G$1)</f>
        <v>1.4999999999999999E-2</v>
      </c>
      <c r="G36" s="1536"/>
      <c r="H36" s="2895"/>
      <c r="I36" s="1550"/>
      <c r="J36" s="1551"/>
      <c r="K36" s="2736"/>
      <c r="L36" s="2895"/>
      <c r="M36" s="2895"/>
    </row>
    <row r="37" spans="1:18" ht="18" customHeight="1">
      <c r="A37" s="1112" t="s">
        <v>1043</v>
      </c>
      <c r="B37" s="308" t="s">
        <v>1358</v>
      </c>
      <c r="C37" s="24">
        <f ca="1">ROUND(C13*F37,1)</f>
        <v>3.7</v>
      </c>
      <c r="D37" s="3207" t="s">
        <v>1359</v>
      </c>
      <c r="E37" s="308" t="s">
        <v>1327</v>
      </c>
      <c r="F37" s="336">
        <f ca="1">INDIRECT("'数据-取费表'!Al"&amp;$G$1)</f>
        <v>1.5E-3</v>
      </c>
      <c r="G37" s="1536"/>
      <c r="H37" s="2895"/>
      <c r="I37" s="1550"/>
      <c r="J37" s="1551"/>
      <c r="K37" s="2736"/>
      <c r="L37" s="2895"/>
      <c r="M37" s="2895"/>
    </row>
    <row r="38" spans="1:18" ht="18" customHeight="1" thickBot="1">
      <c r="A38" s="1220" t="s">
        <v>1297</v>
      </c>
      <c r="B38" s="1221" t="s">
        <v>1344</v>
      </c>
      <c r="C38" s="1222">
        <f ca="1">ROUND(C5*F38,1)</f>
        <v>8.1999999999999993</v>
      </c>
      <c r="D38" s="1223" t="s">
        <v>1364</v>
      </c>
      <c r="E38" s="1221" t="s">
        <v>1327</v>
      </c>
      <c r="F38" s="1217">
        <f ca="1">INDIRECT("'数据-取费表'!Am"&amp;$G$1)</f>
        <v>0.02</v>
      </c>
      <c r="G38" s="1536"/>
      <c r="H38" s="2895"/>
      <c r="I38" s="1550"/>
      <c r="J38" s="1551"/>
      <c r="K38" s="2899"/>
      <c r="L38" s="2895"/>
      <c r="M38" s="2895"/>
    </row>
    <row r="39" spans="1:18" ht="24.6" customHeight="1" thickTop="1">
      <c r="A39" s="1210" t="s">
        <v>999</v>
      </c>
      <c r="B39" s="1225" t="s">
        <v>1368</v>
      </c>
      <c r="C39" s="316">
        <f ca="1">C5-C30</f>
        <v>292</v>
      </c>
      <c r="D39" s="1226" t="s">
        <v>1369</v>
      </c>
      <c r="E39" s="1227"/>
      <c r="F39" s="1228"/>
      <c r="G39" s="1536"/>
      <c r="H39" s="2895"/>
      <c r="I39" s="1550"/>
      <c r="J39" s="1551"/>
      <c r="K39" s="2899"/>
      <c r="L39" s="2895"/>
      <c r="M39" s="2895"/>
    </row>
    <row r="40" spans="1:18" ht="18" customHeight="1">
      <c r="A40" s="305" t="s">
        <v>1000</v>
      </c>
      <c r="B40" s="306" t="s">
        <v>1390</v>
      </c>
      <c r="C40" s="307">
        <f ca="1">ROUND(C39*(1-((1+F42)/(1+F40))^F41)/(F40-F42),0)</f>
        <v>6745</v>
      </c>
      <c r="D40" s="330" t="s">
        <v>1374</v>
      </c>
      <c r="E40" s="308" t="s">
        <v>1375</v>
      </c>
      <c r="F40" s="318">
        <f ca="1">INDIRECT("'数据-取费表'!I"&amp;$G$1)</f>
        <v>5.5E-2</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35.92</v>
      </c>
      <c r="G41" s="1536"/>
      <c r="H41" s="1323"/>
      <c r="I41" s="1550"/>
      <c r="J41" s="1551"/>
      <c r="K41" s="2736"/>
      <c r="L41" s="1323"/>
      <c r="M41" s="1323"/>
    </row>
    <row r="42" spans="1:18" ht="18" customHeight="1">
      <c r="A42" s="314"/>
      <c r="B42" s="315"/>
      <c r="C42" s="316"/>
      <c r="D42" s="333"/>
      <c r="E42" s="308" t="s">
        <v>1382</v>
      </c>
      <c r="F42" s="318">
        <f ca="1">INDIRECT("'数据-取费表'!v"&amp;$G$1)</f>
        <v>0.03</v>
      </c>
      <c r="G42" s="1536"/>
      <c r="H42" s="1323"/>
      <c r="I42" s="1550"/>
      <c r="J42" s="1551"/>
      <c r="K42" s="2736"/>
      <c r="L42" s="1323"/>
      <c r="M42" s="1323"/>
    </row>
    <row r="43" spans="1:18" ht="18" customHeight="1" thickBot="1">
      <c r="A43" s="340" t="s">
        <v>1001</v>
      </c>
      <c r="B43" s="341" t="s">
        <v>1392</v>
      </c>
      <c r="C43" s="342">
        <f ca="1">ROUND(C40*10000/F43,0)</f>
        <v>20534</v>
      </c>
      <c r="D43" s="343" t="s">
        <v>1393</v>
      </c>
      <c r="E43" s="344" t="s">
        <v>1394</v>
      </c>
      <c r="F43" s="345">
        <f ca="1">INDIRECT("'数据-取费表'!k"&amp;$G$1)</f>
        <v>3284.7900000000004</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0" t="s">
        <v>1424</v>
      </c>
      <c r="P45" s="1613"/>
      <c r="Q45" s="1613"/>
      <c r="R45" s="1613"/>
    </row>
    <row r="46" spans="1:18" s="1536" customFormat="1" ht="13.5" thickBot="1">
      <c r="A46" s="1556" t="s">
        <v>1425</v>
      </c>
      <c r="C46" s="1557">
        <f ca="1">C68-C40</f>
        <v>-10642</v>
      </c>
      <c r="D46" s="1558" t="str">
        <f>C2</f>
        <v>万元</v>
      </c>
      <c r="E46" s="1552"/>
      <c r="F46" s="1552"/>
      <c r="I46" s="1559" t="s">
        <v>1426</v>
      </c>
      <c r="J46" s="1560"/>
      <c r="K46" s="1561"/>
      <c r="L46" s="1562">
        <f ca="1">IF(M47="住宅",0,IF(L48&gt;J51,L60,J60))</f>
        <v>74</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1"/>
      <c r="I47" s="1566" t="s">
        <v>1431</v>
      </c>
      <c r="J47" s="1567" t="s">
        <v>3215</v>
      </c>
      <c r="K47" s="1568" t="s">
        <v>1432</v>
      </c>
      <c r="L47" s="1569">
        <f ca="1">INDIRECT("'数据-取费表'!d"&amp;$G$1)</f>
        <v>50</v>
      </c>
      <c r="M47" s="1532" t="str">
        <f>IF(ISNUMBER(FIND("住宅",C1)),"住宅","非住宅")</f>
        <v>非住宅</v>
      </c>
      <c r="O47" s="1570" t="s">
        <v>1008</v>
      </c>
      <c r="P47" s="1571" t="s">
        <v>1433</v>
      </c>
      <c r="Q47" s="1572">
        <f ca="1">C40+J29</f>
        <v>6745</v>
      </c>
      <c r="R47" s="1572" t="s">
        <v>1434</v>
      </c>
    </row>
    <row r="48" spans="1:18" s="1536" customFormat="1" ht="28.5" thickBot="1">
      <c r="A48" s="1241" t="s">
        <v>1044</v>
      </c>
      <c r="B48" s="306" t="s">
        <v>1306</v>
      </c>
      <c r="C48" s="3213">
        <f ca="1">C49+C53+C55</f>
        <v>0</v>
      </c>
      <c r="D48" s="1243"/>
      <c r="E48" s="1244"/>
      <c r="F48" s="1092"/>
      <c r="G48" s="731"/>
      <c r="H48" s="732"/>
      <c r="I48" s="1573" t="s">
        <v>1435</v>
      </c>
      <c r="J48" s="1574" t="s">
        <v>3216</v>
      </c>
      <c r="K48" s="1575" t="s">
        <v>1436</v>
      </c>
      <c r="L48" s="1576">
        <f ca="1">INDIRECT("'数据-取费表'!f"&amp;$G$1)</f>
        <v>35.92</v>
      </c>
      <c r="O48" s="1570" t="s">
        <v>1009</v>
      </c>
      <c r="P48" s="1571" t="s">
        <v>1437</v>
      </c>
      <c r="Q48" s="1572">
        <f ca="1">J60</f>
        <v>74</v>
      </c>
      <c r="R48" s="1572" t="s">
        <v>1438</v>
      </c>
    </row>
    <row r="49" spans="1:18" s="1536" customFormat="1" ht="13.5" thickBot="1">
      <c r="A49" s="1105" t="s">
        <v>1045</v>
      </c>
      <c r="B49" s="1523" t="s">
        <v>1395</v>
      </c>
      <c r="C49" s="1245">
        <f ca="1">ROUND(F49*F51*F50*(1-F52)/10000,0)</f>
        <v>0</v>
      </c>
      <c r="D49" s="1185" t="s">
        <v>2788</v>
      </c>
      <c r="E49" s="1524" t="s">
        <v>1396</v>
      </c>
      <c r="F49" s="1190"/>
      <c r="G49" s="1577"/>
      <c r="H49" s="732"/>
      <c r="I49" s="1573" t="s">
        <v>1439</v>
      </c>
      <c r="J49" s="1578">
        <v>2022</v>
      </c>
      <c r="K49" s="1575" t="s">
        <v>1440</v>
      </c>
      <c r="L49" s="1579"/>
      <c r="O49" s="1580" t="s">
        <v>1010</v>
      </c>
      <c r="P49" s="1571" t="s">
        <v>1441</v>
      </c>
      <c r="Q49" s="1572">
        <f ca="1">C29</f>
        <v>2491</v>
      </c>
      <c r="R49" s="1572" t="s">
        <v>1434</v>
      </c>
    </row>
    <row r="50" spans="1:18" s="1536" customFormat="1" ht="13.5" thickBot="1">
      <c r="A50" s="1106"/>
      <c r="B50" s="1109"/>
      <c r="C50" s="1249"/>
      <c r="D50" s="1083"/>
      <c r="E50" s="1186" t="s">
        <v>1311</v>
      </c>
      <c r="F50" s="1187">
        <f ca="1">F7</f>
        <v>3284.7900000000004</v>
      </c>
      <c r="H50" s="732"/>
      <c r="I50" s="1573" t="s">
        <v>1442</v>
      </c>
      <c r="J50" s="1581">
        <f>SUMPRODUCT((I63:I65=J47)*(J62:L62=J48)*(J63:L65))</f>
        <v>60</v>
      </c>
      <c r="K50" s="1575" t="s">
        <v>1443</v>
      </c>
      <c r="L50" s="1579"/>
      <c r="M50" s="1582"/>
      <c r="O50" s="1580" t="s">
        <v>1011</v>
      </c>
      <c r="P50" s="1571" t="s">
        <v>1444</v>
      </c>
      <c r="Q50" s="1583">
        <f ca="1">J58</f>
        <v>0.40100000000000002</v>
      </c>
      <c r="R50" s="1572"/>
    </row>
    <row r="51" spans="1:18" s="1536" customFormat="1" ht="13.5" thickBot="1">
      <c r="A51" s="1107"/>
      <c r="B51" s="1109"/>
      <c r="C51" s="1110"/>
      <c r="D51" s="1083"/>
      <c r="E51" s="1111" t="s">
        <v>1312</v>
      </c>
      <c r="F51" s="309">
        <f ca="1">F8</f>
        <v>365</v>
      </c>
      <c r="I51" s="1584" t="s">
        <v>1445</v>
      </c>
      <c r="J51" s="1585">
        <f>IF(J49="",J50,J49+J50-YEAR('数据-取费表'!B2))</f>
        <v>60</v>
      </c>
      <c r="K51" s="1586" t="s">
        <v>1446</v>
      </c>
      <c r="L51" s="1587">
        <f ca="1">ROUND(-PV(INDIRECT("'数据-取费表'!h"&amp;$G$1),J51,(C39-C13*C76),0),0)</f>
        <v>1991</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35.92</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7"/>
      <c r="I53" s="1591" t="s">
        <v>1452</v>
      </c>
      <c r="J53" s="2353">
        <f ca="1">IF(M47="住宅",IF(D1="——",MAX(J51,L48),MAX(J51,L48-'数据-取费表'!B24)),IF(D1="——",MIN(J51,L48),MIN(J51,L48-'数据-取费表'!B24)))</f>
        <v>35.92</v>
      </c>
      <c r="K53" s="3557" t="s">
        <v>1453</v>
      </c>
      <c r="L53" s="3558"/>
      <c r="O53" s="1570" t="s">
        <v>1014</v>
      </c>
      <c r="P53" s="1571" t="s">
        <v>1454</v>
      </c>
      <c r="Q53" s="1572">
        <f ca="1">Q47+Q48</f>
        <v>6819</v>
      </c>
      <c r="R53" s="1572" t="s">
        <v>1015</v>
      </c>
    </row>
    <row r="54" spans="1:18" s="1536" customFormat="1" ht="13.5" thickBot="1">
      <c r="A54" s="1285"/>
      <c r="B54" s="1519" t="s">
        <v>1293</v>
      </c>
      <c r="C54" s="1089"/>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3210"/>
      <c r="F55" s="1592"/>
      <c r="I55" s="1595" t="s">
        <v>1456</v>
      </c>
      <c r="J55" s="1596">
        <f ca="1">ROUND(IF(J47="钢混",J57/J50,1-(1-2%)*(J50-J57)/J50),3)</f>
        <v>0.40100000000000002</v>
      </c>
      <c r="K55" s="1597" t="s">
        <v>1457</v>
      </c>
      <c r="L55" s="1598" t="s">
        <v>1458</v>
      </c>
      <c r="O55" s="1563" t="s">
        <v>1427</v>
      </c>
      <c r="P55" s="1564" t="s">
        <v>1428</v>
      </c>
      <c r="Q55" s="1565" t="s">
        <v>1429</v>
      </c>
      <c r="R55" s="1565" t="s">
        <v>1430</v>
      </c>
    </row>
    <row r="56" spans="1:18" s="1536" customFormat="1" ht="25.5" thickTop="1" thickBot="1">
      <c r="A56" s="1087">
        <v>2</v>
      </c>
      <c r="B56" s="1088" t="s">
        <v>1319</v>
      </c>
      <c r="C56" s="238">
        <f ca="1">C13</f>
        <v>2491</v>
      </c>
      <c r="D56" s="1599"/>
      <c r="E56" s="1600"/>
      <c r="F56" s="1592"/>
      <c r="I56" s="1601" t="s">
        <v>1459</v>
      </c>
      <c r="J56" s="1602" t="s">
        <v>3196</v>
      </c>
      <c r="K56" s="1573" t="s">
        <v>1460</v>
      </c>
      <c r="L56" s="1576" t="str">
        <f ca="1">IF(L48&lt;J51,"——",L48-J53)</f>
        <v>——</v>
      </c>
      <c r="O56" s="1570" t="s">
        <v>1008</v>
      </c>
      <c r="P56" s="1571" t="s">
        <v>1433</v>
      </c>
      <c r="Q56" s="1572">
        <f ca="1">C40+J29</f>
        <v>6745</v>
      </c>
      <c r="R56" s="1572" t="s">
        <v>1434</v>
      </c>
    </row>
    <row r="57" spans="1:18" s="1536" customFormat="1" ht="24.75" thickBot="1">
      <c r="A57" s="1603"/>
      <c r="B57" s="1080" t="s">
        <v>1383</v>
      </c>
      <c r="C57" s="244">
        <f ca="1">C29</f>
        <v>2491</v>
      </c>
      <c r="D57" s="1604"/>
      <c r="E57" s="1605"/>
      <c r="F57" s="1606"/>
      <c r="I57" s="1607" t="s">
        <v>1461</v>
      </c>
      <c r="J57" s="1608">
        <f ca="1">IF(OR(M47="住宅",J51&lt;L48,J56="是"),"——",J51-L48)</f>
        <v>24.08</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8" t="s">
        <v>1329</v>
      </c>
      <c r="C58" s="322">
        <f ca="1">ROUND(C59+C64+C65+C66,0)</f>
        <v>251</v>
      </c>
      <c r="D58" s="1090" t="s">
        <v>1330</v>
      </c>
      <c r="E58" s="1091"/>
      <c r="F58" s="1092"/>
      <c r="I58" s="1607" t="s">
        <v>1465</v>
      </c>
      <c r="J58" s="1609">
        <f ca="1">IF(J55&lt;0.4,0.4,J55)</f>
        <v>0.40100000000000002</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210</v>
      </c>
      <c r="D59" s="1093" t="s">
        <v>1335</v>
      </c>
      <c r="E59" s="1094" t="s">
        <v>1336</v>
      </c>
      <c r="F59" s="2500" t="str">
        <f>IF(项目基本情况!B11="企业","——",IF('数据-取费表'!B10="住宅",IF(F49*F50*F51/12/(1+'数据-取费表'!F30)&gt;100000,4%,2.5%),IF(F49*F50*F51/12/(1+'数据-取费表'!F30)&gt;100000,12%,7%)))</f>
        <v>——</v>
      </c>
      <c r="I59" s="1607" t="s">
        <v>1468</v>
      </c>
      <c r="J59" s="1608">
        <f ca="1">IF(OR(M47="住宅",J51&lt;L48,J56="是"),"——",ROUND(C29*J58,0))</f>
        <v>999</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7">
        <f t="shared" ref="F60:F66" si="0">F32</f>
        <v>5.6000000000000001E-2</v>
      </c>
      <c r="I60" s="1610" t="s">
        <v>1470</v>
      </c>
      <c r="J60" s="1611">
        <f ca="1">IF(OR(M47="住宅",J51&lt;L48,J56="是"),"0",ROUND(J59/(1+J52)^J53,0))</f>
        <v>74</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1342</v>
      </c>
      <c r="C61" s="24">
        <f ca="1">IF(项目基本情况!B11="自然人","——",IF(D61="按租金收入计税",ROUND(C49*F61/(1+'数据-取费表'!C42),2),IF(D61="按房产原值计税",ROUND(C57*F61*0.7,2),INDIRECT("'数据-取费表'!Aj"&amp;$G$1))))</f>
        <v>209.24</v>
      </c>
      <c r="D61" s="1522" t="s">
        <v>1343</v>
      </c>
      <c r="E61" s="1080"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1346</v>
      </c>
      <c r="C62" s="25">
        <f ca="1">IF(项目基本情况!B11="自然人","——",ROUND(F62*F63/10000,2))</f>
        <v>1.07</v>
      </c>
      <c r="D62" s="1095" t="s">
        <v>1347</v>
      </c>
      <c r="E62" s="1080" t="s">
        <v>1348</v>
      </c>
      <c r="F62" s="331">
        <f t="shared" si="0"/>
        <v>24</v>
      </c>
      <c r="I62" s="1614" t="s">
        <v>1475</v>
      </c>
      <c r="J62" s="1615" t="s">
        <v>1476</v>
      </c>
      <c r="K62" s="1615" t="s">
        <v>1477</v>
      </c>
      <c r="L62" s="1615" t="s">
        <v>1478</v>
      </c>
      <c r="M62" s="1616" t="s">
        <v>1479</v>
      </c>
      <c r="O62" s="1570" t="s">
        <v>1014</v>
      </c>
      <c r="P62" s="1571" t="s">
        <v>1454</v>
      </c>
      <c r="Q62" s="1572">
        <f ca="1">Q56+Q57</f>
        <v>6745</v>
      </c>
      <c r="R62" s="1572" t="s">
        <v>1015</v>
      </c>
    </row>
    <row r="63" spans="1:18" s="1536" customFormat="1" ht="13.5" thickBot="1">
      <c r="A63" s="332"/>
      <c r="B63" s="1086"/>
      <c r="C63" s="29"/>
      <c r="D63" s="1096"/>
      <c r="E63" s="1080" t="s">
        <v>1352</v>
      </c>
      <c r="F63" s="309">
        <f t="shared" ca="1" si="0"/>
        <v>447</v>
      </c>
      <c r="I63" s="1614" t="s">
        <v>1481</v>
      </c>
      <c r="J63" s="1615">
        <v>70</v>
      </c>
      <c r="K63" s="1615">
        <v>50</v>
      </c>
      <c r="L63" s="1615">
        <v>80</v>
      </c>
      <c r="M63" s="1617">
        <v>0.02</v>
      </c>
      <c r="O63" s="1555" t="s">
        <v>1482</v>
      </c>
      <c r="P63" s="1533"/>
      <c r="Q63" s="1533"/>
      <c r="R63" s="1533"/>
    </row>
    <row r="64" spans="1:18" s="1536" customFormat="1" ht="13.5" thickBot="1">
      <c r="A64" s="1112" t="s">
        <v>1007</v>
      </c>
      <c r="B64" s="1080" t="s">
        <v>1354</v>
      </c>
      <c r="C64" s="24">
        <f ca="1">ROUND(C57*F64,1)</f>
        <v>37.4</v>
      </c>
      <c r="D64" s="1094" t="s">
        <v>1387</v>
      </c>
      <c r="E64" s="1080"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3.7</v>
      </c>
      <c r="D65" s="1094" t="s">
        <v>1359</v>
      </c>
      <c r="E65" s="1080" t="s">
        <v>1327</v>
      </c>
      <c r="F65" s="336">
        <f t="shared" ca="1" si="0"/>
        <v>1.5E-3</v>
      </c>
      <c r="I65" s="1614" t="s">
        <v>1484</v>
      </c>
      <c r="J65" s="1615">
        <v>40</v>
      </c>
      <c r="K65" s="1615">
        <v>30</v>
      </c>
      <c r="L65" s="1615">
        <v>50</v>
      </c>
      <c r="M65" s="1617">
        <v>0.02</v>
      </c>
      <c r="O65" s="1570" t="s">
        <v>1008</v>
      </c>
      <c r="P65" s="1571" t="s">
        <v>1433</v>
      </c>
      <c r="Q65" s="1572">
        <f ca="1">C40+J29</f>
        <v>6745</v>
      </c>
      <c r="R65" s="1572" t="s">
        <v>1434</v>
      </c>
    </row>
    <row r="66" spans="1:18" s="1536" customFormat="1" ht="16.5" thickBot="1">
      <c r="A66" s="1112" t="s">
        <v>1409</v>
      </c>
      <c r="B66" s="1080" t="s">
        <v>1344</v>
      </c>
      <c r="C66" s="24">
        <f ca="1">ROUND(C48*F66,1)</f>
        <v>0</v>
      </c>
      <c r="D66" s="1094" t="s">
        <v>1364</v>
      </c>
      <c r="E66" s="1080" t="s">
        <v>1327</v>
      </c>
      <c r="F66" s="318">
        <f t="shared" ca="1" si="0"/>
        <v>0.02</v>
      </c>
      <c r="O66" s="1570" t="s">
        <v>1009</v>
      </c>
      <c r="P66" s="1571" t="s">
        <v>1463</v>
      </c>
      <c r="Q66" s="1572">
        <f ca="1">L60</f>
        <v>0</v>
      </c>
      <c r="R66" s="1572" t="s">
        <v>1486</v>
      </c>
    </row>
    <row r="67" spans="1:18" s="1536" customFormat="1" ht="16.5" thickBot="1">
      <c r="A67" s="1087" t="s">
        <v>999</v>
      </c>
      <c r="B67" s="1097" t="s">
        <v>1368</v>
      </c>
      <c r="C67" s="322">
        <f ca="1">C48-C58</f>
        <v>-251</v>
      </c>
      <c r="D67" s="1093" t="s">
        <v>1369</v>
      </c>
      <c r="E67" s="1098"/>
      <c r="F67" s="1099"/>
      <c r="O67" s="1580" t="s">
        <v>1010</v>
      </c>
      <c r="P67" s="1571" t="s">
        <v>1467</v>
      </c>
      <c r="Q67" s="1618">
        <f ca="1">L51</f>
        <v>1991</v>
      </c>
      <c r="R67" s="1572" t="s">
        <v>1487</v>
      </c>
    </row>
    <row r="68" spans="1:18" s="1536" customFormat="1" ht="16.5" thickBot="1">
      <c r="A68" s="1077" t="s">
        <v>1000</v>
      </c>
      <c r="B68" s="1078" t="s">
        <v>1390</v>
      </c>
      <c r="C68" s="307">
        <f ca="1">ROUND(C67*(1-((1+F70)/(1+F68))^F69)/(F68-F70),0)</f>
        <v>-3897</v>
      </c>
      <c r="D68" s="1095" t="s">
        <v>1374</v>
      </c>
      <c r="E68" s="1080" t="s">
        <v>1375</v>
      </c>
      <c r="F68" s="318">
        <f ca="1">F40</f>
        <v>5.5E-2</v>
      </c>
      <c r="O68" s="1580" t="s">
        <v>1011</v>
      </c>
      <c r="P68" s="1619" t="s">
        <v>1488</v>
      </c>
      <c r="Q68" s="1572">
        <f ca="1">ROUND(Q69-Q70*Q71,0)</f>
        <v>105</v>
      </c>
      <c r="R68" s="1572" t="s">
        <v>1019</v>
      </c>
    </row>
    <row r="69" spans="1:18" s="1536" customFormat="1" ht="13.5" thickBot="1">
      <c r="A69" s="1081"/>
      <c r="B69" s="1082"/>
      <c r="C69" s="312"/>
      <c r="D69" s="1100" t="s">
        <v>1378</v>
      </c>
      <c r="E69" s="1080" t="s">
        <v>1379</v>
      </c>
      <c r="F69" s="339">
        <f ca="1">F41</f>
        <v>35.92</v>
      </c>
      <c r="O69" s="1580" t="s">
        <v>1016</v>
      </c>
      <c r="P69" s="1619" t="s">
        <v>1489</v>
      </c>
      <c r="Q69" s="1572">
        <f ca="1">C39</f>
        <v>292</v>
      </c>
      <c r="R69" s="1572" t="s">
        <v>1434</v>
      </c>
    </row>
    <row r="70" spans="1:18" s="1536" customFormat="1" ht="13.5" thickBot="1">
      <c r="A70" s="1084"/>
      <c r="B70" s="1085"/>
      <c r="C70" s="316"/>
      <c r="D70" s="1096"/>
      <c r="E70" s="1080" t="s">
        <v>1382</v>
      </c>
      <c r="F70" s="1184"/>
      <c r="O70" s="1580" t="s">
        <v>1017</v>
      </c>
      <c r="P70" s="1619" t="s">
        <v>1490</v>
      </c>
      <c r="Q70" s="1572">
        <f ca="1">C13</f>
        <v>2491</v>
      </c>
      <c r="R70" s="1572" t="s">
        <v>1434</v>
      </c>
    </row>
    <row r="71" spans="1:18" s="1536" customFormat="1" ht="13.5" thickBot="1">
      <c r="A71" s="1101" t="s">
        <v>1001</v>
      </c>
      <c r="B71" s="1102" t="s">
        <v>1392</v>
      </c>
      <c r="C71" s="342">
        <f ca="1">ROUND(C68*10000/F71,0)</f>
        <v>-11864</v>
      </c>
      <c r="D71" s="1103" t="s">
        <v>1393</v>
      </c>
      <c r="E71" s="1104" t="s">
        <v>1394</v>
      </c>
      <c r="F71" s="345">
        <f ca="1">F43</f>
        <v>3284.7900000000004</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187</v>
      </c>
      <c r="D75" s="1536"/>
      <c r="E75" s="1536"/>
      <c r="F75" s="1536"/>
      <c r="K75" s="1554"/>
      <c r="L75" s="1536"/>
      <c r="O75" s="1570" t="s">
        <v>1014</v>
      </c>
      <c r="P75" s="1571" t="s">
        <v>1454</v>
      </c>
      <c r="Q75" s="1572">
        <f ca="1">Q65+Q66</f>
        <v>6745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0.36</v>
      </c>
    </row>
    <row r="80" spans="1:18">
      <c r="B80" s="346" t="s">
        <v>1416</v>
      </c>
      <c r="C80" s="280">
        <f ca="1">ROUND(C75/C39,3)</f>
        <v>0.64</v>
      </c>
    </row>
    <row r="81" spans="2:3">
      <c r="B81" s="276" t="s">
        <v>1417</v>
      </c>
      <c r="C81" s="244"/>
    </row>
    <row r="82" spans="2:3">
      <c r="B82" s="279" t="s">
        <v>1418</v>
      </c>
      <c r="C82" s="281">
        <f ca="1">1-C83</f>
        <v>0.63100000000000001</v>
      </c>
    </row>
    <row r="83" spans="2:3">
      <c r="B83" s="279" t="s">
        <v>1419</v>
      </c>
      <c r="C83" s="280">
        <f ca="1">ROUND(C13/C40,3)</f>
        <v>0.36899999999999999</v>
      </c>
    </row>
  </sheetData>
  <sheetProtection formatCells="0" formatColumns="0" formatRows="0"/>
  <mergeCells count="3">
    <mergeCell ref="B6:B9"/>
    <mergeCell ref="I6:I9"/>
    <mergeCell ref="K53:L53"/>
  </mergeCells>
  <phoneticPr fontId="141"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90" zoomScaleNormal="100" zoomScaleSheetLayoutView="90" zoomScalePageLayoutView="80" workbookViewId="0">
      <selection activeCell="J20" sqref="J20"/>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1887</v>
      </c>
      <c r="B1" s="1900"/>
      <c r="C1" s="1901" t="s">
        <v>48</v>
      </c>
      <c r="D1" s="1900"/>
      <c r="E1" s="1900"/>
      <c r="F1" s="1902" t="s">
        <v>1888</v>
      </c>
      <c r="G1" s="1714" t="s">
        <v>3339</v>
      </c>
      <c r="H1" s="1903" t="str">
        <f>IF(G1="现房","——","估价对象范围")</f>
        <v>——</v>
      </c>
      <c r="I1" s="1904"/>
    </row>
    <row r="2" spans="1:12" ht="21.75" customHeight="1" thickBot="1">
      <c r="A2" s="3433" t="str">
        <f>项目基本情况!S2</f>
        <v>北京市房地产</v>
      </c>
      <c r="B2" s="3434"/>
      <c r="C2" s="3434"/>
      <c r="D2" s="3434"/>
      <c r="E2" s="3434"/>
      <c r="F2" s="3434"/>
      <c r="G2" s="3434"/>
      <c r="H2" s="3434"/>
      <c r="I2" s="3435"/>
    </row>
    <row r="3" spans="1:12" ht="12.75">
      <c r="A3" s="3437" t="s">
        <v>1889</v>
      </c>
      <c r="B3" s="3438"/>
      <c r="C3" s="3438"/>
      <c r="D3" s="3438"/>
      <c r="E3" s="3438"/>
      <c r="F3" s="3438"/>
      <c r="G3" s="3438"/>
      <c r="H3" s="3438"/>
      <c r="I3" s="3438"/>
    </row>
    <row r="4" spans="1:12" ht="14.25">
      <c r="A4" s="1907" t="s">
        <v>1890</v>
      </c>
      <c r="B4" s="1908" t="s">
        <v>1891</v>
      </c>
      <c r="C4" s="1909" t="s">
        <v>3337</v>
      </c>
      <c r="D4" s="1909" t="s">
        <v>3219</v>
      </c>
      <c r="E4" s="3439" t="s">
        <v>1892</v>
      </c>
      <c r="F4" s="3440"/>
      <c r="G4" s="3440"/>
      <c r="H4" s="3440"/>
      <c r="I4" s="3441"/>
      <c r="K4" s="151" t="str">
        <f>IF(ISNUMBER(FIND("比较法",'结果表 (地下车库) '!C4)),"比较法",IF(ISNUMBER(FIND("成本法",'结果表 (地下车库) '!C4)),"成本法",IF(ISNUMBER(FIND("假设开发法",'结果表 (地下车库) '!C4)),"假设开发法",IF(ISNUMBER(FIND("收益法",'结果表 (地下车库) '!C4)),"收益法","基准地价系数修正法"))))</f>
        <v>成本法</v>
      </c>
      <c r="L4" s="151" t="str">
        <f>IF(ISNUMBER(FIND("比较法",'结果表 (地下车库) '!D4)),"比较法",IF(ISNUMBER(FIND("成本法",'结果表 (地下车库) '!D4)),"成本法",IF(ISNUMBER(FIND("假设开发法",'结果表 (地下车库) '!D4)),"假设开发法",IF(ISNUMBER(FIND("收益法",'结果表 (地下车库) '!D4)),"收益法","基准地价系数修正法"))))</f>
        <v>收益法</v>
      </c>
    </row>
    <row r="5" spans="1:12" ht="12.75">
      <c r="A5" s="3413" t="s">
        <v>1893</v>
      </c>
      <c r="B5" s="3400">
        <v>25</v>
      </c>
      <c r="C5" s="3416"/>
      <c r="D5" s="3436"/>
      <c r="E5" s="136" t="s">
        <v>1894</v>
      </c>
      <c r="F5" s="1910"/>
      <c r="G5" s="1910"/>
      <c r="H5" s="1910"/>
      <c r="I5" s="1525"/>
    </row>
    <row r="6" spans="1:12" ht="12.75">
      <c r="A6" s="3413"/>
      <c r="B6" s="3400"/>
      <c r="C6" s="3417"/>
      <c r="D6" s="3436"/>
      <c r="E6" s="136" t="s">
        <v>1895</v>
      </c>
      <c r="F6" s="1910"/>
      <c r="G6" s="1910"/>
      <c r="H6" s="1910"/>
      <c r="I6" s="1525"/>
    </row>
    <row r="7" spans="1:12" ht="12.75">
      <c r="A7" s="3413"/>
      <c r="B7" s="3400"/>
      <c r="C7" s="3418"/>
      <c r="D7" s="3436"/>
      <c r="E7" s="136" t="s">
        <v>1896</v>
      </c>
      <c r="F7" s="1910"/>
      <c r="G7" s="1910"/>
      <c r="H7" s="1910"/>
      <c r="I7" s="1525"/>
    </row>
    <row r="8" spans="1:12" ht="12.75">
      <c r="A8" s="3413" t="s">
        <v>1897</v>
      </c>
      <c r="B8" s="3400">
        <v>15</v>
      </c>
      <c r="C8" s="3416"/>
      <c r="D8" s="3436"/>
      <c r="E8" s="136" t="s">
        <v>1898</v>
      </c>
      <c r="F8" s="1910"/>
      <c r="G8" s="1910"/>
      <c r="H8" s="1910"/>
      <c r="I8" s="1525"/>
    </row>
    <row r="9" spans="1:12" ht="12.75">
      <c r="A9" s="3413"/>
      <c r="B9" s="3400"/>
      <c r="C9" s="3418"/>
      <c r="D9" s="3436"/>
      <c r="E9" s="136" t="s">
        <v>1899</v>
      </c>
      <c r="F9" s="1910"/>
      <c r="G9" s="1910"/>
      <c r="H9" s="1910"/>
      <c r="I9" s="1525"/>
    </row>
    <row r="10" spans="1:12" ht="12.75">
      <c r="A10" s="3413" t="s">
        <v>1900</v>
      </c>
      <c r="B10" s="3400">
        <v>15</v>
      </c>
      <c r="C10" s="3416"/>
      <c r="D10" s="3436"/>
      <c r="E10" s="136" t="s">
        <v>1901</v>
      </c>
      <c r="F10" s="1910"/>
      <c r="G10" s="1910"/>
      <c r="H10" s="1910"/>
      <c r="I10" s="1525"/>
    </row>
    <row r="11" spans="1:12" ht="12.75">
      <c r="A11" s="3413"/>
      <c r="B11" s="3400"/>
      <c r="C11" s="3418"/>
      <c r="D11" s="3436"/>
      <c r="E11" s="136" t="s">
        <v>1902</v>
      </c>
      <c r="F11" s="1910"/>
      <c r="G11" s="1910"/>
      <c r="H11" s="1910"/>
      <c r="I11" s="1525"/>
    </row>
    <row r="12" spans="1:12" ht="12.75">
      <c r="A12" s="3413" t="s">
        <v>1903</v>
      </c>
      <c r="B12" s="3400">
        <v>15</v>
      </c>
      <c r="C12" s="3416"/>
      <c r="D12" s="3436"/>
      <c r="E12" s="136" t="s">
        <v>1904</v>
      </c>
      <c r="F12" s="1910"/>
      <c r="G12" s="1910"/>
      <c r="H12" s="1910"/>
      <c r="I12" s="1525"/>
    </row>
    <row r="13" spans="1:12" ht="12.75">
      <c r="A13" s="3413"/>
      <c r="B13" s="3400"/>
      <c r="C13" s="3418"/>
      <c r="D13" s="3436"/>
      <c r="E13" s="136" t="s">
        <v>1905</v>
      </c>
      <c r="F13" s="1910"/>
      <c r="G13" s="1910"/>
      <c r="H13" s="1910"/>
      <c r="I13" s="1525"/>
    </row>
    <row r="14" spans="1:12" ht="12.75">
      <c r="A14" s="3413" t="s">
        <v>1906</v>
      </c>
      <c r="B14" s="3400">
        <v>30</v>
      </c>
      <c r="C14" s="3416">
        <v>3</v>
      </c>
      <c r="D14" s="3436">
        <v>7</v>
      </c>
      <c r="E14" s="136" t="s">
        <v>1907</v>
      </c>
      <c r="F14" s="1910"/>
      <c r="G14" s="1910"/>
      <c r="H14" s="1910"/>
      <c r="I14" s="1525"/>
    </row>
    <row r="15" spans="1:12" ht="12.75">
      <c r="A15" s="3413"/>
      <c r="B15" s="3400"/>
      <c r="C15" s="3417"/>
      <c r="D15" s="3436"/>
      <c r="E15" s="136" t="s">
        <v>1908</v>
      </c>
      <c r="F15" s="1910"/>
      <c r="G15" s="1910"/>
      <c r="H15" s="1910"/>
      <c r="I15" s="1525"/>
    </row>
    <row r="16" spans="1:12" ht="12.75">
      <c r="A16" s="3413"/>
      <c r="B16" s="3400"/>
      <c r="C16" s="3418"/>
      <c r="D16" s="3436"/>
      <c r="E16" s="136" t="s">
        <v>1909</v>
      </c>
      <c r="F16" s="1910"/>
      <c r="G16" s="1910"/>
      <c r="H16" s="1910"/>
      <c r="I16" s="1525"/>
    </row>
    <row r="17" spans="1:36" ht="15">
      <c r="A17" s="1911" t="s">
        <v>1910</v>
      </c>
      <c r="B17" s="60"/>
      <c r="C17" s="137">
        <f>SUM(C5:C16)</f>
        <v>3</v>
      </c>
      <c r="D17" s="137">
        <f>SUM(D5:D16)</f>
        <v>7</v>
      </c>
      <c r="E17" s="134"/>
      <c r="F17" s="134"/>
      <c r="G17" s="134"/>
      <c r="H17" s="134"/>
      <c r="I17" s="134"/>
      <c r="K17" s="308"/>
      <c r="L17" s="308" t="s">
        <v>1911</v>
      </c>
      <c r="M17" s="308" t="s">
        <v>1912</v>
      </c>
    </row>
    <row r="18" spans="1:36" ht="31.9" customHeight="1" thickBot="1">
      <c r="A18" s="1912" t="s">
        <v>1913</v>
      </c>
      <c r="B18" s="1913"/>
      <c r="C18" s="138">
        <f>ROUND(C17/SUM(C17:D17),2)</f>
        <v>0.3</v>
      </c>
      <c r="D18" s="138">
        <f>1-C18</f>
        <v>0.7</v>
      </c>
      <c r="E18" s="3423" t="s">
        <v>2812</v>
      </c>
      <c r="F18" s="3424"/>
      <c r="G18" s="3424"/>
      <c r="H18" s="3424"/>
      <c r="I18" s="3424"/>
      <c r="K18" s="308" t="s">
        <v>1914</v>
      </c>
      <c r="L18" s="308">
        <f>IF(C1="",'数据-汇总表'!E3,SUMIF(项目类型,C1,'数据-汇总表'!E17:E26)+SUMIF(项目类型,C1,'数据-汇总表'!I17:I26))</f>
        <v>10390.25</v>
      </c>
      <c r="M18" s="308">
        <f>IF(C1="",'数据-汇总表'!E3,SUMIF(项目类型,C1,'数据-汇总表'!E17:E26))</f>
        <v>10390.25</v>
      </c>
    </row>
    <row r="19" spans="1:36" ht="15">
      <c r="A19" s="1914" t="s">
        <v>1915</v>
      </c>
      <c r="B19" s="1915" t="s">
        <v>1916</v>
      </c>
      <c r="C19" s="139">
        <f ca="1">SUMIF(INDIRECT("'"&amp;C4&amp;"'"&amp;"!A:A"),'结果表 (地下车库) '!B19,INDIRECT("'"&amp;C4&amp;"'"&amp;"!B:B"))</f>
        <v>14348</v>
      </c>
      <c r="D19" s="140">
        <f ca="1">SUMIF(INDIRECT("'"&amp;D4&amp;"'"&amp;"!A:A"),'结果表 (地下车库) '!B19,INDIRECT("'"&amp;D4&amp;"'"&amp;"!B:B"))</f>
        <v>6784</v>
      </c>
      <c r="E19" s="1914" t="s">
        <v>1917</v>
      </c>
      <c r="F19" s="1915" t="s">
        <v>1916</v>
      </c>
      <c r="G19" s="141">
        <f ca="1">ROUND(C19*$C$18+D19*$D$18,0)</f>
        <v>9053</v>
      </c>
      <c r="H19" s="1916" t="s">
        <v>1918</v>
      </c>
      <c r="I19" s="134"/>
      <c r="K19" s="308" t="s">
        <v>1919</v>
      </c>
      <c r="L19" s="308">
        <f>IF(C1="",'数据-汇总表'!D3,SUMIF(项目类型,C1,'数据-汇总表'!D17:D26)+SUMIF(项目类型,C1,'数据-汇总表'!H17:H27))</f>
        <v>1413.93</v>
      </c>
      <c r="M19" s="308">
        <f>IF(C1="",'数据-汇总表'!D3,SUMIF(项目类型,C1,'数据-汇总表'!D17:D26))</f>
        <v>1413.93</v>
      </c>
    </row>
    <row r="20" spans="1:36" ht="15">
      <c r="A20" s="1917"/>
      <c r="B20" s="1156" t="s">
        <v>1920</v>
      </c>
      <c r="C20" s="142">
        <f ca="1">SUMIF(INDIRECT("'"&amp;C4&amp;"'"&amp;"!A:A"),'结果表 (地下车库) '!B20,INDIRECT("'"&amp;C4&amp;"'"&amp;"!B:B"))</f>
        <v>13809</v>
      </c>
      <c r="D20" s="143">
        <f ca="1">SUMIF(INDIRECT("'"&amp;D4&amp;"'"&amp;"!A:A"),'结果表 (地下车库) '!B20,INDIRECT("'"&amp;D4&amp;"'"&amp;"!B:B"))</f>
        <v>6529</v>
      </c>
      <c r="E20" s="1917"/>
      <c r="F20" s="1156" t="s">
        <v>1920</v>
      </c>
      <c r="G20" s="144">
        <f ca="1">ROUND(C20*$C$18+D20*$D$18,0)</f>
        <v>8713</v>
      </c>
      <c r="H20" s="916" t="s">
        <v>1921</v>
      </c>
      <c r="I20" s="134"/>
      <c r="J20" s="734">
        <f ca="1">G19/200</f>
        <v>45.265000000000001</v>
      </c>
    </row>
    <row r="21" spans="1:36" ht="15" customHeight="1" thickBot="1">
      <c r="A21" s="936"/>
      <c r="B21" s="1918" t="s">
        <v>1922</v>
      </c>
      <c r="C21" s="728">
        <f ca="1">ROUND(C19*10000/L19,0)</f>
        <v>101476</v>
      </c>
      <c r="D21" s="729">
        <f ca="1">ROUND(D19*10000/L19,0)</f>
        <v>47980</v>
      </c>
      <c r="E21" s="936"/>
      <c r="F21" s="1918" t="s">
        <v>1922</v>
      </c>
      <c r="G21" s="145">
        <f ca="1">ROUND(G19*10000/L19,0)</f>
        <v>64027</v>
      </c>
      <c r="H21" s="1919" t="s">
        <v>1921</v>
      </c>
      <c r="I21" s="134"/>
    </row>
    <row r="22" spans="1:36" ht="15" thickBot="1">
      <c r="A22" s="1841" t="s">
        <v>1923</v>
      </c>
      <c r="B22" s="1920"/>
      <c r="C22" s="1921"/>
      <c r="D22" s="730">
        <f ca="1">IF(C19&lt;D19,D19/C19-1,C19/D19-1)</f>
        <v>1.1149764150943398</v>
      </c>
      <c r="E22" s="134"/>
      <c r="F22" s="134"/>
      <c r="G22" s="134"/>
      <c r="H22" s="134"/>
      <c r="I22" s="134"/>
    </row>
    <row r="23" spans="1:36" ht="13.5" thickBot="1">
      <c r="A23" s="1900"/>
      <c r="B23" s="1900"/>
      <c r="C23" s="1900"/>
      <c r="D23" s="1900"/>
      <c r="E23" s="134"/>
      <c r="F23" s="134"/>
      <c r="G23" s="134"/>
      <c r="H23" s="134"/>
      <c r="I23" s="134"/>
    </row>
    <row r="24" spans="1:36" ht="14.25">
      <c r="A24" s="3407" t="s">
        <v>1924</v>
      </c>
      <c r="B24" s="1915" t="s">
        <v>1916</v>
      </c>
      <c r="C24" s="141">
        <f>IF(B30=0,0,D30)</f>
        <v>0</v>
      </c>
      <c r="D24" s="1922"/>
      <c r="E24" s="134"/>
      <c r="F24" s="134"/>
      <c r="G24" s="134"/>
      <c r="H24" s="134"/>
      <c r="I24" s="134"/>
    </row>
    <row r="25" spans="1:36" ht="14.25">
      <c r="A25" s="3408"/>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5"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1930</v>
      </c>
      <c r="B32" s="1927"/>
      <c r="C32" s="149">
        <f ca="1">IF(D32="总价",G19-C24,G20-C25)</f>
        <v>9053</v>
      </c>
      <c r="D32" s="1928" t="s">
        <v>3137</v>
      </c>
      <c r="E32" s="134"/>
      <c r="F32" s="134"/>
      <c r="G32" s="134"/>
      <c r="H32" s="134"/>
      <c r="I32" s="134"/>
    </row>
    <row r="33" spans="1:15" ht="15">
      <c r="A33" s="893" t="s">
        <v>1931</v>
      </c>
      <c r="B33" s="1929"/>
      <c r="C33" s="1930" t="s">
        <v>3432</v>
      </c>
      <c r="D33" s="1931"/>
      <c r="E33" s="1932" t="s">
        <v>1932</v>
      </c>
      <c r="F33" s="1933" t="str">
        <f>IF(D32="楼面单价","取值（单价）","取值（总价）")</f>
        <v>取值（总价）</v>
      </c>
      <c r="G33" s="134"/>
      <c r="H33" s="134"/>
      <c r="I33" s="134"/>
    </row>
    <row r="34" spans="1:15" ht="15">
      <c r="A34" s="1934"/>
      <c r="B34" s="1935" t="s">
        <v>1933</v>
      </c>
      <c r="C34" s="153">
        <f ca="1">IF(C33="自定义",F34,C32-C35)</f>
        <v>1507</v>
      </c>
      <c r="D34" s="969">
        <f ca="1">IF(C33="自定义",ROUND(C34/C32,3),IF(C33="收益比率",SUMIF(INDIRECT("'"&amp;D33&amp;"'"&amp;"!b:b"),"土地收益比率",INDIRECT("'"&amp;D33&amp;"'"&amp;"!c:c")),SUMIF(INDIRECT("'"&amp;D33&amp;"'"&amp;"!b:b"),"土地成本比率",INDIRECT("'"&amp;D33&amp;"'"&amp;"!c:c"))))</f>
        <v>0.16600000000000001</v>
      </c>
      <c r="E34" s="1936" t="s">
        <v>1934</v>
      </c>
      <c r="F34" s="1468">
        <f ca="1">G19-F35</f>
        <v>1507</v>
      </c>
      <c r="G34" s="134"/>
      <c r="H34" s="134"/>
      <c r="I34" s="134"/>
    </row>
    <row r="35" spans="1:15" ht="15.75" thickBot="1">
      <c r="A35" s="1937"/>
      <c r="B35" s="1938" t="s">
        <v>1935</v>
      </c>
      <c r="C35" s="1302">
        <f ca="1">IF(C33="自定义",F35,ROUND(C32*D35,0))</f>
        <v>7546</v>
      </c>
      <c r="D35" s="1303">
        <f ca="1">IF(C33="自定义",ROUND(C35/C32,3),IF(C33="收益比率",SUMIF(INDIRECT("'"&amp;D33&amp;"'"&amp;"!b:b"),"建筑物收益比率",INDIRECT("'"&amp;D33&amp;"'"&amp;"!c:c")),SUMIF(INDIRECT("'"&amp;D33&amp;"'"&amp;"!b:b"),"建筑物成本比率",INDIRECT("'"&amp;D33&amp;"'"&amp;"!c:c"))))</f>
        <v>0.83399999999999996</v>
      </c>
      <c r="E35" s="1939" t="s">
        <v>1936</v>
      </c>
      <c r="F35" s="159">
        <f ca="1">'收益法 (地下车库)'!C29</f>
        <v>7546</v>
      </c>
      <c r="G35" s="134"/>
      <c r="H35" s="134"/>
      <c r="I35" s="134"/>
    </row>
    <row r="36" spans="1:15" ht="15.75" thickBot="1">
      <c r="A36" s="3427" t="s">
        <v>1937</v>
      </c>
      <c r="B36" s="1940" t="s">
        <v>1938</v>
      </c>
      <c r="C36" s="150"/>
      <c r="D36" s="1941"/>
      <c r="E36" s="1942"/>
      <c r="F36" s="1943"/>
      <c r="G36" s="134"/>
      <c r="H36" s="134"/>
      <c r="I36" s="134"/>
    </row>
    <row r="37" spans="1:15" ht="15.75" thickBot="1">
      <c r="A37" s="3428"/>
      <c r="B37" s="1827" t="s">
        <v>1939</v>
      </c>
      <c r="C37" s="152"/>
      <c r="D37" s="1271"/>
      <c r="E37" s="1271"/>
      <c r="F37" s="1943"/>
      <c r="G37" s="134"/>
      <c r="H37" s="134"/>
      <c r="I37" s="134"/>
    </row>
    <row r="38" spans="1:15" ht="15.75" thickBot="1">
      <c r="A38" s="3429"/>
      <c r="B38" s="1944" t="s">
        <v>1940</v>
      </c>
      <c r="C38" s="683"/>
      <c r="D38" s="1945" t="s">
        <v>1941</v>
      </c>
      <c r="E38" s="1271"/>
      <c r="F38" s="1943"/>
      <c r="G38" s="134"/>
      <c r="H38" s="134"/>
      <c r="I38" s="134"/>
    </row>
    <row r="39" spans="1:15" ht="15">
      <c r="A39" s="1917" t="s">
        <v>1942</v>
      </c>
      <c r="B39" s="1946" t="s">
        <v>1926</v>
      </c>
      <c r="C39" s="1947" t="s">
        <v>1927</v>
      </c>
      <c r="D39" s="1947" t="s">
        <v>1945</v>
      </c>
      <c r="E39" s="1948" t="s">
        <v>1928</v>
      </c>
      <c r="F39" s="1943"/>
      <c r="G39" s="134"/>
      <c r="H39" s="134"/>
      <c r="I39" s="134"/>
    </row>
    <row r="40" spans="1:15" ht="14.25">
      <c r="A40" s="1949" t="s">
        <v>1947</v>
      </c>
      <c r="B40" s="154"/>
      <c r="C40" s="155"/>
      <c r="D40" s="155"/>
      <c r="E40" s="156"/>
      <c r="F40" s="1943"/>
      <c r="G40" s="134"/>
      <c r="H40" s="134"/>
      <c r="I40" s="134"/>
    </row>
    <row r="41" spans="1:15" ht="14.25">
      <c r="A41" s="1949" t="s">
        <v>1948</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hidden="1">
      <c r="A44" s="1953" t="s">
        <v>1949</v>
      </c>
      <c r="B44" s="1954"/>
      <c r="C44" s="1954"/>
      <c r="D44" s="1955"/>
      <c r="E44" s="1955"/>
      <c r="F44" s="1956"/>
      <c r="G44" s="1956"/>
      <c r="H44" s="1956"/>
      <c r="I44" s="1956"/>
      <c r="J44" s="1957" t="s">
        <v>1950</v>
      </c>
      <c r="K44" s="1958"/>
      <c r="L44" s="1958"/>
      <c r="M44" s="1958"/>
      <c r="N44" s="1958"/>
      <c r="O44" s="1958"/>
    </row>
    <row r="45" spans="1:15" ht="14.25" hidden="1" customHeight="1" thickBot="1">
      <c r="A45" s="3404" t="s">
        <v>1951</v>
      </c>
      <c r="B45" s="3405"/>
      <c r="C45" s="3406"/>
      <c r="D45" s="160">
        <f ca="1">ROUND(H101*F45,0)</f>
        <v>5794</v>
      </c>
      <c r="E45" s="161" t="s">
        <v>1952</v>
      </c>
      <c r="F45" s="162">
        <v>0.64</v>
      </c>
      <c r="G45" s="163" t="s">
        <v>1953</v>
      </c>
      <c r="H45" s="134"/>
      <c r="I45" s="134"/>
      <c r="J45" s="3485" t="s">
        <v>1954</v>
      </c>
      <c r="K45" s="3485"/>
      <c r="L45" s="3485"/>
      <c r="M45" s="3485"/>
      <c r="N45" s="3485"/>
      <c r="O45" s="3485"/>
    </row>
    <row r="46" spans="1:15" ht="14.25" hidden="1" customHeight="1">
      <c r="A46" s="3401" t="s">
        <v>1955</v>
      </c>
      <c r="B46" s="3402"/>
      <c r="C46" s="3402"/>
      <c r="D46" s="3402"/>
      <c r="E46" s="3402"/>
      <c r="F46" s="3402"/>
      <c r="G46" s="3403"/>
      <c r="H46" s="1959"/>
      <c r="I46" s="164"/>
      <c r="J46" s="3233">
        <v>1</v>
      </c>
      <c r="K46" s="3466" t="s">
        <v>1956</v>
      </c>
      <c r="L46" s="3466"/>
      <c r="M46" s="3486"/>
      <c r="N46" s="3486"/>
      <c r="O46" s="3486"/>
    </row>
    <row r="47" spans="1:15" ht="12" hidden="1" customHeight="1">
      <c r="A47" s="165" t="s">
        <v>1957</v>
      </c>
      <c r="B47" s="166"/>
      <c r="C47" s="167"/>
      <c r="D47" s="1218" t="s">
        <v>1958</v>
      </c>
      <c r="E47" s="308" t="s">
        <v>1959</v>
      </c>
      <c r="F47" s="168" t="s">
        <v>1960</v>
      </c>
      <c r="G47" s="2738" t="s">
        <v>1961</v>
      </c>
      <c r="H47" s="2739"/>
      <c r="I47" s="164"/>
      <c r="J47" s="3233">
        <v>2</v>
      </c>
      <c r="K47" s="3466" t="s">
        <v>1962</v>
      </c>
      <c r="L47" s="3466"/>
      <c r="M47" s="3487">
        <f>'数据-取费表'!B2</f>
        <v>44665</v>
      </c>
      <c r="N47" s="3487"/>
      <c r="O47" s="3487"/>
    </row>
    <row r="48" spans="1:15" ht="25.5" hidden="1">
      <c r="A48" s="3432" t="s">
        <v>1963</v>
      </c>
      <c r="B48" s="3415"/>
      <c r="C48" s="3415"/>
      <c r="D48" s="3230">
        <f ca="1">IF(H48="情况1",0,IF(H48="情况2",D52,IF(H48="情况3",D53,IF(H48="情况4",D54))))</f>
        <v>309</v>
      </c>
      <c r="E48" s="3243" t="str">
        <f>IF(H48="情况4","(销售额-原购置价)×税（费）率","销售额×税（费）率")</f>
        <v>销售额×税（费）率</v>
      </c>
      <c r="F48" s="2740">
        <f>IF(H48="情况1","免征",'数据-取费表'!B41)</f>
        <v>5.6000000000000001E-2</v>
      </c>
      <c r="G48" s="2741" t="s">
        <v>1964</v>
      </c>
      <c r="H48" s="2742" t="s">
        <v>3221</v>
      </c>
      <c r="I48" s="1959"/>
      <c r="J48" s="3233">
        <v>3</v>
      </c>
      <c r="K48" s="3466" t="s">
        <v>1965</v>
      </c>
      <c r="L48" s="3466"/>
      <c r="M48" s="3488">
        <f ca="1">H101</f>
        <v>9053</v>
      </c>
      <c r="N48" s="3488"/>
      <c r="O48" s="3488"/>
    </row>
    <row r="49" spans="1:35" ht="25.5" hidden="1" customHeight="1">
      <c r="A49" s="3242" t="s">
        <v>1966</v>
      </c>
      <c r="B49" s="3399" t="s">
        <v>1967</v>
      </c>
      <c r="C49" s="3399"/>
      <c r="D49" s="1743">
        <v>0</v>
      </c>
      <c r="E49" s="330" t="s">
        <v>1968</v>
      </c>
      <c r="F49" s="3228" t="s">
        <v>34</v>
      </c>
      <c r="G49" s="3472"/>
      <c r="H49" s="2495" t="s">
        <v>2815</v>
      </c>
      <c r="I49" s="2496"/>
      <c r="J49" s="3233">
        <v>4</v>
      </c>
      <c r="K49" s="3466" t="str">
        <f>IF(项目基本情况!E8="房地产抵押价值","房地产抵押价值","抵押担保权已注销时的房地产抵押价值")</f>
        <v>房地产抵押价值</v>
      </c>
      <c r="L49" s="3466"/>
      <c r="M49" s="3488">
        <f ca="1">IF(项目基本情况!E8="房地产抵押价值",H107,H109)</f>
        <v>9053</v>
      </c>
      <c r="N49" s="3488"/>
      <c r="O49" s="3488"/>
    </row>
    <row r="50" spans="1:35" ht="25.5" hidden="1" customHeight="1">
      <c r="A50" s="2743"/>
      <c r="B50" s="3399" t="s">
        <v>1969</v>
      </c>
      <c r="C50" s="3399"/>
      <c r="D50" s="2744"/>
      <c r="E50" s="338"/>
      <c r="F50" s="3228"/>
      <c r="G50" s="3473"/>
      <c r="H50" s="2497" t="s">
        <v>2816</v>
      </c>
      <c r="I50" s="2496"/>
      <c r="J50" s="3485" t="s">
        <v>1970</v>
      </c>
      <c r="K50" s="3485"/>
      <c r="L50" s="3485"/>
      <c r="M50" s="3485"/>
      <c r="N50" s="3485"/>
      <c r="O50" s="3485"/>
    </row>
    <row r="51" spans="1:35" ht="20.45" hidden="1" customHeight="1">
      <c r="A51" s="2745"/>
      <c r="B51" s="3399" t="s">
        <v>1971</v>
      </c>
      <c r="C51" s="3399"/>
      <c r="D51" s="1218"/>
      <c r="E51" s="333"/>
      <c r="F51" s="3228"/>
      <c r="G51" s="3474"/>
      <c r="H51" s="2497" t="s">
        <v>2817</v>
      </c>
      <c r="I51" s="2496"/>
      <c r="J51" s="3229" t="s">
        <v>1972</v>
      </c>
      <c r="K51" s="3466" t="s">
        <v>1973</v>
      </c>
      <c r="L51" s="3466"/>
      <c r="M51" s="3229" t="s">
        <v>1974</v>
      </c>
      <c r="N51" s="3229" t="s">
        <v>1975</v>
      </c>
      <c r="O51" s="3229" t="s">
        <v>1976</v>
      </c>
    </row>
    <row r="52" spans="1:35" ht="24" hidden="1" customHeight="1">
      <c r="A52" s="3244" t="s">
        <v>1977</v>
      </c>
      <c r="B52" s="3399" t="s">
        <v>1978</v>
      </c>
      <c r="C52" s="3399"/>
      <c r="D52" s="1218">
        <f ca="1">ROUND(D45*'数据-取费表'!B41/(1+'数据-取费表'!C42),0)</f>
        <v>309</v>
      </c>
      <c r="E52" s="3243" t="s">
        <v>1979</v>
      </c>
      <c r="F52" s="2746">
        <f>'数据-取费表'!B41</f>
        <v>5.6000000000000001E-2</v>
      </c>
      <c r="G52" s="2747"/>
      <c r="H52" s="2736"/>
      <c r="I52" s="1960"/>
      <c r="J52" s="3233">
        <v>1</v>
      </c>
      <c r="K52" s="3467" t="s">
        <v>1980</v>
      </c>
      <c r="L52" s="3467"/>
      <c r="M52" s="2717">
        <f ca="1">D48</f>
        <v>309</v>
      </c>
      <c r="N52" s="3233" t="str">
        <f>E48</f>
        <v>销售额×税（费）率</v>
      </c>
      <c r="O52" s="2718">
        <f>F48</f>
        <v>5.6000000000000001E-2</v>
      </c>
    </row>
    <row r="53" spans="1:35" ht="12" hidden="1" customHeight="1">
      <c r="A53" s="3244" t="s">
        <v>1981</v>
      </c>
      <c r="B53" s="3425" t="s">
        <v>2970</v>
      </c>
      <c r="C53" s="3426"/>
      <c r="D53" s="1218">
        <f ca="1">ROUND(D45*'数据-取费表'!B41/(1+'数据-取费表'!C42),0)</f>
        <v>309</v>
      </c>
      <c r="E53" s="3243" t="s">
        <v>1979</v>
      </c>
      <c r="F53" s="2746">
        <f>'数据-取费表'!B41</f>
        <v>5.6000000000000001E-2</v>
      </c>
      <c r="G53" s="2747"/>
      <c r="H53" s="2736"/>
      <c r="I53" s="1960"/>
      <c r="J53" s="3233">
        <v>2</v>
      </c>
      <c r="K53" s="3467" t="s">
        <v>1982</v>
      </c>
      <c r="L53" s="3467"/>
      <c r="M53" s="2717">
        <f t="shared" ref="M53:O54" ca="1" si="0">D55</f>
        <v>3</v>
      </c>
      <c r="N53" s="3233" t="str">
        <f t="shared" si="0"/>
        <v>销售额×税（费）率</v>
      </c>
      <c r="O53" s="2718">
        <f t="shared" si="0"/>
        <v>5.0000000000000001E-4</v>
      </c>
    </row>
    <row r="54" spans="1:35" ht="12" hidden="1" customHeight="1">
      <c r="A54" s="3244" t="s">
        <v>1983</v>
      </c>
      <c r="B54" s="3425" t="s">
        <v>2971</v>
      </c>
      <c r="C54" s="3426"/>
      <c r="D54" s="1218">
        <f ca="1">C68</f>
        <v>309</v>
      </c>
      <c r="E54" s="333" t="s">
        <v>1984</v>
      </c>
      <c r="F54" s="2746">
        <f>'数据-取费表'!B41</f>
        <v>5.6000000000000001E-2</v>
      </c>
      <c r="G54" s="2747"/>
      <c r="H54" s="2748"/>
      <c r="I54" s="1960"/>
      <c r="J54" s="3233">
        <v>3</v>
      </c>
      <c r="K54" s="3467" t="s">
        <v>1985</v>
      </c>
      <c r="L54" s="3467"/>
      <c r="M54" s="2717">
        <f t="shared" ca="1" si="0"/>
        <v>0</v>
      </c>
      <c r="N54" s="3233" t="str">
        <f t="shared" si="0"/>
        <v>增值额×税（费）率</v>
      </c>
      <c r="O54" s="2719" t="str">
        <f t="shared" si="0"/>
        <v>——</v>
      </c>
    </row>
    <row r="55" spans="1:35" ht="24" hidden="1" customHeight="1">
      <c r="A55" s="3414" t="s">
        <v>1986</v>
      </c>
      <c r="B55" s="3415"/>
      <c r="C55" s="3415"/>
      <c r="D55" s="3230">
        <f ca="1">IF(H55="个人住宅",0,ROUND(D45*I55,0))</f>
        <v>3</v>
      </c>
      <c r="E55" s="3243" t="s">
        <v>1987</v>
      </c>
      <c r="F55" s="2746">
        <f>IF(H55="正常",I55,"免征")</f>
        <v>5.0000000000000001E-4</v>
      </c>
      <c r="G55" s="2747"/>
      <c r="H55" s="2742" t="s">
        <v>3222</v>
      </c>
      <c r="I55" s="170">
        <f>'数据-取费表'!B49</f>
        <v>5.0000000000000001E-4</v>
      </c>
      <c r="J55" s="3233" t="str">
        <f>IF(H59="非个人房产","",4)</f>
        <v/>
      </c>
      <c r="K55" s="3467" t="str">
        <f>IF(H59="非个人房产","——","个人所得税")</f>
        <v>——</v>
      </c>
      <c r="L55" s="3467"/>
      <c r="M55" s="2720" t="str">
        <f>D59</f>
        <v>——</v>
      </c>
      <c r="N55" s="3234" t="str">
        <f>E59</f>
        <v>——</v>
      </c>
      <c r="O55" s="2721" t="str">
        <f>F59</f>
        <v>——</v>
      </c>
    </row>
    <row r="56" spans="1:35" ht="24.75" hidden="1">
      <c r="A56" s="3414" t="s">
        <v>1988</v>
      </c>
      <c r="B56" s="3415"/>
      <c r="C56" s="3415"/>
      <c r="D56" s="3230">
        <f ca="1">IF(H56="个人住宅",D57,D58)</f>
        <v>0</v>
      </c>
      <c r="E56" s="3243" t="s">
        <v>1989</v>
      </c>
      <c r="F56" s="2746" t="str">
        <f>IF(H56="正常",F58,"免征")</f>
        <v>——</v>
      </c>
      <c r="G56" s="2749" t="s">
        <v>1990</v>
      </c>
      <c r="H56" s="2750" t="s">
        <v>3222</v>
      </c>
      <c r="I56" s="1961"/>
      <c r="J56" s="3233" t="str">
        <f>IF(项目基本情况!K6="上海银行",IF(J55="",4,J55+1),"")</f>
        <v/>
      </c>
      <c r="K56" s="3490" t="str">
        <f>IF(项目基本情况!K6="上海银行","其他处置费用","")</f>
        <v/>
      </c>
      <c r="L56" s="3491"/>
      <c r="M56" s="2717" t="str">
        <f>IF(项目基本情况!K6="上海银行",M69,"")</f>
        <v/>
      </c>
      <c r="N56" s="3490" t="str">
        <f>IF(项目基本情况!K6="上海银行","包含处置中涉及的律师、诉讼、拍卖、评估等费用","")</f>
        <v/>
      </c>
      <c r="O56" s="3493"/>
    </row>
    <row r="57" spans="1:35" ht="12.75" hidden="1">
      <c r="A57" s="3244" t="s">
        <v>1966</v>
      </c>
      <c r="B57" s="3425" t="s">
        <v>1991</v>
      </c>
      <c r="C57" s="3426"/>
      <c r="D57" s="1743">
        <v>0</v>
      </c>
      <c r="E57" s="330" t="s">
        <v>1968</v>
      </c>
      <c r="F57" s="308"/>
      <c r="G57" s="2747"/>
      <c r="H57" s="2751"/>
      <c r="I57" s="1961"/>
      <c r="J57" s="3467">
        <f>IF(AND(J55="",J56=""),4,IF(项目基本情况!K6="上海银行",'结果表 (地下车库) '!J56+1,'结果表 (地下车库) '!J55+1))</f>
        <v>4</v>
      </c>
      <c r="K57" s="3467" t="s">
        <v>1992</v>
      </c>
      <c r="L57" s="2722" t="s">
        <v>1993</v>
      </c>
      <c r="M57" s="2723"/>
      <c r="N57" s="2724">
        <f ca="1">SUMIF(M52:M56,"&lt;9e307")</f>
        <v>312</v>
      </c>
      <c r="O57" s="2725"/>
      <c r="P57" s="2885">
        <f ca="1">N57/M49</f>
        <v>3.4463713686070915E-2</v>
      </c>
    </row>
    <row r="58" spans="1:35" ht="24.75" hidden="1">
      <c r="A58" s="3244" t="s">
        <v>1977</v>
      </c>
      <c r="B58" s="3425" t="s">
        <v>1994</v>
      </c>
      <c r="C58" s="3399"/>
      <c r="D58" s="3230">
        <f ca="1">IF(H58="转让取得",C81,C97)</f>
        <v>0</v>
      </c>
      <c r="E58" s="3243" t="s">
        <v>1989</v>
      </c>
      <c r="F58" s="308" t="s">
        <v>34</v>
      </c>
      <c r="G58" s="2747"/>
      <c r="H58" s="2750" t="s">
        <v>3223</v>
      </c>
      <c r="I58" s="1961"/>
      <c r="J58" s="3467"/>
      <c r="K58" s="3467"/>
      <c r="L58" s="2722" t="s">
        <v>1995</v>
      </c>
      <c r="M58" s="2726"/>
      <c r="N58" s="2727" t="str">
        <f ca="1">NUMBERSTRING(INT(N57*10000),2)&amp;"元整"</f>
        <v>叁佰壹拾贰万元整</v>
      </c>
      <c r="O58" s="2728"/>
    </row>
    <row r="59" spans="1:35" ht="24.75" hidden="1" thickBot="1">
      <c r="A59" s="3470" t="s">
        <v>1996</v>
      </c>
      <c r="B59" s="3471"/>
      <c r="C59" s="3471"/>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68">
        <f>J57+1</f>
        <v>5</v>
      </c>
      <c r="K59" s="3467" t="s">
        <v>1997</v>
      </c>
      <c r="L59" s="3233" t="s">
        <v>1993</v>
      </c>
      <c r="M59" s="2729"/>
      <c r="N59" s="2730">
        <f ca="1">M49-N57</f>
        <v>8741</v>
      </c>
      <c r="O59" s="2731"/>
    </row>
    <row r="60" spans="1:35" ht="12" hidden="1" customHeight="1">
      <c r="A60" s="1962"/>
      <c r="B60" s="1900"/>
      <c r="C60" s="1900"/>
      <c r="D60" s="1900"/>
      <c r="E60" s="1731"/>
      <c r="F60" s="1961"/>
      <c r="G60" s="1961"/>
      <c r="H60" s="1963"/>
      <c r="I60" s="134"/>
      <c r="J60" s="3469"/>
      <c r="K60" s="3467"/>
      <c r="L60" s="2722" t="s">
        <v>1995</v>
      </c>
      <c r="M60" s="2726"/>
      <c r="N60" s="2727" t="str">
        <f ca="1">NUMBERSTRING(INT(N59*10000),2)&amp;"元整"</f>
        <v>捌仟柒佰肆拾壹万元整</v>
      </c>
      <c r="O60" s="2728"/>
    </row>
    <row r="61" spans="1:35" ht="13.5" hidden="1" thickBot="1">
      <c r="A61" s="3412" t="s">
        <v>1998</v>
      </c>
      <c r="B61" s="3412"/>
      <c r="C61" s="3412"/>
      <c r="D61" s="3412"/>
      <c r="E61" s="3412"/>
      <c r="F61" s="1961"/>
      <c r="G61" s="1961"/>
      <c r="H61" s="1963"/>
      <c r="I61" s="134"/>
      <c r="J61" s="3233">
        <f>J59+1</f>
        <v>6</v>
      </c>
      <c r="K61" s="3467" t="s">
        <v>1999</v>
      </c>
      <c r="L61" s="3467"/>
      <c r="M61" s="2732"/>
      <c r="N61" s="2733">
        <f ca="1">ROUND(N59*10000/'数据-汇总表'!E3,0)</f>
        <v>1245</v>
      </c>
      <c r="O61" s="2734"/>
    </row>
    <row r="62" spans="1:35" ht="12.75" hidden="1">
      <c r="A62" s="3430" t="s">
        <v>2000</v>
      </c>
      <c r="B62" s="3431"/>
      <c r="C62" s="3238"/>
      <c r="D62" s="3238" t="s">
        <v>2001</v>
      </c>
      <c r="E62" s="171" t="s">
        <v>2002</v>
      </c>
      <c r="F62" s="1961"/>
      <c r="G62" s="1961"/>
      <c r="H62" s="1963"/>
      <c r="I62" s="134"/>
    </row>
    <row r="63" spans="1:35" ht="12.75" hidden="1">
      <c r="A63" s="178" t="s">
        <v>775</v>
      </c>
      <c r="B63" s="172" t="s">
        <v>2003</v>
      </c>
      <c r="C63" s="2756">
        <f ca="1">ROUND((C64+C65)/(1+'数据-取费表'!C42),0)</f>
        <v>5518</v>
      </c>
      <c r="D63" s="172"/>
      <c r="E63" s="173"/>
      <c r="F63" s="1961"/>
      <c r="G63" s="1961"/>
      <c r="H63" s="1963"/>
      <c r="I63" s="134"/>
      <c r="J63" s="3492" t="s">
        <v>2004</v>
      </c>
      <c r="K63" s="3231" t="s">
        <v>2005</v>
      </c>
      <c r="L63" s="3231">
        <f ca="1">IF(M49&gt;10000,M49*0.5%,IF(AND(M49&gt;1000,M49&lt;=10000),M49*1%,IF(AND(M49&gt;100,M49&lt;=1000),M49*3%,IF(AND(M49&gt;10,M49&lt;=100),M49*5%,M49*8%))))</f>
        <v>90.53</v>
      </c>
      <c r="M63" s="308">
        <f ca="1">ROUND(L63,1)</f>
        <v>90.5</v>
      </c>
      <c r="N63" s="2735"/>
      <c r="Z63" s="1905"/>
      <c r="AI63" s="1906"/>
    </row>
    <row r="64" spans="1:35" ht="14.25" hidden="1" customHeight="1">
      <c r="A64" s="174" t="s">
        <v>770</v>
      </c>
      <c r="B64" s="175" t="s">
        <v>2006</v>
      </c>
      <c r="C64" s="2757">
        <f ca="1">D45</f>
        <v>5794</v>
      </c>
      <c r="D64" s="175" t="s">
        <v>32</v>
      </c>
      <c r="E64" s="177"/>
      <c r="F64" s="1961"/>
      <c r="G64" s="1961"/>
      <c r="H64" s="1963"/>
      <c r="I64" s="134"/>
      <c r="J64" s="3492"/>
      <c r="K64" s="3231" t="s">
        <v>2007</v>
      </c>
      <c r="L64" s="3231">
        <f ca="1">IF(M49&gt;2000,M49*0.5%,IF(AND(M49&gt;1000,M49&lt;=2000),M49*0.6%,IF(AND(M49&gt;500,M49&lt;=1000),M49*0.7%,IF(AND(M49&gt;200,M49&lt;=500),M49*0.8%,IF(AND(M49&gt;100,M49&lt;=200),M49*0.9%,IF(AND(M49&gt;50,M49&lt;=100),M49*1%,IF(AND(M49&gt;20,M49&lt;=50),M49*1.5%,IF(AND(M49&gt;10,M49&lt;=20),M49*2%,IF(AND(M49&gt;1,M49&lt;=10),M49*2.5%)))))))))</f>
        <v>45.265000000000001</v>
      </c>
      <c r="M64" s="308">
        <f t="shared" ref="M64:M65" ca="1" si="1">ROUND(L64,1)</f>
        <v>45.3</v>
      </c>
      <c r="N64" s="2736" t="s">
        <v>2008</v>
      </c>
      <c r="Z64" s="1905"/>
      <c r="AI64" s="1906"/>
    </row>
    <row r="65" spans="1:35" ht="14.25" hidden="1" customHeight="1">
      <c r="A65" s="174" t="s">
        <v>771</v>
      </c>
      <c r="B65" s="175" t="s">
        <v>2009</v>
      </c>
      <c r="C65" s="2758"/>
      <c r="D65" s="175"/>
      <c r="E65" s="177"/>
      <c r="F65" s="1961"/>
      <c r="G65" s="1961"/>
      <c r="H65" s="1963"/>
      <c r="I65" s="134"/>
      <c r="J65" s="3492"/>
      <c r="K65" s="3231" t="s">
        <v>2010</v>
      </c>
      <c r="L65" s="3231">
        <f ca="1">IF(M49&gt;1000,M49*0.1%,IF(AND(M49&gt;500,M49&lt;=1000),M49*0.5%,IF(AND(M49&gt;50,M49&lt;=500),M49*1%,IF(AND(M49&gt;1,M49&lt;=50),M49*1.5%))))</f>
        <v>9.0530000000000008</v>
      </c>
      <c r="M65" s="308">
        <f t="shared" ca="1" si="1"/>
        <v>9.1</v>
      </c>
      <c r="N65" s="2736" t="s">
        <v>2008</v>
      </c>
      <c r="Z65" s="1905"/>
      <c r="AI65" s="1906"/>
    </row>
    <row r="66" spans="1:35" ht="14.25" hidden="1" customHeight="1">
      <c r="A66" s="178" t="s">
        <v>772</v>
      </c>
      <c r="B66" s="179" t="s">
        <v>2011</v>
      </c>
      <c r="C66" s="2759"/>
      <c r="D66" s="179" t="s">
        <v>32</v>
      </c>
      <c r="E66" s="1477" t="s">
        <v>1277</v>
      </c>
      <c r="F66" s="1961"/>
      <c r="G66" s="1961"/>
      <c r="H66" s="1963"/>
      <c r="I66" s="134"/>
      <c r="J66" s="3492"/>
      <c r="K66" s="3231" t="s">
        <v>2012</v>
      </c>
      <c r="L66" s="3231">
        <f ca="1">M49*0.5%</f>
        <v>45.265000000000001</v>
      </c>
      <c r="M66" s="308">
        <f ca="1">IF(L66&gt;0.5,0.5,ROUND(L66,0))</f>
        <v>0.5</v>
      </c>
      <c r="N66" s="2736" t="s">
        <v>2013</v>
      </c>
      <c r="Z66" s="1905"/>
      <c r="AI66" s="1906"/>
    </row>
    <row r="67" spans="1:35" ht="14.25" hidden="1" customHeight="1">
      <c r="A67" s="178" t="s">
        <v>773</v>
      </c>
      <c r="B67" s="179" t="s">
        <v>2014</v>
      </c>
      <c r="C67" s="2760">
        <f ca="1">C63-C66</f>
        <v>5518</v>
      </c>
      <c r="D67" s="175" t="s">
        <v>32</v>
      </c>
      <c r="E67" s="177"/>
      <c r="F67" s="1961"/>
      <c r="G67" s="1961"/>
      <c r="H67" s="1963"/>
      <c r="I67" s="134"/>
      <c r="J67" s="3492"/>
      <c r="K67" s="3231" t="s">
        <v>2015</v>
      </c>
      <c r="L67" s="3231">
        <f ca="1">IF(M49&gt;=10000,(8.25+(M49-10000)*0.01%),IF(AND(M49&gt;=8000,M49&lt;10000),(7.85+(M49-8000)*0.02%),IF(AND(M49&gt;=5000,M49&lt;8000),(6.65+(M49-5000)*0.04%),IF(AND(M49&gt;=2000,M49&lt;5000),(4.25+(PM49-2000)*0.08%),IF(AND(M49&gt;=1000,M49&lt;2000),(2.75+(M49-1000)*0.15%),IF(AND(M49&gt;=100,M49&lt;1000),(0.5+(M49-100)*0.25%),IF(AND(M49&gt;0,M49&lt;100),M49*0.5%)))))))</f>
        <v>8.0605999999999991</v>
      </c>
      <c r="M67" s="308">
        <f ca="1">ROUND(L67*0.9,1)</f>
        <v>7.3</v>
      </c>
      <c r="N67" s="2735"/>
      <c r="Z67" s="1905"/>
      <c r="AI67" s="1906"/>
    </row>
    <row r="68" spans="1:35" ht="14.25" hidden="1" customHeight="1" thickBot="1">
      <c r="A68" s="181" t="s">
        <v>774</v>
      </c>
      <c r="B68" s="182" t="s">
        <v>2016</v>
      </c>
      <c r="C68" s="2761">
        <f ca="1">IF(C67&lt;=0,0,ROUND(C67*D68,0))</f>
        <v>309</v>
      </c>
      <c r="D68" s="2762">
        <f>'数据-取费表'!B41</f>
        <v>5.6000000000000001E-2</v>
      </c>
      <c r="E68" s="184"/>
      <c r="F68" s="1961"/>
      <c r="G68" s="1961"/>
      <c r="H68" s="1963"/>
      <c r="I68" s="134"/>
      <c r="J68" s="3492"/>
      <c r="K68" s="3231" t="s">
        <v>2017</v>
      </c>
      <c r="L68" s="3231">
        <f ca="1">IF(M49&gt;10000,M49*0.5%,IF(AND(M49&gt;5000,M49&lt;=10000),M49*1%,IF(AND(M49&gt;1000,M49&lt;=5000),M49*2%,IF(AND(M49&gt;200,M49&lt;=1000),M49*3%,M49*5%))))</f>
        <v>90.53</v>
      </c>
      <c r="M68" s="308">
        <f ca="1">ROUND(L68,1)</f>
        <v>90.5</v>
      </c>
      <c r="N68" s="2735"/>
      <c r="Z68" s="1905"/>
      <c r="AI68" s="1906"/>
    </row>
    <row r="69" spans="1:35" s="1925" customFormat="1" ht="16.5" hidden="1" customHeight="1">
      <c r="A69" s="1964"/>
      <c r="B69" s="1965"/>
      <c r="C69" s="1966"/>
      <c r="D69" s="1967"/>
      <c r="E69" s="1968"/>
      <c r="F69" s="1731"/>
      <c r="G69" s="1731"/>
      <c r="H69" s="1730"/>
      <c r="I69" s="1900"/>
      <c r="J69" s="3492"/>
      <c r="K69" s="3231" t="s">
        <v>2018</v>
      </c>
      <c r="L69" s="3231"/>
      <c r="M69" s="308">
        <f ca="1">ROUND(SUM(M63:M68),0)</f>
        <v>243</v>
      </c>
      <c r="N69" s="2737">
        <f ca="1">M69/M49</f>
        <v>2.6841930851651385E-2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hidden="1" thickBot="1">
      <c r="A70" s="3451" t="s">
        <v>2019</v>
      </c>
      <c r="B70" s="3452"/>
      <c r="C70" s="3452"/>
      <c r="D70" s="3452"/>
      <c r="E70" s="3452"/>
      <c r="F70" s="3452"/>
      <c r="G70" s="3452"/>
      <c r="H70" s="3452"/>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hidden="1">
      <c r="A71" s="3430" t="s">
        <v>2000</v>
      </c>
      <c r="B71" s="3431"/>
      <c r="C71" s="3238"/>
      <c r="D71" s="3238"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hidden="1">
      <c r="A72" s="178" t="s">
        <v>775</v>
      </c>
      <c r="B72" s="179" t="s">
        <v>2020</v>
      </c>
      <c r="C72" s="2760">
        <f ca="1">ROUND(D45/(1+'数据-取费表'!C42),0)</f>
        <v>5518</v>
      </c>
      <c r="D72" s="175" t="s">
        <v>32</v>
      </c>
      <c r="E72" s="3240"/>
      <c r="F72" s="3239"/>
      <c r="G72" s="3239"/>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hidden="1">
      <c r="A73" s="178" t="s">
        <v>772</v>
      </c>
      <c r="B73" s="168" t="s">
        <v>2021</v>
      </c>
      <c r="C73" s="2760">
        <f ca="1">C74+C78</f>
        <v>33</v>
      </c>
      <c r="D73" s="175" t="s">
        <v>32</v>
      </c>
      <c r="E73" s="3240"/>
      <c r="F73" s="3239"/>
      <c r="G73" s="3239"/>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3240"/>
      <c r="F74" s="3239"/>
      <c r="G74" s="3239"/>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25" t="s">
        <v>2027</v>
      </c>
      <c r="F76" s="3399"/>
      <c r="G76" s="3399"/>
      <c r="H76" s="3450"/>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3230" t="s">
        <v>2029</v>
      </c>
      <c r="F77" s="192"/>
      <c r="G77" s="1975"/>
      <c r="H77" s="324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33</v>
      </c>
      <c r="D78" s="2769">
        <f>'数据-取费表'!B43</f>
        <v>6.000000000000001E-3</v>
      </c>
      <c r="E78" s="3409" t="s">
        <v>2031</v>
      </c>
      <c r="F78" s="3410"/>
      <c r="G78" s="3410"/>
      <c r="H78" s="3419"/>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hidden="1">
      <c r="A79" s="178" t="s">
        <v>773</v>
      </c>
      <c r="B79" s="179" t="s">
        <v>2032</v>
      </c>
      <c r="C79" s="2760">
        <f ca="1">C72-C73</f>
        <v>5485</v>
      </c>
      <c r="D79" s="175" t="s">
        <v>32</v>
      </c>
      <c r="E79" s="3240"/>
      <c r="F79" s="3239"/>
      <c r="G79" s="3239"/>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166.21212121212122</v>
      </c>
      <c r="D80" s="175" t="s">
        <v>32</v>
      </c>
      <c r="E80" s="3230" t="str">
        <f ca="1">IF(C80&gt;=200%,"增值额超过扣除项目金额200%",IF(C80&gt;=100%,"增值额超过扣除项目金额100%，未超过200%",IF(C80&gt;=50%,"增值额超过扣除项目金额50%，未超过100%",IF(C80&lt;50%,"增值额未超过扣除项目金额50%"))))</f>
        <v>增值额超过扣除项目金额200%</v>
      </c>
      <c r="F80" s="3239"/>
      <c r="G80" s="3239"/>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hidden="1" thickBot="1">
      <c r="A81" s="181" t="s">
        <v>781</v>
      </c>
      <c r="B81" s="182" t="s">
        <v>2034</v>
      </c>
      <c r="C81" s="2771">
        <f ca="1">ROUND(IF(C79&lt;=0,0,IF(C80&gt;=200%,C79*60%-C73*35%,IF(C80&gt;=100%,C79*50%-C73*15%,IF(C80&gt;=50%,C79*40%-C73*5%,IF(C80&lt;50%,C79*30%,0))))),0)</f>
        <v>3279</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hidden="1" thickBot="1">
      <c r="A83" s="3451" t="s">
        <v>2035</v>
      </c>
      <c r="B83" s="3452"/>
      <c r="C83" s="3452"/>
      <c r="D83" s="3452"/>
      <c r="E83" s="3452"/>
      <c r="F83" s="3452"/>
      <c r="G83" s="3452"/>
      <c r="H83" s="3452"/>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hidden="1">
      <c r="A84" s="3430" t="s">
        <v>2000</v>
      </c>
      <c r="B84" s="3431"/>
      <c r="C84" s="3238"/>
      <c r="D84" s="3238"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hidden="1">
      <c r="A85" s="178" t="s">
        <v>775</v>
      </c>
      <c r="B85" s="179" t="s">
        <v>2020</v>
      </c>
      <c r="C85" s="2760">
        <f ca="1">ROUND(D45/(1+'数据-取费表'!C42),0)</f>
        <v>5518</v>
      </c>
      <c r="D85" s="175" t="s">
        <v>32</v>
      </c>
      <c r="E85" s="3240"/>
      <c r="F85" s="3239"/>
      <c r="G85" s="3239"/>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hidden="1">
      <c r="A86" s="178" t="s">
        <v>772</v>
      </c>
      <c r="B86" s="168" t="s">
        <v>2021</v>
      </c>
      <c r="C86" s="2760">
        <f ca="1">IF(H88="仅含出让金",C87+C90+C91+C92+C93+C94,C87+C91+C92+C93+C94)</f>
        <v>131910.17170000001</v>
      </c>
      <c r="D86" s="2773"/>
      <c r="E86" s="3240"/>
      <c r="F86" s="3239"/>
      <c r="G86" s="3239"/>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hidden="1">
      <c r="A87" s="174" t="s">
        <v>770</v>
      </c>
      <c r="B87" s="175" t="s">
        <v>2036</v>
      </c>
      <c r="C87" s="2768">
        <f>C88+C89</f>
        <v>21444.171699999999</v>
      </c>
      <c r="D87" s="2769"/>
      <c r="E87" s="3235"/>
      <c r="F87" s="3236"/>
      <c r="G87" s="3236"/>
      <c r="H87" s="323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hidden="1">
      <c r="A88" s="174" t="s">
        <v>776</v>
      </c>
      <c r="B88" s="175" t="s">
        <v>2037</v>
      </c>
      <c r="C88" s="2774">
        <f>信息!B22+信息!E22</f>
        <v>20809.171699999999</v>
      </c>
      <c r="D88" s="2769"/>
      <c r="E88" s="199" t="s">
        <v>2038</v>
      </c>
      <c r="F88" s="3236"/>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hidden="1">
      <c r="A89" s="174" t="s">
        <v>777</v>
      </c>
      <c r="B89" s="175" t="s">
        <v>2028</v>
      </c>
      <c r="C89" s="2768">
        <f>ROUND(C88*D89,0)</f>
        <v>635</v>
      </c>
      <c r="D89" s="2769">
        <f>'数据-取费表'!B48+'数据-取费表'!B49</f>
        <v>3.0499999999999999E-2</v>
      </c>
      <c r="E89" s="199" t="s">
        <v>2040</v>
      </c>
      <c r="F89" s="3236"/>
      <c r="G89" s="3236"/>
      <c r="H89" s="323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hidden="1">
      <c r="A90" s="174" t="s">
        <v>771</v>
      </c>
      <c r="B90" s="175" t="s">
        <v>2041</v>
      </c>
      <c r="C90" s="2774"/>
      <c r="D90" s="2769"/>
      <c r="E90" s="199" t="str">
        <f>IF(H88="-","土地取得成本中已包含该笔费用"," ")</f>
        <v xml:space="preserve"> </v>
      </c>
      <c r="F90" s="3236"/>
      <c r="G90" s="3494" t="s">
        <v>2810</v>
      </c>
      <c r="H90" s="3495"/>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2042</v>
      </c>
      <c r="B91" s="175" t="s">
        <v>2043</v>
      </c>
      <c r="C91" s="2768">
        <f>IF(H91="——",成本法!C33,I91)</f>
        <v>80000</v>
      </c>
      <c r="D91" s="2769"/>
      <c r="E91" s="3409" t="s">
        <v>2044</v>
      </c>
      <c r="F91" s="3410"/>
      <c r="G91" s="341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2045</v>
      </c>
      <c r="B92" s="175" t="s">
        <v>2046</v>
      </c>
      <c r="C92" s="2768">
        <f>ROUND((C87+C90+C91)*D92,0)</f>
        <v>10144</v>
      </c>
      <c r="D92" s="2775">
        <v>0.1</v>
      </c>
      <c r="E92" s="3409" t="s">
        <v>2047</v>
      </c>
      <c r="F92" s="3410"/>
      <c r="G92" s="3410"/>
      <c r="H92" s="3419"/>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2048</v>
      </c>
      <c r="B93" s="175" t="s">
        <v>2030</v>
      </c>
      <c r="C93" s="2768">
        <f ca="1">ROUND(D45*D93/(1+'数据-取费表'!C42),0)</f>
        <v>33</v>
      </c>
      <c r="D93" s="2769">
        <f>'数据-取费表'!B43</f>
        <v>6.000000000000001E-3</v>
      </c>
      <c r="E93" s="3409" t="s">
        <v>2031</v>
      </c>
      <c r="F93" s="3410"/>
      <c r="G93" s="3410"/>
      <c r="H93" s="3419"/>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2049</v>
      </c>
      <c r="B94" s="175" t="s">
        <v>2050</v>
      </c>
      <c r="C94" s="2774">
        <f>ROUND((C87+C90+C91)*D94,0)</f>
        <v>20289</v>
      </c>
      <c r="D94" s="2769">
        <v>0.2</v>
      </c>
      <c r="E94" s="3420" t="s">
        <v>2051</v>
      </c>
      <c r="F94" s="3421"/>
      <c r="G94" s="3421"/>
      <c r="H94" s="3422"/>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hidden="1">
      <c r="A95" s="178" t="s">
        <v>773</v>
      </c>
      <c r="B95" s="179" t="s">
        <v>2032</v>
      </c>
      <c r="C95" s="2760">
        <f ca="1">ROUND(C85-C86,0)</f>
        <v>-126392</v>
      </c>
      <c r="D95" s="175" t="s">
        <v>32</v>
      </c>
      <c r="E95" s="3240"/>
      <c r="F95" s="3239"/>
      <c r="G95" s="3239"/>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2033</v>
      </c>
      <c r="C96" s="2770">
        <f ca="1">IF(C95&lt;=0,0,C95/C86)</f>
        <v>0</v>
      </c>
      <c r="D96" s="175" t="s">
        <v>32</v>
      </c>
      <c r="E96" s="3230" t="str">
        <f ca="1">IF(C96&gt;=200%,"增值额超过扣除项目金额200%",IF(C96&gt;=100%,"增值额超过扣除项目金额100%，未超过200%",IF(C96&gt;=50%,"增值额超过扣除项目金额50%，未超过100%",IF(C96&lt;50%,"增值额未超过扣除项目金额50%"))))</f>
        <v>增值额未超过扣除项目金额50%</v>
      </c>
      <c r="F96" s="3239"/>
      <c r="G96" s="3239"/>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hidden="1"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hidden="1" customHeight="1" thickBot="1">
      <c r="A99" s="1953" t="s">
        <v>2052</v>
      </c>
      <c r="B99" s="1900"/>
      <c r="C99" s="1900"/>
      <c r="D99" s="1900"/>
      <c r="E99" s="1731"/>
      <c r="F99" s="1731"/>
      <c r="G99" s="1731"/>
      <c r="H99" s="1730"/>
      <c r="I99" s="134"/>
    </row>
    <row r="100" spans="1:35" ht="18.75" hidden="1" customHeight="1">
      <c r="A100" s="3388" t="s">
        <v>2053</v>
      </c>
      <c r="B100" s="3389"/>
      <c r="C100" s="3389"/>
      <c r="D100" s="3411"/>
      <c r="E100" s="3389" t="s">
        <v>2054</v>
      </c>
      <c r="F100" s="3389"/>
      <c r="G100" s="3389"/>
      <c r="H100" s="3411"/>
      <c r="I100" s="134"/>
    </row>
    <row r="101" spans="1:35" ht="18.75" hidden="1" customHeight="1">
      <c r="A101" s="3475" t="s">
        <v>2055</v>
      </c>
      <c r="B101" s="3476"/>
      <c r="C101" s="2777" t="str">
        <f>C4</f>
        <v>成本法 (地下车库)</v>
      </c>
      <c r="D101" s="2778" t="str">
        <f>D4</f>
        <v>收益法 (地下车库)</v>
      </c>
      <c r="E101" s="3489" t="s">
        <v>2056</v>
      </c>
      <c r="F101" s="3443"/>
      <c r="G101" s="1980" t="s">
        <v>2057</v>
      </c>
      <c r="H101" s="2787">
        <f ca="1">H118</f>
        <v>9053</v>
      </c>
      <c r="I101" s="134"/>
    </row>
    <row r="102" spans="1:35" ht="18.75" hidden="1" customHeight="1">
      <c r="A102" s="3445" t="s">
        <v>2058</v>
      </c>
      <c r="B102" s="2776" t="s">
        <v>2057</v>
      </c>
      <c r="C102" s="2777">
        <f ca="1">C19</f>
        <v>14348</v>
      </c>
      <c r="D102" s="2778">
        <f ca="1">D19</f>
        <v>6784</v>
      </c>
      <c r="E102" s="3489"/>
      <c r="F102" s="3443"/>
      <c r="G102" s="1980" t="s">
        <v>2059</v>
      </c>
      <c r="H102" s="2747">
        <f ca="1">I118</f>
        <v>8713</v>
      </c>
      <c r="I102" s="134"/>
    </row>
    <row r="103" spans="1:35" ht="42.75" hidden="1" customHeight="1">
      <c r="A103" s="3445"/>
      <c r="B103" s="2776" t="s">
        <v>2059</v>
      </c>
      <c r="C103" s="2779">
        <f ca="1">C20</f>
        <v>13809</v>
      </c>
      <c r="D103" s="2780">
        <f ca="1">D20</f>
        <v>6529</v>
      </c>
      <c r="E103" s="3483" t="s">
        <v>2060</v>
      </c>
      <c r="F103" s="3484"/>
      <c r="G103" s="1981" t="s">
        <v>2061</v>
      </c>
      <c r="H103" s="2787">
        <f>IF(D36="正常操作",H104+H105+H106,H105+H106)</f>
        <v>0</v>
      </c>
      <c r="I103" s="134"/>
    </row>
    <row r="104" spans="1:35" ht="18.75" hidden="1" customHeight="1">
      <c r="A104" s="3445" t="s">
        <v>2062</v>
      </c>
      <c r="B104" s="2781" t="s">
        <v>2057</v>
      </c>
      <c r="C104" s="2782">
        <f ca="1">H118</f>
        <v>9053</v>
      </c>
      <c r="D104" s="2783"/>
      <c r="E104" s="1827" t="s">
        <v>2063</v>
      </c>
      <c r="F104" s="1819"/>
      <c r="G104" s="1981" t="s">
        <v>2061</v>
      </c>
      <c r="H104" s="2788">
        <f>IF(D36="同一抵押权人同一抵押物续贷",C36&amp;"（续贷，未扣减，详见特别提示）",C36)</f>
        <v>0</v>
      </c>
      <c r="I104" s="134"/>
    </row>
    <row r="105" spans="1:35" ht="18.75" hidden="1" customHeight="1" thickBot="1">
      <c r="A105" s="3446"/>
      <c r="B105" s="2784" t="s">
        <v>2059</v>
      </c>
      <c r="C105" s="2785">
        <f ca="1">I118</f>
        <v>8713</v>
      </c>
      <c r="D105" s="2786"/>
      <c r="E105" s="1827" t="s">
        <v>2064</v>
      </c>
      <c r="F105" s="1819"/>
      <c r="G105" s="1981" t="s">
        <v>2061</v>
      </c>
      <c r="H105" s="2789">
        <f>C37</f>
        <v>0</v>
      </c>
      <c r="I105" s="134"/>
    </row>
    <row r="106" spans="1:35" ht="18.75" hidden="1" customHeight="1">
      <c r="A106" s="1900" t="s">
        <v>2065</v>
      </c>
      <c r="B106" s="1900"/>
      <c r="C106" s="1900"/>
      <c r="D106" s="1900"/>
      <c r="E106" s="1982" t="s">
        <v>2066</v>
      </c>
      <c r="F106" s="1819"/>
      <c r="G106" s="1981" t="s">
        <v>2061</v>
      </c>
      <c r="H106" s="2789">
        <f>C38</f>
        <v>0</v>
      </c>
      <c r="I106" s="134"/>
    </row>
    <row r="107" spans="1:35" ht="18.75" hidden="1" customHeight="1">
      <c r="A107" s="134"/>
      <c r="B107" s="134"/>
      <c r="C107" s="134"/>
      <c r="D107" s="134"/>
      <c r="E107" s="3442" t="str">
        <f>IF(项目基本情况!E8="已注销","——","3.房地产抵押价值")</f>
        <v>3.房地产抵押价值</v>
      </c>
      <c r="F107" s="3443"/>
      <c r="G107" s="1980" t="s">
        <v>2057</v>
      </c>
      <c r="H107" s="2787">
        <f ca="1">IF(E107="——","——",H101-H103)</f>
        <v>9053</v>
      </c>
      <c r="I107" s="134"/>
    </row>
    <row r="108" spans="1:35" ht="18.75" hidden="1" customHeight="1">
      <c r="A108" s="134"/>
      <c r="B108" s="134"/>
      <c r="C108" s="134"/>
      <c r="D108" s="134"/>
      <c r="E108" s="3442"/>
      <c r="F108" s="3443"/>
      <c r="G108" s="1980" t="s">
        <v>2059</v>
      </c>
      <c r="H108" s="2747">
        <f ca="1">ROUND(H107*10000/'数据-汇总表'!E3,0)</f>
        <v>1290</v>
      </c>
      <c r="I108" s="134"/>
    </row>
    <row r="109" spans="1:35" ht="18.75" hidden="1" customHeight="1">
      <c r="A109" s="134"/>
      <c r="B109" s="134"/>
      <c r="C109" s="134"/>
      <c r="D109" s="134"/>
      <c r="E109" s="3442" t="str">
        <f>IF(项目基本情况!E8="已注销及未注销","4.抵押担保权已注销时的房地产抵押价值",IF(项目基本情况!E8="已注销","3.抵押担保权已注销时的房地产抵押价值","——"))</f>
        <v>——</v>
      </c>
      <c r="F109" s="3443"/>
      <c r="G109" s="1980" t="s">
        <v>2057</v>
      </c>
      <c r="H109" s="2790" t="str">
        <f>IF(E109="——","——",H101-H105-H106)</f>
        <v>——</v>
      </c>
      <c r="I109" s="134"/>
    </row>
    <row r="110" spans="1:35" ht="18.75" hidden="1" customHeight="1">
      <c r="A110" s="134"/>
      <c r="B110" s="134"/>
      <c r="C110" s="134"/>
      <c r="D110" s="134"/>
      <c r="E110" s="3442"/>
      <c r="F110" s="3443"/>
      <c r="G110" s="1980" t="s">
        <v>2059</v>
      </c>
      <c r="H110" s="2747" t="str">
        <f>IF(H109="——","——",ROUND(H109*10000/'数据-汇总表'!E3,0))</f>
        <v>——</v>
      </c>
      <c r="I110" s="134"/>
    </row>
    <row r="111" spans="1:35" ht="18.75" hidden="1" customHeight="1">
      <c r="A111" s="134"/>
      <c r="B111" s="134"/>
      <c r="C111" s="134"/>
      <c r="D111" s="134"/>
      <c r="E111" s="3477" t="str">
        <f>IF(项目基本情况!E9="抵押净值",IF(OR(项目基本情况!E8="已注销",项目基本情况!E8="房地产抵押价值"),"4.抵押净值","5.抵押净值"),"——")</f>
        <v>4.抵押净值</v>
      </c>
      <c r="F111" s="3444"/>
      <c r="G111" s="1980" t="s">
        <v>2057</v>
      </c>
      <c r="H111" s="2787">
        <f ca="1">IF(E111="——","——",N59)</f>
        <v>8741</v>
      </c>
      <c r="I111" s="134"/>
    </row>
    <row r="112" spans="1:35" ht="18.75" hidden="1" customHeight="1" thickBot="1">
      <c r="A112" s="134"/>
      <c r="B112" s="134"/>
      <c r="C112" s="134"/>
      <c r="D112" s="134"/>
      <c r="E112" s="3478"/>
      <c r="F112" s="3479"/>
      <c r="G112" s="1983" t="s">
        <v>2059</v>
      </c>
      <c r="H112" s="2791">
        <f ca="1">IF(E111="——","——",N61)</f>
        <v>1245</v>
      </c>
      <c r="I112" s="134"/>
    </row>
    <row r="113" spans="1:27" ht="18.75" hidden="1" customHeight="1">
      <c r="A113" s="134"/>
      <c r="B113" s="134"/>
      <c r="C113" s="134"/>
      <c r="D113" s="134"/>
      <c r="E113" s="3447" t="s">
        <v>2065</v>
      </c>
      <c r="F113" s="3447"/>
      <c r="G113" s="3447"/>
      <c r="H113" s="3447"/>
      <c r="I113" s="134"/>
    </row>
    <row r="114" spans="1:27" ht="3.75" customHeight="1">
      <c r="A114" s="1900"/>
      <c r="B114" s="1900"/>
      <c r="C114" s="1900"/>
      <c r="D114" s="1900"/>
      <c r="E114" s="1962"/>
      <c r="F114" s="1962"/>
      <c r="G114" s="1962"/>
      <c r="H114" s="1962"/>
      <c r="I114" s="1900"/>
    </row>
    <row r="115" spans="1:27" ht="18.75" customHeight="1">
      <c r="A115" s="3460" t="s">
        <v>2067</v>
      </c>
      <c r="B115" s="3461"/>
      <c r="C115" s="3461"/>
      <c r="D115" s="3461"/>
      <c r="E115" s="3461"/>
      <c r="F115" s="3461"/>
      <c r="G115" s="3461"/>
      <c r="H115" s="3461"/>
      <c r="I115" s="3462"/>
    </row>
    <row r="116" spans="1:27" ht="27" customHeight="1">
      <c r="A116" s="3413" t="s">
        <v>2068</v>
      </c>
      <c r="B116" s="3448" t="s">
        <v>2069</v>
      </c>
      <c r="C116" s="3448" t="s">
        <v>2070</v>
      </c>
      <c r="D116" s="3464" t="s">
        <v>2071</v>
      </c>
      <c r="E116" s="3465"/>
      <c r="F116" s="3456" t="s">
        <v>2072</v>
      </c>
      <c r="G116" s="3456"/>
      <c r="H116" s="3413" t="s">
        <v>2073</v>
      </c>
      <c r="I116" s="3413"/>
    </row>
    <row r="117" spans="1:27" ht="18.75" customHeight="1">
      <c r="A117" s="3413"/>
      <c r="B117" s="3449"/>
      <c r="C117" s="3449"/>
      <c r="D117" s="3232" t="s">
        <v>2074</v>
      </c>
      <c r="E117" s="3232" t="s">
        <v>2075</v>
      </c>
      <c r="F117" s="3232" t="s">
        <v>2074</v>
      </c>
      <c r="G117" s="3232" t="s">
        <v>2076</v>
      </c>
      <c r="H117" s="3232" t="s">
        <v>2074</v>
      </c>
      <c r="I117" s="3232" t="s">
        <v>2076</v>
      </c>
    </row>
    <row r="118" spans="1:27" ht="24.75" customHeight="1">
      <c r="A118" s="2792" t="str">
        <f>项目基本情况!S2</f>
        <v>北京市房地产</v>
      </c>
      <c r="B118" s="3232">
        <f>M18</f>
        <v>10390.25</v>
      </c>
      <c r="C118" s="3232">
        <f>M19</f>
        <v>1413.93</v>
      </c>
      <c r="D118" s="3232">
        <f ca="1">ROUND(IF(D32="总价",C34,E118*B118/10000),0)</f>
        <v>1507</v>
      </c>
      <c r="E118" s="3232">
        <f ca="1">ROUND(IF(C33="自定义",IF(D32="楼面单价",C34,D118*10000/B118),I118-G118),0)</f>
        <v>1450</v>
      </c>
      <c r="F118" s="3232">
        <f ca="1">ROUND(IF(D32="总价",C35,G118*B118/10000),0)</f>
        <v>7546</v>
      </c>
      <c r="G118" s="3232">
        <f ca="1">ROUND(IF(D32="楼面单价",C35,F118*10000/B118),0)</f>
        <v>7263</v>
      </c>
      <c r="H118" s="3232">
        <f ca="1">ROUND(IF(D32="总价",C32,I118*B118/10000),0)</f>
        <v>9053</v>
      </c>
      <c r="I118" s="3232">
        <f ca="1">ROUND(IF(D32="楼面单价",C32,H118*10000/B118),0)</f>
        <v>8713</v>
      </c>
    </row>
    <row r="119" spans="1:27" ht="18.75" customHeight="1">
      <c r="A119" s="3413" t="s">
        <v>2077</v>
      </c>
      <c r="B119" s="3413"/>
      <c r="C119" s="3413"/>
      <c r="D119" s="3453" t="str">
        <f ca="1">NUMBERSTRING(INT(D118*10000),2)&amp;"元整"</f>
        <v>壹仟伍佰零柒万元整</v>
      </c>
      <c r="E119" s="3455"/>
      <c r="F119" s="3453" t="str">
        <f ca="1">NUMBERSTRING(INT(F118*10000),2)&amp;"元整"</f>
        <v>柒仟伍佰肆拾陆万元整</v>
      </c>
      <c r="G119" s="3455"/>
      <c r="H119" s="3453" t="str">
        <f ca="1">NUMBERSTRING(INT(H118*10000),2)&amp;"元整"</f>
        <v>玖仟零伍拾叁万元整</v>
      </c>
      <c r="I119" s="3455"/>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7" t="s">
        <v>2077</v>
      </c>
      <c r="B121" s="3458"/>
      <c r="C121" s="3459"/>
      <c r="D121" s="3453" t="str">
        <f>IF(D120=0,"零元整",NUMBERSTRING(INT(D120*10000),2)&amp;"元整")</f>
        <v>零元整</v>
      </c>
      <c r="E121" s="3454"/>
      <c r="F121" s="3454"/>
      <c r="G121" s="3454"/>
      <c r="H121" s="3454"/>
      <c r="I121" s="3455"/>
      <c r="AA121" s="734"/>
    </row>
    <row r="122" spans="1:27" ht="18.75" customHeight="1">
      <c r="A122" s="3444" t="str">
        <f>IF(项目基本情况!B9="房地产市场价值","",MID(E107,3,LEN(E107)-2))</f>
        <v>房地产抵押价值</v>
      </c>
      <c r="B122" s="3444"/>
      <c r="C122" s="3444"/>
      <c r="D122" s="3480">
        <f ca="1">H107</f>
        <v>9053</v>
      </c>
      <c r="E122" s="3481"/>
      <c r="F122" s="3481"/>
      <c r="G122" s="3481"/>
      <c r="H122" s="3481"/>
      <c r="I122" s="3482"/>
      <c r="AA122" s="734"/>
    </row>
    <row r="123" spans="1:27" ht="18.75" customHeight="1">
      <c r="A123" s="3413" t="s">
        <v>2077</v>
      </c>
      <c r="B123" s="3413"/>
      <c r="C123" s="3413"/>
      <c r="D123" s="3453" t="str">
        <f ca="1">NUMBERSTRING(INT(D122*10000),2)&amp;"元整"</f>
        <v>玖仟零伍拾叁万元整</v>
      </c>
      <c r="E123" s="3454"/>
      <c r="F123" s="3454"/>
      <c r="G123" s="3454"/>
      <c r="H123" s="3454"/>
      <c r="I123" s="3455"/>
      <c r="AA123" s="734"/>
    </row>
    <row r="124" spans="1:27" ht="18.75" customHeight="1">
      <c r="A124" s="3444" t="str">
        <f>IF(项目基本情况!B9="房地产市场价值","",MID(E109,3,LEN(E109)-2))</f>
        <v/>
      </c>
      <c r="B124" s="3444"/>
      <c r="C124" s="3444"/>
      <c r="D124" s="3480" t="str">
        <f>H109</f>
        <v>——</v>
      </c>
      <c r="E124" s="3481"/>
      <c r="F124" s="3481"/>
      <c r="G124" s="3481"/>
      <c r="H124" s="3481"/>
      <c r="I124" s="3482"/>
      <c r="AA124" s="734"/>
    </row>
    <row r="125" spans="1:27" ht="18.75" customHeight="1">
      <c r="A125" s="3413" t="s">
        <v>2077</v>
      </c>
      <c r="B125" s="3413"/>
      <c r="C125" s="3413"/>
      <c r="D125" s="3453" t="e">
        <f>NUMBERSTRING(INT(D124*10000),2)&amp;"元整"</f>
        <v>#VALUE!</v>
      </c>
      <c r="E125" s="3454"/>
      <c r="F125" s="3454"/>
      <c r="G125" s="3454"/>
      <c r="H125" s="3454"/>
      <c r="I125" s="3455"/>
      <c r="AA125" s="734"/>
    </row>
    <row r="126" spans="1:27" ht="18.75" customHeight="1">
      <c r="A126" s="3444" t="str">
        <f>IF(项目基本情况!B9="房地产市场价值","",MID(E111,3,LEN(E111)-2))</f>
        <v>抵押净值</v>
      </c>
      <c r="B126" s="3444"/>
      <c r="C126" s="3444"/>
      <c r="D126" s="3480">
        <f ca="1">H111</f>
        <v>8741</v>
      </c>
      <c r="E126" s="3481"/>
      <c r="F126" s="3481"/>
      <c r="G126" s="3481"/>
      <c r="H126" s="3481"/>
      <c r="I126" s="3482"/>
      <c r="AA126" s="734"/>
    </row>
    <row r="127" spans="1:27" ht="18.75" customHeight="1">
      <c r="A127" s="3413" t="s">
        <v>2077</v>
      </c>
      <c r="B127" s="3413"/>
      <c r="C127" s="3413"/>
      <c r="D127" s="3453" t="str">
        <f ca="1">NUMBERSTRING(INT(D126*10000),2)&amp;"元整"</f>
        <v>捌仟柒佰肆拾壹万元整</v>
      </c>
      <c r="E127" s="3454"/>
      <c r="F127" s="3454"/>
      <c r="G127" s="3454"/>
      <c r="H127" s="3454"/>
      <c r="I127" s="3455"/>
      <c r="AA127" s="734"/>
    </row>
    <row r="128" spans="1:27" ht="21.75" customHeight="1">
      <c r="A128" s="3463" t="s">
        <v>2078</v>
      </c>
      <c r="B128" s="3463"/>
      <c r="C128" s="3463"/>
      <c r="D128" s="3463"/>
      <c r="E128" s="3463"/>
      <c r="F128" s="3463"/>
      <c r="G128" s="3463"/>
      <c r="H128" s="3463"/>
      <c r="I128" s="3463"/>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xr:uid="{00000000-0002-0000-1F00-000000000000}">
      <formula1>估价方法</formula1>
    </dataValidation>
    <dataValidation type="list" allowBlank="1" showInputMessage="1" showErrorMessage="1" sqref="H55:H56" xr:uid="{00000000-0002-0000-1F00-000001000000}">
      <formula1>"个人住宅,正常"</formula1>
    </dataValidation>
    <dataValidation type="list" allowBlank="1" showInputMessage="1" showErrorMessage="1" sqref="H48" xr:uid="{00000000-0002-0000-1F00-000002000000}">
      <formula1>"情况1,情况2,情况3,情况4"</formula1>
    </dataValidation>
    <dataValidation type="list" allowBlank="1" showInputMessage="1" showErrorMessage="1" sqref="H58" xr:uid="{00000000-0002-0000-1F00-000003000000}">
      <formula1>"转让取得,自行开发建设"</formula1>
    </dataValidation>
    <dataValidation type="list" allowBlank="1" showInputMessage="1" showErrorMessage="1" sqref="D32" xr:uid="{00000000-0002-0000-1F00-000004000000}">
      <formula1>"总价,楼面单价"</formula1>
    </dataValidation>
    <dataValidation type="list" allowBlank="1" showInputMessage="1" showErrorMessage="1" sqref="F45" xr:uid="{00000000-0002-0000-1F00-000005000000}">
      <formula1>"100%,80%,60%,64%"</formula1>
    </dataValidation>
    <dataValidation type="list" allowBlank="1" showInputMessage="1" showErrorMessage="1" sqref="C33" xr:uid="{00000000-0002-0000-1F00-000006000000}">
      <formula1>"成本比率,收益比率,自定义"</formula1>
    </dataValidation>
    <dataValidation type="list" allowBlank="1" showInputMessage="1" showErrorMessage="1" sqref="H91" xr:uid="{00000000-0002-0000-1F00-000007000000}">
      <formula1>"企业提供（在右侧录入）,——"</formula1>
    </dataValidation>
    <dataValidation type="list" allowBlank="1" showInputMessage="1" showErrorMessage="1" sqref="H88" xr:uid="{00000000-0002-0000-1F00-000008000000}">
      <formula1>"仅含出让金,出让金+开发费"</formula1>
    </dataValidation>
    <dataValidation type="list" allowBlank="1" showInputMessage="1" showErrorMessage="1" sqref="F75" xr:uid="{00000000-0002-0000-1F00-000009000000}">
      <formula1>"买卖合同,购房发票"</formula1>
    </dataValidation>
    <dataValidation type="list" allowBlank="1" showInputMessage="1" showErrorMessage="1" sqref="D36" xr:uid="{00000000-0002-0000-1F00-00000A000000}">
      <formula1>"同一抵押权人同一抵押物续贷,注销后放款,正常操作"</formula1>
    </dataValidation>
    <dataValidation type="list" allowBlank="1" showInputMessage="1" showErrorMessage="1" sqref="B116:B117" xr:uid="{00000000-0002-0000-1F00-00000B000000}">
      <formula1>"建筑面积,规划建筑面积,（规划）建筑面积"</formula1>
    </dataValidation>
    <dataValidation type="list" allowBlank="1" showInputMessage="1" showErrorMessage="1" sqref="C116:C117" xr:uid="{00000000-0002-0000-1F00-00000C000000}">
      <formula1>"土地面积,分摊土地面积,（分摊）土地面积"</formula1>
    </dataValidation>
    <dataValidation type="list" allowBlank="1" showInputMessage="1" showErrorMessage="1" sqref="D116:E116" xr:uid="{00000000-0002-0000-1F00-00000D000000}">
      <formula1>"出让国有建设用地使用权价值,划拨国有建设用地使用权价值"</formula1>
    </dataValidation>
    <dataValidation type="list" allowBlank="1" showInputMessage="1" showErrorMessage="1" sqref="F116:G116" xr:uid="{00000000-0002-0000-1F00-00000E000000}">
      <formula1>"建筑物价值,在建建筑物价值,建筑物/在建建筑物价值"</formula1>
    </dataValidation>
    <dataValidation type="list" allowBlank="1" showInputMessage="1" showErrorMessage="1" sqref="C129" xr:uid="{00000000-0002-0000-1F00-00000F000000}">
      <formula1>"无,有"</formula1>
    </dataValidation>
    <dataValidation type="list" showInputMessage="1" showErrorMessage="1" sqref="G1" xr:uid="{00000000-0002-0000-1F00-000010000000}">
      <formula1>"现房,在建,土地,-"</formula1>
    </dataValidation>
    <dataValidation type="list" allowBlank="1" showInputMessage="1" showErrorMessage="1" sqref="I1" xr:uid="{00000000-0002-0000-1F00-000011000000}">
      <formula1>"项目局部,项目全部,——"</formula1>
    </dataValidation>
    <dataValidation type="list" allowBlank="1" showInputMessage="1" showErrorMessage="1" sqref="C1" xr:uid="{00000000-0002-0000-1F00-000012000000}">
      <formula1>项目类型</formula1>
    </dataValidation>
    <dataValidation type="list" allowBlank="1" showInputMessage="1" showErrorMessage="1" sqref="G77" xr:uid="{00000000-0002-0000-1F00-000013000000}">
      <formula1>"个人住宅,2016年5月1日前购买,2016年5月1日后购买"</formula1>
    </dataValidation>
    <dataValidation type="list" allowBlank="1" showInputMessage="1" showErrorMessage="1" sqref="E103" xr:uid="{00000000-0002-0000-1F00-000014000000}">
      <formula1>"2.估价师知悉的法定优先受偿款,2.估价师知悉的除抵押担保权以外的法定优先受偿款"</formula1>
    </dataValidation>
    <dataValidation type="list" allowBlank="1" showInputMessage="1" showErrorMessage="1" sqref="H59" xr:uid="{00000000-0002-0000-1F00-000015000000}">
      <formula1>"非个人房产,个人住宅（满五唯一有凭证）,个人其他（有凭证）,个人其他（无凭证）"</formula1>
    </dataValidation>
    <dataValidation type="list" allowBlank="1" showInputMessage="1" showErrorMessage="1" sqref="D92" xr:uid="{00000000-0002-0000-1F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I57"/>
  <sheetViews>
    <sheetView view="pageBreakPreview" zoomScale="90" zoomScaleNormal="70" zoomScaleSheetLayoutView="90" workbookViewId="0">
      <selection activeCell="I9" sqref="I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2" t="s">
        <v>48</v>
      </c>
      <c r="C1" s="204"/>
      <c r="D1" s="204"/>
      <c r="E1" s="204"/>
      <c r="F1" s="204"/>
      <c r="G1" s="1259">
        <f>MATCH(B1,'数据-取费表'!A6:A16,0)+5</f>
        <v>8</v>
      </c>
    </row>
    <row r="2" spans="1:9" s="206" customFormat="1" ht="18" customHeight="1">
      <c r="A2" s="207" t="s">
        <v>1299</v>
      </c>
      <c r="B2" s="208">
        <f ca="1">IF(D2="——",C52,C52-E2)</f>
        <v>14348</v>
      </c>
      <c r="C2" s="205" t="s">
        <v>2088</v>
      </c>
      <c r="D2" s="2006" t="s">
        <v>70</v>
      </c>
      <c r="E2" s="1301" t="e">
        <f ca="1">SUMIF(INDIRECT("'"&amp;G2&amp;"'"&amp;"!A:A"),"承租人权益价值",INDIRECT("'"&amp;G2&amp;"'"&amp;"!c:c"))</f>
        <v>#REF!</v>
      </c>
      <c r="F2" s="2007" t="s">
        <v>2088</v>
      </c>
      <c r="G2" s="2008"/>
    </row>
    <row r="3" spans="1:9" s="206" customFormat="1" ht="18" customHeight="1" thickBot="1">
      <c r="A3" s="209" t="s">
        <v>1300</v>
      </c>
      <c r="B3" s="210">
        <f ca="1">ROUND(B2*10000/(IF(B1="",'数据-汇总表'!E3,INDIRECT("'数据-取费表'!k"&amp;$G$1))),0)</f>
        <v>13809</v>
      </c>
      <c r="C3" s="205" t="s">
        <v>2090</v>
      </c>
      <c r="D3" s="205"/>
      <c r="E3" s="205"/>
      <c r="F3" s="205"/>
      <c r="G3" s="205"/>
    </row>
    <row r="4" spans="1:9" s="214" customFormat="1" ht="15.75">
      <c r="A4" s="211" t="s">
        <v>2091</v>
      </c>
      <c r="B4" s="212"/>
      <c r="C4" s="212"/>
      <c r="D4" s="212"/>
      <c r="E4" s="212"/>
      <c r="F4" s="212"/>
      <c r="G4" s="213"/>
    </row>
    <row r="5" spans="1:9" s="220" customFormat="1" ht="13.5" customHeight="1">
      <c r="A5" s="261" t="s">
        <v>782</v>
      </c>
      <c r="B5" s="216" t="s">
        <v>2093</v>
      </c>
      <c r="C5" s="217">
        <f ca="1">C6+C7+C8</f>
        <v>4898</v>
      </c>
      <c r="D5" s="217" t="s">
        <v>2094</v>
      </c>
      <c r="E5" s="218" t="s">
        <v>2095</v>
      </c>
      <c r="F5" s="218" t="s">
        <v>2096</v>
      </c>
      <c r="G5" s="219"/>
    </row>
    <row r="6" spans="1:9" s="220" customFormat="1" ht="13.5" customHeight="1">
      <c r="A6" s="885" t="s">
        <v>791</v>
      </c>
      <c r="B6" s="221" t="s">
        <v>2098</v>
      </c>
      <c r="C6" s="3294">
        <v>4551</v>
      </c>
      <c r="D6" s="223"/>
      <c r="E6" s="224"/>
      <c r="F6" s="224"/>
      <c r="G6" s="225"/>
    </row>
    <row r="7" spans="1:9" s="220" customFormat="1" ht="13.5" customHeight="1">
      <c r="A7" s="885" t="s">
        <v>792</v>
      </c>
      <c r="B7" s="221" t="s">
        <v>2100</v>
      </c>
      <c r="C7" s="226">
        <f>ROUND(C6*F7,0)</f>
        <v>139</v>
      </c>
      <c r="D7" s="226"/>
      <c r="E7" s="224"/>
      <c r="F7" s="227">
        <f>IF(项目基本情况!B8="出让",0,'数据-取费表'!B48+'数据-取费表'!B49)</f>
        <v>3.0499999999999999E-2</v>
      </c>
      <c r="G7" s="225"/>
    </row>
    <row r="8" spans="1:9" s="229" customFormat="1">
      <c r="A8" s="885" t="s">
        <v>793</v>
      </c>
      <c r="B8" s="221" t="s">
        <v>2102</v>
      </c>
      <c r="C8" s="226">
        <f ca="1">IF(G8="已包含在土地购买价格中","0",IF(B1="",'数据-取费表'!B29,IF(G9="全部缴纳",C9+C10,H9)))</f>
        <v>208</v>
      </c>
      <c r="D8" s="228"/>
      <c r="E8" s="226"/>
      <c r="F8" s="227"/>
      <c r="G8" s="2009" t="s">
        <v>3211</v>
      </c>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160</v>
      </c>
      <c r="F9" s="227"/>
      <c r="G9" s="2010" t="s">
        <v>3212</v>
      </c>
      <c r="H9" s="3249">
        <f ca="1">C10</f>
        <v>208</v>
      </c>
      <c r="I9" s="2011" t="s">
        <v>2104</v>
      </c>
    </row>
    <row r="10" spans="1:9" s="220" customFormat="1" ht="13.5" customHeight="1">
      <c r="A10" s="886" t="s">
        <v>801</v>
      </c>
      <c r="B10" s="230" t="s">
        <v>2105</v>
      </c>
      <c r="C10" s="231">
        <f ca="1">ROUND(D10*E10/10000,0)</f>
        <v>208</v>
      </c>
      <c r="D10" s="953">
        <f ca="1">IF(B1="",'数据-汇总表'!E6,IF(INDIRECT("'数据-取费表'!c"&amp;$G$1)="住宅",INDIRECT("'数据-取费表'!s"&amp;$G$1),INDIRECT("'数据-取费表'!k"&amp;$G$1)+INDIRECT("'数据-取费表'!s"&amp;$G$1)))</f>
        <v>10390.25</v>
      </c>
      <c r="E10" s="231">
        <f>'数据-取费表'!B28</f>
        <v>200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2102</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2102</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t="str">
        <f>IF(G19="已包含在土地取得成本中","0",ROUND(D19*E19/10000,0))</f>
        <v>0</v>
      </c>
      <c r="D19" s="957">
        <f ca="1">D9+D10</f>
        <v>10390.25</v>
      </c>
      <c r="E19" s="217">
        <f>'数据-取费表'!B31</f>
        <v>200</v>
      </c>
      <c r="F19" s="237"/>
      <c r="G19" s="2009" t="s">
        <v>3210</v>
      </c>
    </row>
    <row r="20" spans="1:7" s="220" customFormat="1" ht="13.5" customHeight="1">
      <c r="A20" s="261" t="s">
        <v>2118</v>
      </c>
      <c r="B20" s="216" t="s">
        <v>2119</v>
      </c>
      <c r="C20" s="238">
        <f ca="1">ROUND((C5+C19)*F20,0)</f>
        <v>147</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5">
        <f ca="1">ROUND(SUM(C23:C25),0)</f>
        <v>652</v>
      </c>
      <c r="D22" s="241">
        <f ca="1">C26</f>
        <v>1.9E-3</v>
      </c>
      <c r="E22" s="242" t="s">
        <v>2123</v>
      </c>
      <c r="F22" s="243">
        <f ca="1">'数据-取费表'!B40</f>
        <v>4.2000000000000003E-2</v>
      </c>
      <c r="G22" s="240" t="str">
        <f>IF('数据-取费表'!B22&lt;=1,"单利计息","复利计息")</f>
        <v>复利计息</v>
      </c>
    </row>
    <row r="23" spans="1:7" s="220" customFormat="1" ht="13.5" customHeight="1">
      <c r="A23" s="887" t="s">
        <v>791</v>
      </c>
      <c r="B23" s="221" t="s">
        <v>2128</v>
      </c>
      <c r="C23" s="1236">
        <f ca="1">ROUND(IF('数据-取费表'!B22&lt;=1,C5*F22*'数据-取费表'!B23,C5*(POWER((1+F22),'数据-取费表'!B23)-1)),0)</f>
        <v>643</v>
      </c>
      <c r="D23" s="244"/>
      <c r="E23" s="244"/>
      <c r="F23" s="245"/>
      <c r="G23" s="246" t="s">
        <v>2129</v>
      </c>
    </row>
    <row r="24" spans="1:7" s="220" customFormat="1" ht="13.5" customHeight="1">
      <c r="A24" s="887" t="s">
        <v>792</v>
      </c>
      <c r="B24" s="221" t="s">
        <v>2131</v>
      </c>
      <c r="C24" s="1236">
        <f ca="1">ROUND(IF('数据-取费表'!B22&lt;=1,C19*F22*('数据-取费表'!B19/2+'数据-取费表'!B21),C19*(POWER((1+F22),('数据-取费表'!B19/2+'数据-取费表'!B21))-1)),0)</f>
        <v>0</v>
      </c>
      <c r="D24" s="244"/>
      <c r="E24" s="244"/>
      <c r="F24" s="245"/>
      <c r="G24" s="246" t="s">
        <v>2132</v>
      </c>
    </row>
    <row r="25" spans="1:7" s="220" customFormat="1" ht="24">
      <c r="A25" s="887" t="s">
        <v>793</v>
      </c>
      <c r="B25" s="221" t="s">
        <v>2134</v>
      </c>
      <c r="C25" s="1236">
        <f ca="1">ROUND(IF('数据-取费表'!B22&lt;=1,C20*F22*'数据-取费表'!B23/2,C20*(POWER((1+F22),'数据-取费表'!B23/2)-1)),0)</f>
        <v>9</v>
      </c>
      <c r="D25" s="244"/>
      <c r="E25" s="247"/>
      <c r="F25" s="245"/>
      <c r="G25" s="248" t="s">
        <v>2135</v>
      </c>
    </row>
    <row r="26" spans="1:7" s="220" customFormat="1">
      <c r="A26" s="887" t="s">
        <v>795</v>
      </c>
      <c r="B26" s="221" t="s">
        <v>2136</v>
      </c>
      <c r="C26" s="244">
        <f ca="1">ROUND(IF('数据-取费表'!B22&lt;=1,F21*F22*'数据-取费表'!B23/2,F21*(POWER((1+F22),'数据-取费表'!B23/2)-1)),4)</f>
        <v>1.9E-3</v>
      </c>
      <c r="D26" s="244"/>
      <c r="E26" s="247"/>
      <c r="F26" s="245"/>
      <c r="G26" s="249"/>
    </row>
    <row r="27" spans="1:7" s="220" customFormat="1" ht="24.75">
      <c r="A27" s="261" t="s">
        <v>2137</v>
      </c>
      <c r="B27" s="250" t="s">
        <v>2138</v>
      </c>
      <c r="C27" s="251">
        <f ca="1">C28</f>
        <v>505</v>
      </c>
      <c r="D27" s="241">
        <f ca="1">C29</f>
        <v>3.0000000000000001E-3</v>
      </c>
      <c r="E27" s="242" t="s">
        <v>2123</v>
      </c>
      <c r="F27" s="252">
        <f ca="1">IF(B1="",'数据-取费表'!Q16,INDIRECT("'数据-取费表'!q"&amp;$G$1))</f>
        <v>0.1</v>
      </c>
      <c r="G27" s="253" t="s">
        <v>2140</v>
      </c>
    </row>
    <row r="28" spans="1:7" s="220" customFormat="1" ht="13.5" customHeight="1">
      <c r="A28" s="887" t="s">
        <v>791</v>
      </c>
      <c r="B28" s="254" t="s">
        <v>2141</v>
      </c>
      <c r="C28" s="255">
        <f ca="1">ROUND((C5+C19+C20)*F27*'数据-取费表'!B21/'数据-取费表'!B20,0)</f>
        <v>505</v>
      </c>
      <c r="D28" s="241"/>
      <c r="E28" s="242"/>
      <c r="F28" s="252"/>
      <c r="G28" s="253"/>
    </row>
    <row r="29" spans="1:7" s="220" customFormat="1" ht="13.5" customHeight="1">
      <c r="A29" s="887"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2123</v>
      </c>
      <c r="E30" s="247"/>
      <c r="F30" s="243">
        <f>'数据-取费表'!B41</f>
        <v>5.6000000000000001E-2</v>
      </c>
      <c r="G30" s="240" t="s">
        <v>2145</v>
      </c>
    </row>
    <row r="31" spans="1:7" ht="16.5" customHeight="1">
      <c r="A31" s="215">
        <v>1</v>
      </c>
      <c r="B31" s="216" t="s">
        <v>2146</v>
      </c>
      <c r="C31" s="217">
        <f ca="1">ROUND((C5+C19+C20+C22+C27)/(1-C21-D22-D27-C30),0)</f>
        <v>6802</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5741</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5195</v>
      </c>
      <c r="D34" s="223"/>
      <c r="E34" s="226"/>
      <c r="F34" s="263">
        <f ca="1">IF('数据-取费表'!B24=0,1,IF(B1="",'数据-取费表'!N16,INDIRECT("'数据-取费表'!n"&amp;$G$1)))</f>
        <v>1</v>
      </c>
      <c r="G34" s="225" t="s">
        <v>2151</v>
      </c>
    </row>
    <row r="35" spans="1:7" ht="13.5" customHeight="1">
      <c r="A35" s="887" t="s">
        <v>796</v>
      </c>
      <c r="B35" s="221" t="s">
        <v>2152</v>
      </c>
      <c r="C35" s="226">
        <f ca="1">ROUND(C34*F35,0)</f>
        <v>260</v>
      </c>
      <c r="D35" s="226"/>
      <c r="E35" s="226"/>
      <c r="F35" s="265">
        <f>'数据-取费表'!B33</f>
        <v>0.05</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208</v>
      </c>
      <c r="D37" s="223">
        <f ca="1">D19</f>
        <v>10390.25</v>
      </c>
      <c r="E37" s="255">
        <f>'数据-取费表'!B35</f>
        <v>200</v>
      </c>
      <c r="F37" s="265"/>
      <c r="G37" s="267" t="s">
        <v>2157</v>
      </c>
    </row>
    <row r="38" spans="1:7" ht="13.5" customHeight="1">
      <c r="A38" s="887" t="s">
        <v>799</v>
      </c>
      <c r="B38" s="221" t="s">
        <v>2158</v>
      </c>
      <c r="C38" s="226">
        <f ca="1">ROUND(C34*F38,0)</f>
        <v>78</v>
      </c>
      <c r="D38" s="226"/>
      <c r="E38" s="226"/>
      <c r="F38" s="265">
        <f>'数据-取费表'!B36</f>
        <v>1.4999999999999999E-2</v>
      </c>
      <c r="G38" s="225" t="s">
        <v>2153</v>
      </c>
    </row>
    <row r="39" spans="1:7" s="220" customFormat="1" ht="13.5" customHeight="1">
      <c r="A39" s="261" t="s">
        <v>2116</v>
      </c>
      <c r="B39" s="216" t="s">
        <v>2119</v>
      </c>
      <c r="C39" s="238">
        <f ca="1">ROUND(C33*F20,0)</f>
        <v>172</v>
      </c>
      <c r="D39" s="238"/>
      <c r="E39" s="238"/>
      <c r="F39" s="2502">
        <f>F20</f>
        <v>0.03</v>
      </c>
      <c r="G39" s="240" t="s">
        <v>2161</v>
      </c>
    </row>
    <row r="40" spans="1:7" s="220" customFormat="1" ht="13.5" customHeight="1">
      <c r="A40" s="261" t="s">
        <v>2118</v>
      </c>
      <c r="B40" s="216" t="s">
        <v>2122</v>
      </c>
      <c r="C40" s="1465">
        <f>F21</f>
        <v>0.03</v>
      </c>
      <c r="D40" s="242" t="s">
        <v>2164</v>
      </c>
      <c r="E40" s="238"/>
      <c r="F40" s="2502">
        <f>F21</f>
        <v>0.03</v>
      </c>
      <c r="G40" s="240" t="s">
        <v>2165</v>
      </c>
    </row>
    <row r="41" spans="1:7" s="220" customFormat="1" ht="13.5" customHeight="1">
      <c r="A41" s="261" t="s">
        <v>2121</v>
      </c>
      <c r="B41" s="216" t="s">
        <v>2126</v>
      </c>
      <c r="C41" s="238">
        <f ca="1">ROUND(SUM(C42:C43),0)</f>
        <v>376</v>
      </c>
      <c r="D41" s="241">
        <f ca="1">C44</f>
        <v>1.9E-3</v>
      </c>
      <c r="E41" s="242" t="s">
        <v>2164</v>
      </c>
      <c r="F41" s="2503">
        <f ca="1">F22</f>
        <v>4.2000000000000003E-2</v>
      </c>
      <c r="G41" s="240" t="str">
        <f>IF('数据-取费表'!B22&lt;=1,"单利计息","复利计息")</f>
        <v>复利计息</v>
      </c>
    </row>
    <row r="42" spans="1:7" ht="13.5" customHeight="1">
      <c r="A42" s="887" t="s">
        <v>791</v>
      </c>
      <c r="B42" s="221" t="s">
        <v>2128</v>
      </c>
      <c r="C42" s="244">
        <f ca="1">ROUND(IF('数据-取费表'!B22&lt;=1,C33*F22*'数据-取费表'!B21/2,C33*(POWER((1+F22),'数据-取费表'!B21/2)-1)),0)</f>
        <v>365</v>
      </c>
      <c r="D42" s="244"/>
      <c r="E42" s="244"/>
      <c r="F42" s="245"/>
      <c r="G42" s="3496" t="s">
        <v>2169</v>
      </c>
    </row>
    <row r="43" spans="1:7" ht="13.5" customHeight="1">
      <c r="A43" s="887" t="s">
        <v>792</v>
      </c>
      <c r="B43" s="221" t="s">
        <v>2131</v>
      </c>
      <c r="C43" s="244">
        <f ca="1">ROUND(IF('数据-取费表'!B22&lt;=1,C39*F22*'数据-取费表'!B21/2,C39*(POWER((1+F22),'数据-取费表'!B21/2)-1)),0)</f>
        <v>11</v>
      </c>
      <c r="D43" s="244"/>
      <c r="E43" s="244"/>
      <c r="F43" s="245"/>
      <c r="G43" s="3497"/>
    </row>
    <row r="44" spans="1:7" ht="13.5" customHeight="1">
      <c r="A44" s="887" t="s">
        <v>793</v>
      </c>
      <c r="B44" s="221" t="s">
        <v>2134</v>
      </c>
      <c r="C44" s="244">
        <f ca="1">ROUND(IF('数据-取费表'!B22&lt;=1,C40*F22*'数据-取费表'!B21/2,C40*(POWER((1+F22),'数据-取费表'!B21/2)-1)),4)</f>
        <v>1.9E-3</v>
      </c>
      <c r="D44" s="244"/>
      <c r="E44" s="244"/>
      <c r="F44" s="245"/>
      <c r="G44" s="3498"/>
    </row>
    <row r="45" spans="1:7" s="220" customFormat="1" ht="13.5" customHeight="1">
      <c r="A45" s="261" t="s">
        <v>2125</v>
      </c>
      <c r="B45" s="250" t="s">
        <v>2138</v>
      </c>
      <c r="C45" s="251">
        <f ca="1">C46</f>
        <v>591</v>
      </c>
      <c r="D45" s="241">
        <f ca="1">C47</f>
        <v>3.0000000000000001E-3</v>
      </c>
      <c r="E45" s="242" t="s">
        <v>2164</v>
      </c>
      <c r="F45" s="2504">
        <f ca="1">F27</f>
        <v>0.1</v>
      </c>
      <c r="G45" s="253" t="s">
        <v>2173</v>
      </c>
    </row>
    <row r="46" spans="1:7" s="220" customFormat="1" ht="13.5" customHeight="1">
      <c r="A46" s="887" t="s">
        <v>791</v>
      </c>
      <c r="B46" s="254" t="s">
        <v>2174</v>
      </c>
      <c r="C46" s="255">
        <f ca="1">ROUND((C33+C39)*F27,0)</f>
        <v>591</v>
      </c>
      <c r="D46" s="269"/>
      <c r="E46" s="242"/>
      <c r="F46" s="252"/>
      <c r="G46" s="253"/>
    </row>
    <row r="47" spans="1:7" s="220" customFormat="1" ht="13.5" customHeight="1">
      <c r="A47" s="887" t="s">
        <v>792</v>
      </c>
      <c r="B47" s="254" t="s">
        <v>2175</v>
      </c>
      <c r="C47" s="244">
        <f ca="1">ROUND(C40*F27,4)</f>
        <v>3.0000000000000001E-3</v>
      </c>
      <c r="D47" s="269"/>
      <c r="E47" s="242"/>
      <c r="F47" s="252"/>
      <c r="G47" s="253"/>
    </row>
    <row r="48" spans="1:7" s="220" customFormat="1" ht="13.5" customHeight="1">
      <c r="A48" s="261" t="s">
        <v>2137</v>
      </c>
      <c r="B48" s="216" t="s">
        <v>2176</v>
      </c>
      <c r="C48" s="1465">
        <f>ROUND(F30/(1+'数据-取费表'!C42),4)</f>
        <v>5.33E-2</v>
      </c>
      <c r="D48" s="242" t="s">
        <v>2164</v>
      </c>
      <c r="E48" s="238"/>
      <c r="F48" s="2503">
        <f>F30</f>
        <v>5.6000000000000001E-2</v>
      </c>
      <c r="G48" s="240" t="s">
        <v>2177</v>
      </c>
    </row>
    <row r="49" spans="1:7" ht="16.5" customHeight="1">
      <c r="A49" s="261" t="s">
        <v>2143</v>
      </c>
      <c r="B49" s="216" t="s">
        <v>2178</v>
      </c>
      <c r="C49" s="238">
        <f ca="1">ROUND((C33+C39+C41+C45)/(1-C40-D41-D45-C48),0)</f>
        <v>7546</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7546</v>
      </c>
      <c r="D51" s="238"/>
      <c r="E51" s="238"/>
      <c r="F51" s="270"/>
      <c r="G51" s="240" t="s">
        <v>2185</v>
      </c>
    </row>
    <row r="52" spans="1:7" s="214" customFormat="1" ht="16.5" thickBot="1">
      <c r="A52" s="271" t="s">
        <v>2186</v>
      </c>
      <c r="B52" s="272"/>
      <c r="C52" s="273">
        <f ca="1">C31+C51</f>
        <v>14348</v>
      </c>
      <c r="D52" s="272"/>
      <c r="E52" s="272"/>
      <c r="F52" s="272"/>
      <c r="G52" s="274"/>
    </row>
    <row r="55" spans="1:7" ht="15">
      <c r="B55" s="276" t="s">
        <v>2187</v>
      </c>
      <c r="C55" s="277"/>
    </row>
    <row r="56" spans="1:7">
      <c r="B56" s="279" t="s">
        <v>1418</v>
      </c>
      <c r="C56" s="281">
        <f ca="1">1-C57</f>
        <v>0.47399999999999998</v>
      </c>
    </row>
    <row r="57" spans="1:7">
      <c r="B57" s="279" t="s">
        <v>1419</v>
      </c>
      <c r="C57" s="280">
        <f ca="1">ROUND(C51/C52,3)</f>
        <v>0.52600000000000002</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00000000-0002-0000-2000-000000000000}">
      <formula1>"需扣减承租人权益,——"</formula1>
    </dataValidation>
    <dataValidation type="list" allowBlank="1" showInputMessage="1" showErrorMessage="1" sqref="G2" xr:uid="{00000000-0002-0000-2000-000001000000}">
      <formula1>估价方法</formula1>
    </dataValidation>
    <dataValidation type="list" allowBlank="1" showInputMessage="1" showErrorMessage="1" sqref="G9" xr:uid="{00000000-0002-0000-2000-000002000000}">
      <formula1>"部分缴纳,全部缴纳"</formula1>
    </dataValidation>
    <dataValidation type="list" allowBlank="1" showInputMessage="1" showErrorMessage="1" sqref="B1" xr:uid="{00000000-0002-0000-2000-000003000000}">
      <formula1>项目类型</formula1>
    </dataValidation>
    <dataValidation type="list" allowBlank="1" showInputMessage="1" showErrorMessage="1" sqref="G19" xr:uid="{00000000-0002-0000-2000-000004000000}">
      <formula1>"已包含在土地取得成本中,未包含在土地取得成本中"</formula1>
    </dataValidation>
    <dataValidation type="list" allowBlank="1" showInputMessage="1" showErrorMessage="1" sqref="G8" xr:uid="{00000000-0002-0000-20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topLeftCell="A25" zoomScale="90" zoomScaleNormal="70" zoomScaleSheetLayoutView="90" workbookViewId="0">
      <selection activeCell="C29" sqref="C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48</v>
      </c>
      <c r="D1" s="1514" t="s">
        <v>70</v>
      </c>
      <c r="E1" s="1515" t="s">
        <v>1292</v>
      </c>
      <c r="F1" s="1192">
        <f ca="1">J53</f>
        <v>35.92</v>
      </c>
      <c r="G1" s="1530">
        <f>MATCH(C1,'数据-取费表'!A6:A16,0)+5</f>
        <v>8</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6784</v>
      </c>
      <c r="C2" s="1539" t="s">
        <v>1421</v>
      </c>
      <c r="D2" s="1539"/>
      <c r="E2" s="1540"/>
      <c r="F2" s="1541"/>
      <c r="G2" s="2901"/>
      <c r="H2" s="2890"/>
      <c r="I2" s="2890"/>
      <c r="J2" s="2890"/>
      <c r="K2" s="2891"/>
      <c r="L2" s="2890"/>
      <c r="M2" s="2890"/>
    </row>
    <row r="3" spans="1:37" ht="18" customHeight="1" thickBot="1">
      <c r="A3" s="1542" t="s">
        <v>1422</v>
      </c>
      <c r="B3" s="1543">
        <f ca="1">IF(ISERROR(B2*10000/F43),0,ROUND(B2*10000/F43,0))</f>
        <v>6529</v>
      </c>
      <c r="C3" s="1539" t="s">
        <v>1423</v>
      </c>
      <c r="D3" s="1539"/>
      <c r="E3" s="1540"/>
      <c r="F3" s="1541"/>
      <c r="G3" s="2901"/>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1">
        <f ca="1">C6+C10+C12</f>
        <v>389</v>
      </c>
      <c r="D5" s="1516" t="s">
        <v>1307</v>
      </c>
      <c r="E5" s="1202"/>
      <c r="F5" s="1203"/>
      <c r="G5" s="1536"/>
      <c r="H5" s="305">
        <v>1</v>
      </c>
      <c r="I5" s="306" t="s">
        <v>1306</v>
      </c>
      <c r="J5" s="1201">
        <f ca="1">J6+J10+J12</f>
        <v>0</v>
      </c>
      <c r="K5" s="1516" t="s">
        <v>1307</v>
      </c>
      <c r="L5" s="1202"/>
      <c r="M5" s="1203"/>
    </row>
    <row r="6" spans="1:37" ht="18" customHeight="1">
      <c r="A6" s="1200" t="s">
        <v>1003</v>
      </c>
      <c r="B6" s="3559" t="s">
        <v>1308</v>
      </c>
      <c r="C6" s="1205">
        <f ca="1">ROUND(F6*F8*F7*(1-F9)/10000,0)</f>
        <v>389</v>
      </c>
      <c r="D6" s="160" t="s">
        <v>2789</v>
      </c>
      <c r="E6" s="308" t="s">
        <v>1310</v>
      </c>
      <c r="F6" s="309">
        <f ca="1">INDIRECT("'数据-取费表'!u"&amp;$G$1)</f>
        <v>1800</v>
      </c>
      <c r="G6" s="1536"/>
      <c r="H6" s="1200" t="s">
        <v>1003</v>
      </c>
      <c r="I6" s="3559" t="s">
        <v>1308</v>
      </c>
      <c r="J6" s="307">
        <f ca="1">ROUND(M6*M8*M7*(1-M9)/10000,0)</f>
        <v>0</v>
      </c>
      <c r="K6" s="160" t="s">
        <v>2788</v>
      </c>
      <c r="L6" s="308" t="s">
        <v>1310</v>
      </c>
      <c r="M6" s="309">
        <f ca="1">INDIRECT("'数据-取费表'!z"&amp;$G$1)</f>
        <v>0</v>
      </c>
    </row>
    <row r="7" spans="1:37" ht="18" customHeight="1">
      <c r="A7" s="1204"/>
      <c r="B7" s="3560"/>
      <c r="C7" s="1206"/>
      <c r="D7" s="313"/>
      <c r="E7" s="3212" t="s">
        <v>1311</v>
      </c>
      <c r="F7" s="309">
        <f ca="1">IF(INDIRECT("'数据-取费表'!ah"&amp;$G$1)="",INDIRECT("'数据-取费表'!k"&amp;$G$1),INDIRECT("'数据-取费表'!ah"&amp;$G$1))</f>
        <v>200</v>
      </c>
      <c r="G7" s="1536"/>
      <c r="H7" s="310"/>
      <c r="I7" s="3560"/>
      <c r="J7" s="312"/>
      <c r="K7" s="313"/>
      <c r="L7" s="308" t="s">
        <v>1311</v>
      </c>
      <c r="M7" s="309">
        <f ca="1">F7</f>
        <v>200</v>
      </c>
    </row>
    <row r="8" spans="1:37" ht="18" customHeight="1">
      <c r="A8" s="310"/>
      <c r="B8" s="3560"/>
      <c r="C8" s="312"/>
      <c r="D8" s="313"/>
      <c r="E8" s="308" t="s">
        <v>1312</v>
      </c>
      <c r="F8" s="309">
        <f ca="1">INDIRECT("'数据-取费表'!ai"&amp;$G$1)</f>
        <v>12</v>
      </c>
      <c r="G8" s="1536"/>
      <c r="H8" s="310"/>
      <c r="I8" s="3560"/>
      <c r="J8" s="312"/>
      <c r="K8" s="313"/>
      <c r="L8" s="308" t="s">
        <v>1312</v>
      </c>
      <c r="M8" s="309">
        <f ca="1">INDIRECT("'数据-取费表'!ai"&amp;$G$1)</f>
        <v>12</v>
      </c>
    </row>
    <row r="9" spans="1:37" ht="18" customHeight="1">
      <c r="A9" s="310"/>
      <c r="B9" s="3561"/>
      <c r="C9" s="312"/>
      <c r="D9" s="313"/>
      <c r="E9" s="308" t="s">
        <v>1313</v>
      </c>
      <c r="F9" s="318">
        <f ca="1">INDIRECT("'数据-取费表'!w"&amp;$G$1)</f>
        <v>0.1</v>
      </c>
      <c r="G9" s="1536"/>
      <c r="H9" s="310"/>
      <c r="I9" s="3561"/>
      <c r="J9" s="312"/>
      <c r="K9" s="313"/>
      <c r="L9" s="319" t="s">
        <v>1313</v>
      </c>
      <c r="M9" s="320">
        <f ca="1">INDIRECT("'数据-取费表'!ab"&amp;$G$1)</f>
        <v>0</v>
      </c>
    </row>
    <row r="10" spans="1:37" ht="18" customHeight="1">
      <c r="A10" s="1200" t="s">
        <v>1007</v>
      </c>
      <c r="B10" s="1517" t="s">
        <v>1314</v>
      </c>
      <c r="C10" s="322">
        <f ca="1">ROUND(IF(F10="押一",C6/12*F11,IF(F10="押二",C6/12*2*F11,IF(F10="押三",C6/12*3*F11,C11*F11))),0)</f>
        <v>0</v>
      </c>
      <c r="D10" s="1518" t="s">
        <v>2796</v>
      </c>
      <c r="E10" s="319" t="s">
        <v>1315</v>
      </c>
      <c r="F10" s="1247" t="s">
        <v>3213</v>
      </c>
      <c r="G10" s="1536"/>
      <c r="H10" s="1200" t="s">
        <v>1007</v>
      </c>
      <c r="I10" s="1517" t="s">
        <v>1314</v>
      </c>
      <c r="J10" s="307">
        <f ca="1">ROUND(IF(M10="押一",J6/12*M11,IF(M10="押二",J6/12*2*M11,IF(M10="押三",J6/12*3*M11,J11*M11))),0)</f>
        <v>0</v>
      </c>
      <c r="K10" s="1518" t="s">
        <v>2796</v>
      </c>
      <c r="L10" s="319" t="s">
        <v>1315</v>
      </c>
      <c r="M10" s="1247" t="s">
        <v>1316</v>
      </c>
    </row>
    <row r="11" spans="1:37" ht="18" customHeight="1">
      <c r="A11" s="314"/>
      <c r="B11" s="1519" t="s">
        <v>1293</v>
      </c>
      <c r="C11" s="1089"/>
      <c r="D11" s="1520"/>
      <c r="E11" s="319" t="s">
        <v>1317</v>
      </c>
      <c r="F11" s="320">
        <f ca="1">'数据-取费表'!B39</f>
        <v>1.4999999999999999E-2</v>
      </c>
      <c r="G11" s="1536"/>
      <c r="H11" s="1208"/>
      <c r="I11" s="1519" t="s">
        <v>1293</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7546</v>
      </c>
      <c r="D13" s="3204" t="s">
        <v>1320</v>
      </c>
      <c r="E13" s="3204"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8" t="s">
        <v>1322</v>
      </c>
      <c r="C14" s="324">
        <f ca="1">INDIRECT("'数据-取费表'!m"&amp;$G$1)+INDIRECT("'数据-取费表'!t"&amp;$G$1)</f>
        <v>5195</v>
      </c>
      <c r="D14" s="3208" t="s">
        <v>1323</v>
      </c>
      <c r="E14" s="3206"/>
      <c r="F14" s="325"/>
      <c r="G14" s="1536"/>
      <c r="H14" s="1112" t="s">
        <v>1003</v>
      </c>
      <c r="I14" s="308" t="s">
        <v>1324</v>
      </c>
      <c r="J14" s="24">
        <f ca="1">C29</f>
        <v>7546</v>
      </c>
      <c r="K14" s="3211"/>
      <c r="L14" s="915"/>
      <c r="M14" s="916"/>
    </row>
    <row r="15" spans="1:37" s="1549" customFormat="1" ht="18" customHeight="1" thickBot="1">
      <c r="A15" s="1112" t="s">
        <v>1004</v>
      </c>
      <c r="B15" s="308" t="s">
        <v>1325</v>
      </c>
      <c r="C15" s="24">
        <f ca="1">ROUND(C14*F15,0)</f>
        <v>260</v>
      </c>
      <c r="D15" s="3205" t="s">
        <v>1326</v>
      </c>
      <c r="E15" s="3205"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10" t="s">
        <v>998</v>
      </c>
      <c r="I16" s="1211" t="s">
        <v>1329</v>
      </c>
      <c r="J16" s="316">
        <f ca="1">ROUND(J17+J22+J23+J24,0)</f>
        <v>105</v>
      </c>
      <c r="K16" s="1218" t="s">
        <v>1330</v>
      </c>
      <c r="L16" s="3209"/>
      <c r="M16" s="1203"/>
    </row>
    <row r="17" spans="1:37" s="1549" customFormat="1" ht="18" customHeight="1">
      <c r="A17" s="1112" t="s">
        <v>1295</v>
      </c>
      <c r="B17" s="308" t="s">
        <v>1331</v>
      </c>
      <c r="C17" s="24">
        <f ca="1">ROUND(F17*(F43+INDIRECT("'数据-取费表'!S"&amp;$G$1))/10000,0)</f>
        <v>208</v>
      </c>
      <c r="D17" s="308" t="s">
        <v>1332</v>
      </c>
      <c r="E17" s="308" t="s">
        <v>1333</v>
      </c>
      <c r="F17" s="26">
        <f>'数据-取费表'!B35</f>
        <v>200</v>
      </c>
      <c r="G17" s="1548"/>
      <c r="H17" s="1112" t="s">
        <v>1003</v>
      </c>
      <c r="I17" s="308" t="s">
        <v>1334</v>
      </c>
      <c r="J17" s="2501">
        <f ca="1">ROUND(IF(AND(项目基本情况!B11="自然人",项目基本情况!B10="北京市"),J6*M17/(1+'数据-取费表'!C42),J18+J19+J20),0)</f>
        <v>67</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78</v>
      </c>
      <c r="D18" s="308" t="s">
        <v>1326</v>
      </c>
      <c r="E18" s="308" t="s">
        <v>1327</v>
      </c>
      <c r="F18" s="328">
        <f>'数据-取费表'!B36</f>
        <v>1.4999999999999999E-2</v>
      </c>
      <c r="G18" s="1548"/>
      <c r="H18" s="1112"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5741</v>
      </c>
      <c r="D19" s="136" t="s">
        <v>1341</v>
      </c>
      <c r="E19" s="3214"/>
      <c r="F19" s="26"/>
      <c r="G19" s="1536"/>
      <c r="H19" s="1112" t="s">
        <v>1004</v>
      </c>
      <c r="I19" s="308" t="s">
        <v>1342</v>
      </c>
      <c r="J19" s="24">
        <f ca="1">IF(K19="按租金收入计税",ROUND(J6*M19/(1+'数据-取费表'!C42),2),ROUND(C29*M19*0.7,2))</f>
        <v>63.39</v>
      </c>
      <c r="K19" s="1522" t="s">
        <v>1343</v>
      </c>
      <c r="L19" s="308" t="s">
        <v>1327</v>
      </c>
      <c r="M19" s="328">
        <f>IF(K19="按租金收入计税",'数据-取费表'!B51,'数据-取费表'!B50)</f>
        <v>1.2E-2</v>
      </c>
    </row>
    <row r="20" spans="1:37" s="1549" customFormat="1" ht="18" customHeight="1">
      <c r="A20" s="1112" t="s">
        <v>1007</v>
      </c>
      <c r="B20" s="308" t="s">
        <v>1344</v>
      </c>
      <c r="C20" s="24">
        <f ca="1">ROUND(C19*F20,0)</f>
        <v>172</v>
      </c>
      <c r="D20" s="329" t="s">
        <v>1345</v>
      </c>
      <c r="E20" s="308" t="s">
        <v>1327</v>
      </c>
      <c r="F20" s="328">
        <f>'数据-取费表'!B37</f>
        <v>0.03</v>
      </c>
      <c r="G20" s="1548"/>
      <c r="H20" s="1112" t="s">
        <v>1294</v>
      </c>
      <c r="I20" s="160" t="s">
        <v>1346</v>
      </c>
      <c r="J20" s="25">
        <f ca="1">ROUND(M20*M21/10000,2)</f>
        <v>3.39</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0.03</v>
      </c>
      <c r="G21" s="1548"/>
      <c r="H21" s="332"/>
      <c r="I21" s="317"/>
      <c r="J21" s="29"/>
      <c r="K21" s="333"/>
      <c r="L21" s="308" t="s">
        <v>1352</v>
      </c>
      <c r="M21" s="309">
        <f ca="1">INDIRECT("'数据-取费表'!r"&amp;$G$1)</f>
        <v>1413.93</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14"/>
      <c r="F22" s="26"/>
      <c r="G22" s="1536"/>
      <c r="H22" s="1112" t="s">
        <v>1007</v>
      </c>
      <c r="I22" s="308" t="s">
        <v>1354</v>
      </c>
      <c r="J22" s="24">
        <f ca="1">ROUND(J14*M22,1)</f>
        <v>37.700000000000003</v>
      </c>
      <c r="K22" s="3207" t="s">
        <v>1355</v>
      </c>
      <c r="L22" s="308" t="s">
        <v>1327</v>
      </c>
      <c r="M22" s="334">
        <f ca="1">INDIRECT("'数据-取费表'!Ak"&amp;$G$1)</f>
        <v>5.0000000000000001E-3</v>
      </c>
    </row>
    <row r="23" spans="1:37" s="1549" customFormat="1" ht="18" customHeight="1">
      <c r="A23" s="1112" t="s">
        <v>1002</v>
      </c>
      <c r="B23" s="308" t="s">
        <v>1356</v>
      </c>
      <c r="C23" s="24">
        <f ca="1">IF('数据-取费表'!B22&lt;=1,ROUND(C19*F24*F23/2,0)+ROUND(C20*F24*F23/2,0),ROUND(C19*(POWER((1+F24),F23/2)-1),0)+ROUND(C20*(POWER((1+F24),F23/2)-1),0))</f>
        <v>376</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1004</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1297</v>
      </c>
      <c r="I24" s="1221" t="s">
        <v>1344</v>
      </c>
      <c r="J24" s="1222">
        <f ca="1">ROUND(J5*M24,1)</f>
        <v>0</v>
      </c>
      <c r="K24" s="1223" t="s">
        <v>1364</v>
      </c>
      <c r="L24" s="1221" t="s">
        <v>1327</v>
      </c>
      <c r="M24" s="1217">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3214"/>
      <c r="F25" s="26"/>
      <c r="G25" s="1536"/>
      <c r="H25" s="1210" t="s">
        <v>999</v>
      </c>
      <c r="I25" s="1225" t="s">
        <v>1368</v>
      </c>
      <c r="J25" s="316">
        <f ca="1">J5-J16</f>
        <v>-105</v>
      </c>
      <c r="K25" s="1226" t="s">
        <v>1369</v>
      </c>
      <c r="L25" s="1227"/>
      <c r="M25" s="1228"/>
    </row>
    <row r="26" spans="1:37">
      <c r="A26" s="1112" t="s">
        <v>1002</v>
      </c>
      <c r="B26" s="308" t="s">
        <v>1370</v>
      </c>
      <c r="C26" s="24">
        <f ca="1">ROUND((C19+C20)*F26,0)</f>
        <v>591</v>
      </c>
      <c r="D26" s="329" t="s">
        <v>1371</v>
      </c>
      <c r="E26" s="319" t="s">
        <v>1372</v>
      </c>
      <c r="F26" s="318">
        <f ca="1">INDIRECT("'数据-取费表'!q"&amp;$G$1)</f>
        <v>0.1</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2" t="s">
        <v>1004</v>
      </c>
      <c r="B27" s="308" t="s">
        <v>1376</v>
      </c>
      <c r="C27" s="24">
        <f ca="1">ROUND(F21*F26,4)</f>
        <v>3.0000000000000001E-3</v>
      </c>
      <c r="D27" s="329" t="s">
        <v>1377</v>
      </c>
      <c r="E27" s="3205"/>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7546</v>
      </c>
      <c r="D29" s="1223"/>
      <c r="E29" s="1221"/>
      <c r="F29" s="1224"/>
      <c r="G29" s="1548"/>
      <c r="H29" s="340" t="s">
        <v>1001</v>
      </c>
      <c r="I29" s="341" t="s">
        <v>1384</v>
      </c>
      <c r="J29" s="342">
        <f ca="1">ROUND(J26/(1+F40)^F41,0)</f>
        <v>0</v>
      </c>
      <c r="K29" s="343" t="s">
        <v>1385</v>
      </c>
      <c r="L29" s="344"/>
      <c r="M29" s="345">
        <f ca="1">INDIRECT("'数据-取费表'!k"&amp;$G$1)</f>
        <v>10390.25</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126</v>
      </c>
      <c r="D30" s="1218" t="s">
        <v>1330</v>
      </c>
      <c r="E30" s="320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69</v>
      </c>
      <c r="D31" s="3208" t="s">
        <v>1335</v>
      </c>
      <c r="E31" s="3207"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IF(项目基本情况!B11="自然人","——",ROUND(C6*F32/(1+'数据-取费表'!C42),2))</f>
        <v>20.75</v>
      </c>
      <c r="D32" s="3207"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44.46</v>
      </c>
      <c r="D33" s="1522" t="s">
        <v>3214</v>
      </c>
      <c r="E33" s="308" t="s">
        <v>1327</v>
      </c>
      <c r="F33" s="328">
        <f>IF(D33="按票据","——",IF(D33="按租金收入计税",'数据-取费表'!B51,'数据-取费表'!B50))</f>
        <v>0.12</v>
      </c>
      <c r="G33" s="1536"/>
      <c r="H33" s="2895"/>
      <c r="I33" s="1550"/>
      <c r="J33" s="1551"/>
      <c r="K33" s="2896"/>
      <c r="L33" s="2895"/>
      <c r="M33" s="2895"/>
    </row>
    <row r="34" spans="1:18" ht="18" customHeight="1">
      <c r="A34" s="1200" t="s">
        <v>1294</v>
      </c>
      <c r="B34" s="160" t="s">
        <v>1346</v>
      </c>
      <c r="C34" s="25">
        <f ca="1">IF(项目基本情况!B11="自然人","——",ROUND(F34*F35/10000,2))</f>
        <v>3.39</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1413.93</v>
      </c>
      <c r="G35" s="1536"/>
      <c r="H35" s="2892"/>
      <c r="I35" s="1550"/>
      <c r="J35" s="1551"/>
      <c r="K35" s="2896"/>
      <c r="L35" s="2895"/>
      <c r="M35" s="2895"/>
    </row>
    <row r="36" spans="1:18" ht="18" customHeight="1">
      <c r="A36" s="1233" t="s">
        <v>1007</v>
      </c>
      <c r="B36" s="308" t="s">
        <v>1354</v>
      </c>
      <c r="C36" s="24">
        <f ca="1">ROUND(C29*F36,1)</f>
        <v>37.700000000000003</v>
      </c>
      <c r="D36" s="3207" t="s">
        <v>1387</v>
      </c>
      <c r="E36" s="308" t="s">
        <v>1327</v>
      </c>
      <c r="F36" s="334">
        <f ca="1">INDIRECT("'数据-取费表'!Ak"&amp;$G$1)</f>
        <v>5.0000000000000001E-3</v>
      </c>
      <c r="G36" s="1536"/>
      <c r="H36" s="2895"/>
      <c r="I36" s="1550"/>
      <c r="J36" s="1551"/>
      <c r="K36" s="2736"/>
      <c r="L36" s="2895"/>
      <c r="M36" s="2895"/>
    </row>
    <row r="37" spans="1:18" ht="18" customHeight="1">
      <c r="A37" s="1112" t="s">
        <v>1043</v>
      </c>
      <c r="B37" s="308" t="s">
        <v>1358</v>
      </c>
      <c r="C37" s="24">
        <f ca="1">ROUND(C13*F37,1)</f>
        <v>11.3</v>
      </c>
      <c r="D37" s="3207" t="s">
        <v>1359</v>
      </c>
      <c r="E37" s="308" t="s">
        <v>1327</v>
      </c>
      <c r="F37" s="336">
        <f ca="1">INDIRECT("'数据-取费表'!Al"&amp;$G$1)</f>
        <v>1.5E-3</v>
      </c>
      <c r="G37" s="1536"/>
      <c r="H37" s="2895"/>
      <c r="I37" s="1550"/>
      <c r="J37" s="1551"/>
      <c r="K37" s="2736"/>
      <c r="L37" s="2895"/>
      <c r="M37" s="2895"/>
    </row>
    <row r="38" spans="1:18" ht="18" customHeight="1" thickBot="1">
      <c r="A38" s="1220" t="s">
        <v>1297</v>
      </c>
      <c r="B38" s="1221" t="s">
        <v>1344</v>
      </c>
      <c r="C38" s="1222">
        <f ca="1">ROUND(C5*F38,1)</f>
        <v>7.8</v>
      </c>
      <c r="D38" s="1223" t="s">
        <v>1364</v>
      </c>
      <c r="E38" s="1221" t="s">
        <v>1327</v>
      </c>
      <c r="F38" s="1217">
        <f ca="1">INDIRECT("'数据-取费表'!Am"&amp;$G$1)</f>
        <v>0.02</v>
      </c>
      <c r="G38" s="1536"/>
      <c r="H38" s="2895"/>
      <c r="I38" s="1550"/>
      <c r="J38" s="1551"/>
      <c r="K38" s="2899"/>
      <c r="L38" s="2895"/>
      <c r="M38" s="2895"/>
    </row>
    <row r="39" spans="1:18" ht="24.6" customHeight="1" thickTop="1">
      <c r="A39" s="1210" t="s">
        <v>999</v>
      </c>
      <c r="B39" s="1225" t="s">
        <v>1368</v>
      </c>
      <c r="C39" s="316">
        <f ca="1">C5-C30</f>
        <v>263</v>
      </c>
      <c r="D39" s="1226" t="s">
        <v>1369</v>
      </c>
      <c r="E39" s="1227"/>
      <c r="F39" s="1228"/>
      <c r="G39" s="1536"/>
      <c r="H39" s="2895"/>
      <c r="I39" s="1550"/>
      <c r="J39" s="1551"/>
      <c r="K39" s="2899"/>
      <c r="L39" s="2895"/>
      <c r="M39" s="2895"/>
    </row>
    <row r="40" spans="1:18" ht="18" customHeight="1">
      <c r="A40" s="305" t="s">
        <v>1000</v>
      </c>
      <c r="B40" s="306" t="s">
        <v>1390</v>
      </c>
      <c r="C40" s="307">
        <f ca="1">ROUND(C39*(1-((1+F42)/(1+F40))^F41)/(F40-F42),0)</f>
        <v>6559</v>
      </c>
      <c r="D40" s="330" t="s">
        <v>1374</v>
      </c>
      <c r="E40" s="308" t="s">
        <v>1375</v>
      </c>
      <c r="F40" s="318">
        <f ca="1">INDIRECT("'数据-取费表'!I"&amp;$G$1)</f>
        <v>0.05</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35.92</v>
      </c>
      <c r="G41" s="1536"/>
      <c r="H41" s="1323"/>
      <c r="I41" s="1550"/>
      <c r="J41" s="1551"/>
      <c r="K41" s="2736"/>
      <c r="L41" s="1323"/>
      <c r="M41" s="1323"/>
    </row>
    <row r="42" spans="1:18" ht="18" customHeight="1">
      <c r="A42" s="314"/>
      <c r="B42" s="315"/>
      <c r="C42" s="316"/>
      <c r="D42" s="333"/>
      <c r="E42" s="308" t="s">
        <v>1382</v>
      </c>
      <c r="F42" s="318">
        <f ca="1">INDIRECT("'数据-取费表'!v"&amp;$G$1)</f>
        <v>0.03</v>
      </c>
      <c r="G42" s="1536"/>
      <c r="H42" s="1323"/>
      <c r="I42" s="1550"/>
      <c r="J42" s="1551"/>
      <c r="K42" s="2736"/>
      <c r="L42" s="1323"/>
      <c r="M42" s="1323"/>
    </row>
    <row r="43" spans="1:18" ht="18" customHeight="1" thickBot="1">
      <c r="A43" s="340" t="s">
        <v>1001</v>
      </c>
      <c r="B43" s="341" t="s">
        <v>1392</v>
      </c>
      <c r="C43" s="342">
        <f ca="1">ROUND(C40*10000/F43,0)</f>
        <v>6313</v>
      </c>
      <c r="D43" s="343" t="s">
        <v>1393</v>
      </c>
      <c r="E43" s="344" t="s">
        <v>1394</v>
      </c>
      <c r="F43" s="345">
        <f ca="1">INDIRECT("'数据-取费表'!k"&amp;$G$1)</f>
        <v>10390.25</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0" t="s">
        <v>1424</v>
      </c>
      <c r="P45" s="1613"/>
      <c r="Q45" s="1613"/>
      <c r="R45" s="1613"/>
    </row>
    <row r="46" spans="1:18" s="1536" customFormat="1" ht="13.5" thickBot="1">
      <c r="A46" s="1556" t="s">
        <v>1425</v>
      </c>
      <c r="C46" s="1557">
        <f ca="1">C68-C40</f>
        <v>-17901</v>
      </c>
      <c r="D46" s="1558" t="str">
        <f>C2</f>
        <v>万元</v>
      </c>
      <c r="E46" s="1552"/>
      <c r="F46" s="1552"/>
      <c r="I46" s="1559" t="s">
        <v>1426</v>
      </c>
      <c r="J46" s="1560"/>
      <c r="K46" s="1561"/>
      <c r="L46" s="1562">
        <f ca="1">IF(M47="住宅",0,IF(L48&gt;J51,L60,J60))</f>
        <v>225</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1"/>
      <c r="I47" s="1566" t="s">
        <v>1431</v>
      </c>
      <c r="J47" s="1567" t="s">
        <v>3215</v>
      </c>
      <c r="K47" s="1568" t="s">
        <v>1432</v>
      </c>
      <c r="L47" s="1569">
        <f ca="1">INDIRECT("'数据-取费表'!d"&amp;$G$1)</f>
        <v>50</v>
      </c>
      <c r="M47" s="1532" t="str">
        <f>IF(ISNUMBER(FIND("住宅",C1)),"住宅","非住宅")</f>
        <v>非住宅</v>
      </c>
      <c r="O47" s="1570" t="s">
        <v>1008</v>
      </c>
      <c r="P47" s="1571" t="s">
        <v>1433</v>
      </c>
      <c r="Q47" s="1572">
        <f ca="1">C40+J29</f>
        <v>6559</v>
      </c>
      <c r="R47" s="1572" t="s">
        <v>1434</v>
      </c>
    </row>
    <row r="48" spans="1:18" s="1536" customFormat="1" ht="28.5" thickBot="1">
      <c r="A48" s="1241" t="s">
        <v>1044</v>
      </c>
      <c r="B48" s="306" t="s">
        <v>1306</v>
      </c>
      <c r="C48" s="3213">
        <f ca="1">C49+C53+C55</f>
        <v>0</v>
      </c>
      <c r="D48" s="1243"/>
      <c r="E48" s="1244"/>
      <c r="F48" s="1092"/>
      <c r="G48" s="731"/>
      <c r="H48" s="732"/>
      <c r="I48" s="1573" t="s">
        <v>1435</v>
      </c>
      <c r="J48" s="1574" t="s">
        <v>3216</v>
      </c>
      <c r="K48" s="1575" t="s">
        <v>1436</v>
      </c>
      <c r="L48" s="1576">
        <f ca="1">INDIRECT("'数据-取费表'!f"&amp;$G$1)</f>
        <v>35.92</v>
      </c>
      <c r="O48" s="1570" t="s">
        <v>1009</v>
      </c>
      <c r="P48" s="1571" t="s">
        <v>1437</v>
      </c>
      <c r="Q48" s="1572">
        <f ca="1">J60</f>
        <v>225</v>
      </c>
      <c r="R48" s="1572" t="s">
        <v>1438</v>
      </c>
    </row>
    <row r="49" spans="1:18" s="1536" customFormat="1" ht="13.5" thickBot="1">
      <c r="A49" s="1105" t="s">
        <v>1045</v>
      </c>
      <c r="B49" s="1523" t="s">
        <v>1395</v>
      </c>
      <c r="C49" s="1245">
        <f ca="1">ROUND(F49*F51*F50*(1-F52)/10000,0)</f>
        <v>0</v>
      </c>
      <c r="D49" s="1185" t="s">
        <v>2788</v>
      </c>
      <c r="E49" s="1524" t="s">
        <v>1396</v>
      </c>
      <c r="F49" s="1190"/>
      <c r="G49" s="1577"/>
      <c r="H49" s="732"/>
      <c r="I49" s="1573" t="s">
        <v>1439</v>
      </c>
      <c r="J49" s="1578">
        <v>2022</v>
      </c>
      <c r="K49" s="1575" t="s">
        <v>1440</v>
      </c>
      <c r="L49" s="1579"/>
      <c r="O49" s="1580" t="s">
        <v>1010</v>
      </c>
      <c r="P49" s="1571" t="s">
        <v>1441</v>
      </c>
      <c r="Q49" s="1572">
        <f ca="1">C29</f>
        <v>7546</v>
      </c>
      <c r="R49" s="1572" t="s">
        <v>1434</v>
      </c>
    </row>
    <row r="50" spans="1:18" s="1536" customFormat="1" ht="13.5" thickBot="1">
      <c r="A50" s="1106"/>
      <c r="B50" s="1109"/>
      <c r="C50" s="1249"/>
      <c r="D50" s="1083"/>
      <c r="E50" s="1186" t="s">
        <v>1311</v>
      </c>
      <c r="F50" s="1187">
        <f ca="1">F7</f>
        <v>200</v>
      </c>
      <c r="H50" s="732"/>
      <c r="I50" s="1573" t="s">
        <v>1442</v>
      </c>
      <c r="J50" s="1581">
        <f>SUMPRODUCT((I63:I65=J47)*(J62:L62=J48)*(J63:L65))</f>
        <v>60</v>
      </c>
      <c r="K50" s="1575" t="s">
        <v>1443</v>
      </c>
      <c r="L50" s="1579"/>
      <c r="M50" s="1582"/>
      <c r="O50" s="1580" t="s">
        <v>1011</v>
      </c>
      <c r="P50" s="1571" t="s">
        <v>1444</v>
      </c>
      <c r="Q50" s="1583">
        <f ca="1">J58</f>
        <v>0.40100000000000002</v>
      </c>
      <c r="R50" s="1572"/>
    </row>
    <row r="51" spans="1:18" s="1536" customFormat="1" ht="13.5" thickBot="1">
      <c r="A51" s="1107"/>
      <c r="B51" s="1109"/>
      <c r="C51" s="1110"/>
      <c r="D51" s="1083"/>
      <c r="E51" s="1111" t="s">
        <v>1312</v>
      </c>
      <c r="F51" s="309">
        <f ca="1">F8</f>
        <v>12</v>
      </c>
      <c r="I51" s="1584" t="s">
        <v>1445</v>
      </c>
      <c r="J51" s="1585">
        <f>IF(J49="",J50,J49+J50-YEAR('数据-取费表'!B2))</f>
        <v>60</v>
      </c>
      <c r="K51" s="1586" t="s">
        <v>1446</v>
      </c>
      <c r="L51" s="1587">
        <f ca="1">ROUND(-PV(INDIRECT("'数据-取费表'!h"&amp;$G$1),J51,(C39-C13*C76),0),0)</f>
        <v>-6252</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35.92</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7"/>
      <c r="I53" s="1591" t="s">
        <v>1452</v>
      </c>
      <c r="J53" s="2353">
        <f ca="1">IF(M47="住宅",IF(D1="——",MAX(J51,L48),MAX(J51,L48-'数据-取费表'!B24)),IF(D1="——",MIN(J51,L48),MIN(J51,L48-'数据-取费表'!B24)))</f>
        <v>35.92</v>
      </c>
      <c r="K53" s="3557" t="s">
        <v>1453</v>
      </c>
      <c r="L53" s="3558"/>
      <c r="O53" s="1570" t="s">
        <v>1014</v>
      </c>
      <c r="P53" s="1571" t="s">
        <v>1454</v>
      </c>
      <c r="Q53" s="1572">
        <f ca="1">Q47+Q48</f>
        <v>6784</v>
      </c>
      <c r="R53" s="1572" t="s">
        <v>1015</v>
      </c>
    </row>
    <row r="54" spans="1:18" s="1536" customFormat="1" ht="13.5" thickBot="1">
      <c r="A54" s="1285"/>
      <c r="B54" s="1519" t="s">
        <v>1293</v>
      </c>
      <c r="C54" s="1089"/>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3210"/>
      <c r="F55" s="1592"/>
      <c r="I55" s="1595" t="s">
        <v>1456</v>
      </c>
      <c r="J55" s="1596">
        <f ca="1">ROUND(IF(J47="钢混",J57/J50,1-(1-2%)*(J50-J57)/J50),3)</f>
        <v>0.40100000000000002</v>
      </c>
      <c r="K55" s="1597" t="s">
        <v>1457</v>
      </c>
      <c r="L55" s="1598" t="s">
        <v>1458</v>
      </c>
      <c r="O55" s="1563" t="s">
        <v>1427</v>
      </c>
      <c r="P55" s="1564" t="s">
        <v>1428</v>
      </c>
      <c r="Q55" s="1565" t="s">
        <v>1429</v>
      </c>
      <c r="R55" s="1565" t="s">
        <v>1430</v>
      </c>
    </row>
    <row r="56" spans="1:18" s="1536" customFormat="1" ht="25.5" thickTop="1" thickBot="1">
      <c r="A56" s="1087">
        <v>2</v>
      </c>
      <c r="B56" s="1088" t="s">
        <v>1319</v>
      </c>
      <c r="C56" s="238">
        <f ca="1">C13</f>
        <v>7546</v>
      </c>
      <c r="D56" s="1599"/>
      <c r="E56" s="1600"/>
      <c r="F56" s="1592"/>
      <c r="I56" s="1601" t="s">
        <v>1459</v>
      </c>
      <c r="J56" s="1602" t="s">
        <v>3196</v>
      </c>
      <c r="K56" s="1573" t="s">
        <v>1460</v>
      </c>
      <c r="L56" s="1576" t="str">
        <f ca="1">IF(L48&lt;J51,"——",L48-J53)</f>
        <v>——</v>
      </c>
      <c r="O56" s="1570" t="s">
        <v>1008</v>
      </c>
      <c r="P56" s="1571" t="s">
        <v>1433</v>
      </c>
      <c r="Q56" s="1572">
        <f ca="1">C40+J29</f>
        <v>6559</v>
      </c>
      <c r="R56" s="1572" t="s">
        <v>1434</v>
      </c>
    </row>
    <row r="57" spans="1:18" s="1536" customFormat="1" ht="24.75" thickBot="1">
      <c r="A57" s="1603"/>
      <c r="B57" s="1080" t="s">
        <v>1383</v>
      </c>
      <c r="C57" s="244">
        <f ca="1">C29</f>
        <v>7546</v>
      </c>
      <c r="D57" s="1604"/>
      <c r="E57" s="1605"/>
      <c r="F57" s="1606"/>
      <c r="I57" s="1607" t="s">
        <v>1461</v>
      </c>
      <c r="J57" s="1608">
        <f ca="1">IF(OR(M47="住宅",J51&lt;L48,J56="是"),"——",J51-L48)</f>
        <v>24.08</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8" t="s">
        <v>1329</v>
      </c>
      <c r="C58" s="322">
        <f ca="1">ROUND(C59+C64+C65+C66,0)</f>
        <v>686</v>
      </c>
      <c r="D58" s="1090" t="s">
        <v>1330</v>
      </c>
      <c r="E58" s="1091"/>
      <c r="F58" s="1092"/>
      <c r="I58" s="1607" t="s">
        <v>1465</v>
      </c>
      <c r="J58" s="1609">
        <f ca="1">IF(J55&lt;0.4,0.4,J55)</f>
        <v>0.40100000000000002</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637</v>
      </c>
      <c r="D59" s="1093" t="s">
        <v>1335</v>
      </c>
      <c r="E59" s="1094" t="s">
        <v>1336</v>
      </c>
      <c r="F59" s="2500" t="str">
        <f>IF(项目基本情况!B11="企业","——",IF('数据-取费表'!B10="住宅",IF(F49*F50*F51/12/(1+'数据-取费表'!F30)&gt;100000,4%,2.5%),IF(F49*F50*F51/12/(1+'数据-取费表'!F30)&gt;100000,12%,7%)))</f>
        <v>——</v>
      </c>
      <c r="I59" s="1607" t="s">
        <v>1468</v>
      </c>
      <c r="J59" s="1608">
        <f ca="1">IF(OR(M47="住宅",J51&lt;L48,J56="是"),"——",ROUND(C29*J58,0))</f>
        <v>3026</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7">
        <f t="shared" ref="F60:F66" si="0">F32</f>
        <v>5.6000000000000001E-2</v>
      </c>
      <c r="I60" s="1610" t="s">
        <v>1470</v>
      </c>
      <c r="J60" s="1611">
        <f ca="1">IF(OR(M47="住宅",J51&lt;L48,J56="是"),"0",ROUND(J59/(1+J52)^J53,0))</f>
        <v>225</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1342</v>
      </c>
      <c r="C61" s="24">
        <f ca="1">IF(项目基本情况!B11="自然人","——",IF(D61="按租金收入计税",ROUND(C49*F61/(1+'数据-取费表'!C42),2),IF(D61="按房产原值计税",ROUND(C57*F61*0.7,2),INDIRECT("'数据-取费表'!Aj"&amp;$G$1))))</f>
        <v>633.86</v>
      </c>
      <c r="D61" s="1522" t="s">
        <v>1343</v>
      </c>
      <c r="E61" s="1080"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1346</v>
      </c>
      <c r="C62" s="25">
        <f ca="1">IF(项目基本情况!B11="自然人","——",ROUND(F62*F63/10000,2))</f>
        <v>3.39</v>
      </c>
      <c r="D62" s="1095" t="s">
        <v>1347</v>
      </c>
      <c r="E62" s="1080" t="s">
        <v>1348</v>
      </c>
      <c r="F62" s="331">
        <f t="shared" si="0"/>
        <v>24</v>
      </c>
      <c r="I62" s="1614" t="s">
        <v>1475</v>
      </c>
      <c r="J62" s="1615" t="s">
        <v>1476</v>
      </c>
      <c r="K62" s="1615" t="s">
        <v>1477</v>
      </c>
      <c r="L62" s="1615" t="s">
        <v>1478</v>
      </c>
      <c r="M62" s="1616" t="s">
        <v>1479</v>
      </c>
      <c r="O62" s="1570" t="s">
        <v>1014</v>
      </c>
      <c r="P62" s="1571" t="s">
        <v>1454</v>
      </c>
      <c r="Q62" s="1572">
        <f ca="1">Q56+Q57</f>
        <v>6559</v>
      </c>
      <c r="R62" s="1572" t="s">
        <v>1015</v>
      </c>
    </row>
    <row r="63" spans="1:18" s="1536" customFormat="1" ht="13.5" thickBot="1">
      <c r="A63" s="332"/>
      <c r="B63" s="1086"/>
      <c r="C63" s="29"/>
      <c r="D63" s="1096"/>
      <c r="E63" s="1080" t="s">
        <v>1352</v>
      </c>
      <c r="F63" s="309">
        <f t="shared" ca="1" si="0"/>
        <v>1413.93</v>
      </c>
      <c r="I63" s="1614" t="s">
        <v>1481</v>
      </c>
      <c r="J63" s="1615">
        <v>70</v>
      </c>
      <c r="K63" s="1615">
        <v>50</v>
      </c>
      <c r="L63" s="1615">
        <v>80</v>
      </c>
      <c r="M63" s="1617">
        <v>0.02</v>
      </c>
      <c r="O63" s="1555" t="s">
        <v>1482</v>
      </c>
      <c r="P63" s="1533"/>
      <c r="Q63" s="1533"/>
      <c r="R63" s="1533"/>
    </row>
    <row r="64" spans="1:18" s="1536" customFormat="1" ht="13.5" thickBot="1">
      <c r="A64" s="1112" t="s">
        <v>1007</v>
      </c>
      <c r="B64" s="1080" t="s">
        <v>1354</v>
      </c>
      <c r="C64" s="24">
        <f ca="1">ROUND(C57*F64,1)</f>
        <v>37.700000000000003</v>
      </c>
      <c r="D64" s="1094" t="s">
        <v>1387</v>
      </c>
      <c r="E64" s="1080" t="s">
        <v>1327</v>
      </c>
      <c r="F64" s="334">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11.3</v>
      </c>
      <c r="D65" s="1094" t="s">
        <v>1359</v>
      </c>
      <c r="E65" s="1080" t="s">
        <v>1327</v>
      </c>
      <c r="F65" s="336">
        <f t="shared" ca="1" si="0"/>
        <v>1.5E-3</v>
      </c>
      <c r="I65" s="1614" t="s">
        <v>1484</v>
      </c>
      <c r="J65" s="1615">
        <v>40</v>
      </c>
      <c r="K65" s="1615">
        <v>30</v>
      </c>
      <c r="L65" s="1615">
        <v>50</v>
      </c>
      <c r="M65" s="1617">
        <v>0.02</v>
      </c>
      <c r="O65" s="1570" t="s">
        <v>1008</v>
      </c>
      <c r="P65" s="1571" t="s">
        <v>1433</v>
      </c>
      <c r="Q65" s="1572">
        <f ca="1">C40+J29</f>
        <v>6559</v>
      </c>
      <c r="R65" s="1572" t="s">
        <v>1434</v>
      </c>
    </row>
    <row r="66" spans="1:18" s="1536" customFormat="1" ht="16.5" thickBot="1">
      <c r="A66" s="1112" t="s">
        <v>1409</v>
      </c>
      <c r="B66" s="1080" t="s">
        <v>1344</v>
      </c>
      <c r="C66" s="24">
        <f ca="1">ROUND(C48*F66,1)</f>
        <v>0</v>
      </c>
      <c r="D66" s="1094" t="s">
        <v>1364</v>
      </c>
      <c r="E66" s="1080" t="s">
        <v>1327</v>
      </c>
      <c r="F66" s="318">
        <f t="shared" ca="1" si="0"/>
        <v>0.02</v>
      </c>
      <c r="O66" s="1570" t="s">
        <v>1009</v>
      </c>
      <c r="P66" s="1571" t="s">
        <v>1463</v>
      </c>
      <c r="Q66" s="1572">
        <f ca="1">L60</f>
        <v>0</v>
      </c>
      <c r="R66" s="1572" t="s">
        <v>1486</v>
      </c>
    </row>
    <row r="67" spans="1:18" s="1536" customFormat="1" ht="16.5" thickBot="1">
      <c r="A67" s="1087" t="s">
        <v>999</v>
      </c>
      <c r="B67" s="1097" t="s">
        <v>1368</v>
      </c>
      <c r="C67" s="322">
        <f ca="1">C48-C58</f>
        <v>-686</v>
      </c>
      <c r="D67" s="1093" t="s">
        <v>1369</v>
      </c>
      <c r="E67" s="1098"/>
      <c r="F67" s="1099"/>
      <c r="O67" s="1580" t="s">
        <v>1010</v>
      </c>
      <c r="P67" s="1571" t="s">
        <v>1467</v>
      </c>
      <c r="Q67" s="1618">
        <f ca="1">L51</f>
        <v>-6252</v>
      </c>
      <c r="R67" s="1572" t="s">
        <v>1487</v>
      </c>
    </row>
    <row r="68" spans="1:18" s="1536" customFormat="1" ht="16.5" thickBot="1">
      <c r="A68" s="1077" t="s">
        <v>1000</v>
      </c>
      <c r="B68" s="1078" t="s">
        <v>1390</v>
      </c>
      <c r="C68" s="307">
        <f ca="1">ROUND(C67*(1-((1+F70)/(1+F68))^F69)/(F68-F70),0)</f>
        <v>-11342</v>
      </c>
      <c r="D68" s="1095" t="s">
        <v>1374</v>
      </c>
      <c r="E68" s="1080" t="s">
        <v>1375</v>
      </c>
      <c r="F68" s="318">
        <f ca="1">F40</f>
        <v>0.05</v>
      </c>
      <c r="O68" s="1580" t="s">
        <v>1011</v>
      </c>
      <c r="P68" s="1619" t="s">
        <v>1488</v>
      </c>
      <c r="Q68" s="1572">
        <f ca="1">ROUND(Q69-Q70*Q71,0)</f>
        <v>-303</v>
      </c>
      <c r="R68" s="1572" t="s">
        <v>1019</v>
      </c>
    </row>
    <row r="69" spans="1:18" s="1536" customFormat="1" ht="13.5" thickBot="1">
      <c r="A69" s="1081"/>
      <c r="B69" s="1082"/>
      <c r="C69" s="312"/>
      <c r="D69" s="1100" t="s">
        <v>1378</v>
      </c>
      <c r="E69" s="1080" t="s">
        <v>1379</v>
      </c>
      <c r="F69" s="339">
        <f ca="1">F41</f>
        <v>35.92</v>
      </c>
      <c r="O69" s="1580" t="s">
        <v>1016</v>
      </c>
      <c r="P69" s="1619" t="s">
        <v>1489</v>
      </c>
      <c r="Q69" s="1572">
        <f ca="1">C39</f>
        <v>263</v>
      </c>
      <c r="R69" s="1572" t="s">
        <v>1434</v>
      </c>
    </row>
    <row r="70" spans="1:18" s="1536" customFormat="1" ht="13.5" thickBot="1">
      <c r="A70" s="1084"/>
      <c r="B70" s="1085"/>
      <c r="C70" s="316"/>
      <c r="D70" s="1096"/>
      <c r="E70" s="1080" t="s">
        <v>1382</v>
      </c>
      <c r="F70" s="1184"/>
      <c r="O70" s="1580" t="s">
        <v>1017</v>
      </c>
      <c r="P70" s="1619" t="s">
        <v>1490</v>
      </c>
      <c r="Q70" s="1572">
        <f ca="1">C13</f>
        <v>7546</v>
      </c>
      <c r="R70" s="1572" t="s">
        <v>1434</v>
      </c>
    </row>
    <row r="71" spans="1:18" s="1536" customFormat="1" ht="13.5" thickBot="1">
      <c r="A71" s="1101" t="s">
        <v>1001</v>
      </c>
      <c r="B71" s="1102" t="s">
        <v>1392</v>
      </c>
      <c r="C71" s="342">
        <f ca="1">ROUND(C68*10000/F71,0)</f>
        <v>-10916</v>
      </c>
      <c r="D71" s="1103" t="s">
        <v>1393</v>
      </c>
      <c r="E71" s="1104" t="s">
        <v>1394</v>
      </c>
      <c r="F71" s="345">
        <f ca="1">F43</f>
        <v>10390.25</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566</v>
      </c>
      <c r="D75" s="1536"/>
      <c r="E75" s="1536"/>
      <c r="F75" s="1536"/>
      <c r="K75" s="1554"/>
      <c r="L75" s="1536"/>
      <c r="O75" s="1570" t="s">
        <v>1014</v>
      </c>
      <c r="P75" s="1571" t="s">
        <v>1454</v>
      </c>
      <c r="Q75" s="1572">
        <f ca="1">Q65+Q66</f>
        <v>6559</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-1.1520000000000001</v>
      </c>
    </row>
    <row r="80" spans="1:18">
      <c r="B80" s="346" t="s">
        <v>1416</v>
      </c>
      <c r="C80" s="280">
        <f ca="1">ROUND(C75/C39,3)</f>
        <v>2.1520000000000001</v>
      </c>
    </row>
    <row r="81" spans="2:3">
      <c r="B81" s="276" t="s">
        <v>1417</v>
      </c>
      <c r="C81" s="244"/>
    </row>
    <row r="82" spans="2:3">
      <c r="B82" s="279" t="s">
        <v>1418</v>
      </c>
      <c r="C82" s="281">
        <f ca="1">1-C83</f>
        <v>-0.14999999999999991</v>
      </c>
    </row>
    <row r="83" spans="2:3">
      <c r="B83" s="279" t="s">
        <v>1419</v>
      </c>
      <c r="C83" s="280">
        <f ca="1">ROUND(C13/C40,3)</f>
        <v>1.1499999999999999</v>
      </c>
    </row>
  </sheetData>
  <sheetProtection formatCells="0" formatColumns="0" formatRows="0"/>
  <mergeCells count="3">
    <mergeCell ref="B6:B9"/>
    <mergeCell ref="I6:I9"/>
    <mergeCell ref="K53:L53"/>
  </mergeCells>
  <phoneticPr fontId="141"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31"/>
  <sheetViews>
    <sheetView view="pageBreakPreview" zoomScaleNormal="100" zoomScaleSheetLayoutView="100" workbookViewId="0">
      <selection activeCell="H19" sqref="H19"/>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2286</v>
      </c>
      <c r="B1" s="2021"/>
      <c r="C1" s="2021"/>
      <c r="D1" s="2021"/>
      <c r="E1" s="2022"/>
      <c r="F1" s="2902"/>
      <c r="G1" s="1642"/>
      <c r="H1" s="1642"/>
      <c r="I1" s="1642"/>
      <c r="J1" s="1642"/>
      <c r="K1" s="1642"/>
      <c r="L1" s="1642"/>
      <c r="M1" s="1642"/>
      <c r="N1" s="1642"/>
      <c r="O1" s="1642"/>
      <c r="P1" s="1642"/>
      <c r="Q1" s="1642"/>
      <c r="R1" s="1642"/>
      <c r="S1" s="1642"/>
    </row>
    <row r="2" spans="1:22" ht="15.75">
      <c r="A2" s="2023" t="s">
        <v>2087</v>
      </c>
      <c r="B2" s="2024">
        <f ca="1">SUMIF(B6:B13,"&lt;&gt;#ref!",B6:B13)</f>
        <v>393149</v>
      </c>
      <c r="C2" s="2025" t="s">
        <v>2279</v>
      </c>
      <c r="D2" s="2026" t="s">
        <v>2280</v>
      </c>
      <c r="E2" s="2799">
        <f>SUM(E6:E13)</f>
        <v>70196.47</v>
      </c>
      <c r="F2" s="2902"/>
      <c r="G2" s="1642"/>
      <c r="H2" s="1642"/>
      <c r="I2" s="1642"/>
      <c r="J2" s="1642"/>
      <c r="K2" s="1642"/>
      <c r="L2" s="1642"/>
      <c r="M2" s="1642"/>
      <c r="N2" s="1642"/>
      <c r="O2" s="1642"/>
      <c r="P2" s="1642"/>
      <c r="Q2" s="1642"/>
      <c r="R2" s="1642"/>
      <c r="S2" s="1642"/>
    </row>
    <row r="3" spans="1:22" ht="15.75">
      <c r="A3" s="2023" t="s">
        <v>1300</v>
      </c>
      <c r="B3" s="2793">
        <f ca="1">ROUND(B2*10000/E2,0)</f>
        <v>56007</v>
      </c>
      <c r="C3" s="2025" t="s">
        <v>2287</v>
      </c>
      <c r="D3" s="2904"/>
      <c r="E3" s="2906"/>
      <c r="F3" s="2902"/>
      <c r="G3" s="1642"/>
      <c r="H3" s="1642"/>
      <c r="I3" s="1642"/>
      <c r="J3" s="1642"/>
      <c r="K3" s="1642"/>
      <c r="L3" s="1642"/>
      <c r="M3" s="1642"/>
      <c r="N3" s="1642"/>
      <c r="O3" s="1642"/>
      <c r="P3" s="1642"/>
      <c r="Q3" s="1642"/>
      <c r="R3" s="1642"/>
      <c r="S3" s="1642"/>
    </row>
    <row r="4" spans="1:22" ht="15.75">
      <c r="A4" s="2907"/>
      <c r="B4" s="2904"/>
      <c r="C4" s="2904"/>
      <c r="D4" s="2904"/>
      <c r="E4" s="2906"/>
      <c r="F4" s="2902"/>
      <c r="G4" s="1642"/>
      <c r="H4" s="1642"/>
      <c r="I4" s="1642"/>
      <c r="J4" s="1642"/>
      <c r="K4" s="1642"/>
      <c r="L4" s="1642"/>
      <c r="M4" s="1642"/>
      <c r="N4" s="1642"/>
      <c r="O4" s="1642"/>
      <c r="P4" s="1642"/>
      <c r="Q4" s="1642"/>
      <c r="R4" s="1642"/>
      <c r="S4" s="1642"/>
    </row>
    <row r="5" spans="1:22" ht="15">
      <c r="A5" s="2795" t="s">
        <v>2281</v>
      </c>
      <c r="B5" s="3581" t="s">
        <v>2282</v>
      </c>
      <c r="C5" s="3582"/>
      <c r="D5" s="2903"/>
      <c r="E5" s="2027" t="s">
        <v>2283</v>
      </c>
      <c r="F5" s="2028" t="s">
        <v>2284</v>
      </c>
      <c r="G5" s="1642"/>
      <c r="H5" s="1642"/>
      <c r="I5" s="1642"/>
      <c r="J5" s="1642"/>
      <c r="K5" s="1642"/>
      <c r="L5" s="1642"/>
      <c r="M5" s="1642"/>
      <c r="N5" s="1642"/>
      <c r="O5" s="1642"/>
      <c r="P5" s="1642"/>
      <c r="Q5" s="1642"/>
      <c r="R5" s="1642"/>
      <c r="S5" s="1642"/>
    </row>
    <row r="6" spans="1:22">
      <c r="A6" s="2796" t="str">
        <f>'数据-取费表'!AN6</f>
        <v>收益法</v>
      </c>
      <c r="B6" s="2794">
        <f ca="1">IF(F6="是",'数据-取费表'!AO6,0)</f>
        <v>379546</v>
      </c>
      <c r="C6" s="2025" t="s">
        <v>2279</v>
      </c>
      <c r="D6" s="2904"/>
      <c r="E6" s="2798">
        <f>IF(OR(A6=0,F6="否"),0,'数据-取费表'!K6+'数据-取费表'!S6)</f>
        <v>56521.430000000008</v>
      </c>
      <c r="F6" s="2029" t="s">
        <v>2285</v>
      </c>
      <c r="G6" s="1642"/>
      <c r="H6" s="1642"/>
      <c r="I6" s="1642"/>
      <c r="J6" s="1642"/>
      <c r="K6" s="1642"/>
      <c r="L6" s="1642"/>
      <c r="M6" s="1642"/>
      <c r="N6" s="1642"/>
      <c r="O6" s="1642"/>
      <c r="P6" s="1642"/>
      <c r="Q6" s="1642"/>
      <c r="R6" s="1642"/>
      <c r="S6" s="1642"/>
    </row>
    <row r="7" spans="1:22">
      <c r="A7" s="2796" t="str">
        <f>'数据-取费表'!AN7</f>
        <v>收益法 (地下综合)</v>
      </c>
      <c r="B7" s="2794">
        <f ca="1">IF(F7="是",'数据-取费表'!AO7,0)</f>
        <v>6819</v>
      </c>
      <c r="C7" s="2025" t="s">
        <v>2279</v>
      </c>
      <c r="D7" s="2904"/>
      <c r="E7" s="2798">
        <f>IF(OR(A7=0,F7="否"),0,'数据-取费表'!K7+'数据-取费表'!S7)</f>
        <v>3284.7900000000004</v>
      </c>
      <c r="F7" s="2029" t="s">
        <v>2285</v>
      </c>
      <c r="G7" s="1642"/>
      <c r="H7" s="1642"/>
      <c r="I7" s="1642"/>
      <c r="J7" s="1642"/>
      <c r="K7" s="1642"/>
      <c r="L7" s="1642"/>
      <c r="M7" s="1642"/>
      <c r="N7" s="1642"/>
      <c r="O7" s="1642"/>
      <c r="P7" s="1642"/>
      <c r="Q7" s="1642"/>
      <c r="R7" s="1642"/>
      <c r="S7" s="1642"/>
    </row>
    <row r="8" spans="1:22">
      <c r="A8" s="2796" t="str">
        <f>'数据-取费表'!AN8</f>
        <v>收益法 (地下车库)</v>
      </c>
      <c r="B8" s="2794">
        <f ca="1">IF(F8="是",'数据-取费表'!AO8,0)</f>
        <v>6784</v>
      </c>
      <c r="C8" s="2025" t="s">
        <v>2279</v>
      </c>
      <c r="D8" s="2904"/>
      <c r="E8" s="2798">
        <f>IF(OR(A8=0,F8="否"),0,'数据-取费表'!K8+'数据-取费表'!S8)</f>
        <v>10390.25</v>
      </c>
      <c r="F8" s="2029" t="s">
        <v>2285</v>
      </c>
      <c r="G8" s="1642"/>
      <c r="H8" s="1642"/>
      <c r="I8" s="1642"/>
      <c r="J8" s="1642"/>
      <c r="K8" s="1642"/>
      <c r="L8" s="1642"/>
      <c r="M8" s="1642"/>
      <c r="N8" s="1642"/>
      <c r="O8" s="1642"/>
      <c r="P8" s="1642"/>
      <c r="Q8" s="1642"/>
      <c r="R8" s="1642"/>
      <c r="S8" s="1642"/>
    </row>
    <row r="9" spans="1:22">
      <c r="A9" s="2796">
        <f>'数据-取费表'!AN9</f>
        <v>0</v>
      </c>
      <c r="B9" s="2794" t="e">
        <f ca="1">IF(F9="是",'数据-取费表'!AO9,0)</f>
        <v>#REF!</v>
      </c>
      <c r="C9" s="2025" t="s">
        <v>2279</v>
      </c>
      <c r="D9" s="2904"/>
      <c r="E9" s="2798">
        <f>IF(OR(A9=0,F9="否"),0,'数据-取费表'!K9+'数据-取费表'!S9)</f>
        <v>0</v>
      </c>
      <c r="F9" s="2029" t="s">
        <v>2285</v>
      </c>
      <c r="G9" s="1642"/>
      <c r="H9" s="1642"/>
      <c r="I9" s="1642"/>
      <c r="J9" s="1642"/>
      <c r="K9" s="1642"/>
      <c r="L9" s="1642"/>
      <c r="M9" s="1642"/>
      <c r="N9" s="1642"/>
      <c r="O9" s="1642"/>
      <c r="P9" s="1642"/>
      <c r="Q9" s="1642"/>
      <c r="R9" s="1642"/>
      <c r="S9" s="1642"/>
    </row>
    <row r="10" spans="1:22">
      <c r="A10" s="2796">
        <f>'数据-取费表'!AN10</f>
        <v>0</v>
      </c>
      <c r="B10" s="2794" t="e">
        <f ca="1">IF(F10="是",'数据-取费表'!AO10,0)</f>
        <v>#REF!</v>
      </c>
      <c r="C10" s="2025" t="s">
        <v>2279</v>
      </c>
      <c r="D10" s="2904"/>
      <c r="E10" s="2798">
        <f>IF(OR(A10=0,F10="否"),0,'数据-取费表'!K10+'数据-取费表'!S10)</f>
        <v>0</v>
      </c>
      <c r="F10" s="2029" t="s">
        <v>2285</v>
      </c>
      <c r="G10" s="1642"/>
      <c r="H10" s="1642"/>
      <c r="I10" s="1642"/>
      <c r="J10" s="1642"/>
      <c r="K10" s="1642"/>
      <c r="L10" s="1642"/>
      <c r="M10" s="1642"/>
      <c r="N10" s="1642"/>
      <c r="O10" s="1642"/>
      <c r="P10" s="1642"/>
      <c r="Q10" s="1642"/>
      <c r="R10" s="1642"/>
      <c r="S10" s="1642"/>
    </row>
    <row r="11" spans="1:22">
      <c r="A11" s="2796">
        <f>'数据-取费表'!AN11</f>
        <v>0</v>
      </c>
      <c r="B11" s="2794" t="e">
        <f ca="1">IF(F11="是",'数据-取费表'!AO11,0)</f>
        <v>#REF!</v>
      </c>
      <c r="C11" s="2025" t="s">
        <v>2279</v>
      </c>
      <c r="D11" s="2904"/>
      <c r="E11" s="2798">
        <f>IF(OR(A11=0,F11="否"),0,'数据-取费表'!K11+'数据-取费表'!S11)</f>
        <v>0</v>
      </c>
      <c r="F11" s="2029" t="s">
        <v>2285</v>
      </c>
      <c r="G11" s="1642"/>
      <c r="H11" s="1642"/>
      <c r="I11" s="1642"/>
      <c r="J11" s="1642"/>
      <c r="K11" s="1642"/>
      <c r="L11" s="1642"/>
      <c r="M11" s="1642"/>
      <c r="N11" s="1642"/>
      <c r="O11" s="1642"/>
      <c r="P11" s="1642"/>
      <c r="Q11" s="1642"/>
      <c r="R11" s="1642"/>
      <c r="S11" s="1642"/>
    </row>
    <row r="12" spans="1:22">
      <c r="A12" s="2796">
        <f>'数据-取费表'!AN12</f>
        <v>0</v>
      </c>
      <c r="B12" s="2794" t="e">
        <f ca="1">IF(F12="是",'数据-取费表'!AO12,0)</f>
        <v>#REF!</v>
      </c>
      <c r="C12" s="2025" t="s">
        <v>2279</v>
      </c>
      <c r="D12" s="2904"/>
      <c r="E12" s="2798">
        <f>IF(OR(A12=0,F12="否"),0,'数据-取费表'!K12+'数据-取费表'!S12)</f>
        <v>0</v>
      </c>
      <c r="F12" s="2029" t="s">
        <v>2285</v>
      </c>
      <c r="G12" s="1642"/>
      <c r="H12" s="1642"/>
      <c r="I12" s="1642"/>
      <c r="J12" s="1642"/>
      <c r="K12" s="1642"/>
      <c r="L12" s="1642"/>
      <c r="M12" s="1642"/>
      <c r="N12" s="1642"/>
      <c r="O12" s="1642"/>
      <c r="P12" s="1642"/>
      <c r="Q12" s="1642"/>
      <c r="R12" s="1642"/>
      <c r="S12" s="1642"/>
    </row>
    <row r="13" spans="1:22" ht="15" thickBot="1">
      <c r="A13" s="2797">
        <f>'数据-取费表'!AN13</f>
        <v>0</v>
      </c>
      <c r="B13" s="2794" t="e">
        <f ca="1">IF(F13="是",'数据-取费表'!AO13,0)</f>
        <v>#REF!</v>
      </c>
      <c r="C13" s="2030" t="s">
        <v>2279</v>
      </c>
      <c r="D13" s="2905"/>
      <c r="E13" s="2798">
        <f>IF(OR(A13=0,F13="否"),0,'数据-取费表'!K13+'数据-取费表'!S13)</f>
        <v>0</v>
      </c>
      <c r="F13" s="2029" t="s">
        <v>2285</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2200-000000000000}">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2288</v>
      </c>
      <c r="B1" s="2031" t="s">
        <v>2289</v>
      </c>
      <c r="C1" s="1376" t="s">
        <v>2290</v>
      </c>
      <c r="D1" s="1363"/>
      <c r="E1" s="2511"/>
      <c r="F1" s="2032" t="s">
        <v>2291</v>
      </c>
      <c r="G1" s="1373" t="s">
        <v>2292</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6" t="e">
        <f ca="1">SUMIF(INDIRECT("'"&amp;F2&amp;"'"&amp;"!A:A"),"承租人权益价值",INDIRECT("'"&amp;F2&amp;"'"&amp;"!c:c"))</f>
        <v>#REF!</v>
      </c>
      <c r="E2" s="2035" t="s">
        <v>2293</v>
      </c>
      <c r="F2" s="2036"/>
      <c r="G2" s="1037"/>
      <c r="H2" s="1037"/>
      <c r="I2" s="1037"/>
      <c r="J2" s="1037"/>
      <c r="K2" s="2037"/>
      <c r="L2" s="2908"/>
      <c r="M2" s="2909"/>
      <c r="N2" s="2909"/>
      <c r="O2" s="2909"/>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2294</v>
      </c>
      <c r="D3" s="359">
        <f>IF(D1="",'数据-汇总表'!E3,SUMIF('数据-汇总表'!$C19:$C33,D1,'数据-汇总表'!$E19:$E33))</f>
        <v>70196.47</v>
      </c>
      <c r="E3" s="1037"/>
      <c r="F3" s="2041"/>
      <c r="G3" s="1037"/>
      <c r="H3" s="1037"/>
      <c r="I3" s="1037"/>
      <c r="J3" s="1037"/>
      <c r="K3" s="2037"/>
      <c r="L3" s="2908"/>
      <c r="M3" s="2909"/>
      <c r="N3" s="2909"/>
      <c r="O3" s="2909"/>
      <c r="P3" s="2038"/>
      <c r="Q3" s="2039"/>
      <c r="R3" s="2039"/>
      <c r="S3" s="2039"/>
      <c r="T3" s="2039"/>
      <c r="U3" s="2039"/>
      <c r="V3" s="2039"/>
      <c r="W3" s="2039"/>
      <c r="X3" s="2039"/>
      <c r="Y3" s="2039"/>
      <c r="Z3" s="2039"/>
      <c r="AA3" s="2039"/>
      <c r="AB3" s="2039"/>
      <c r="AC3" s="1191"/>
    </row>
    <row r="4" spans="1:29" ht="15">
      <c r="A4" s="361" t="s">
        <v>2295</v>
      </c>
      <c r="B4" s="362"/>
      <c r="C4" s="3517" t="s">
        <v>2296</v>
      </c>
      <c r="D4" s="3518"/>
      <c r="E4" s="3519" t="s">
        <v>2297</v>
      </c>
      <c r="F4" s="3520"/>
      <c r="G4" s="3517" t="s">
        <v>2298</v>
      </c>
      <c r="H4" s="3518"/>
      <c r="I4" s="3517" t="s">
        <v>2299</v>
      </c>
      <c r="J4" s="3518"/>
      <c r="K4" s="2042" t="s">
        <v>2300</v>
      </c>
      <c r="L4" s="2910"/>
      <c r="M4" s="2911"/>
      <c r="N4" s="2911"/>
      <c r="O4" s="2911"/>
      <c r="P4" s="3587" t="s">
        <v>2301</v>
      </c>
      <c r="Q4" s="3588"/>
      <c r="R4" s="3591" t="s">
        <v>2297</v>
      </c>
      <c r="S4" s="3592"/>
      <c r="T4" s="3591" t="s">
        <v>2298</v>
      </c>
      <c r="U4" s="3592"/>
      <c r="V4" s="3534" t="s">
        <v>2299</v>
      </c>
      <c r="W4" s="3534"/>
      <c r="X4" s="1507"/>
      <c r="Y4" s="3591" t="s">
        <v>2301</v>
      </c>
      <c r="Z4" s="3592"/>
      <c r="AA4" s="3586" t="s">
        <v>2297</v>
      </c>
      <c r="AB4" s="3586" t="s">
        <v>2298</v>
      </c>
      <c r="AC4" s="3586" t="s">
        <v>2299</v>
      </c>
    </row>
    <row r="5" spans="1:29" ht="15">
      <c r="A5" s="364"/>
      <c r="B5" s="365"/>
      <c r="C5" s="3543" t="s">
        <v>2302</v>
      </c>
      <c r="D5" s="3538"/>
      <c r="E5" s="3593" t="s">
        <v>2303</v>
      </c>
      <c r="F5" s="3550"/>
      <c r="G5" s="3543" t="s">
        <v>2304</v>
      </c>
      <c r="H5" s="3538"/>
      <c r="I5" s="3543" t="s">
        <v>2305</v>
      </c>
      <c r="J5" s="3538"/>
      <c r="K5" s="2043"/>
      <c r="L5" s="2910"/>
      <c r="M5" s="2911"/>
      <c r="N5" s="2911"/>
      <c r="O5" s="2911"/>
      <c r="P5" s="3589"/>
      <c r="Q5" s="3524"/>
      <c r="R5" s="3529"/>
      <c r="S5" s="3530"/>
      <c r="T5" s="3529"/>
      <c r="U5" s="3530"/>
      <c r="V5" s="3534"/>
      <c r="W5" s="3534"/>
      <c r="X5" s="1507"/>
      <c r="Y5" s="3529"/>
      <c r="Z5" s="3530"/>
      <c r="AA5" s="3547"/>
      <c r="AB5" s="3547"/>
      <c r="AC5" s="3547"/>
    </row>
    <row r="6" spans="1:29" ht="15.75" thickBot="1">
      <c r="A6" s="366"/>
      <c r="B6" s="367"/>
      <c r="C6" s="3535" t="s">
        <v>2306</v>
      </c>
      <c r="D6" s="3536"/>
      <c r="E6" s="3544" t="s">
        <v>2306</v>
      </c>
      <c r="F6" s="3545"/>
      <c r="G6" s="3535" t="s">
        <v>2306</v>
      </c>
      <c r="H6" s="3536"/>
      <c r="I6" s="3535" t="s">
        <v>2306</v>
      </c>
      <c r="J6" s="3536"/>
      <c r="K6" s="2043" t="s">
        <v>2307</v>
      </c>
      <c r="L6" s="2910"/>
      <c r="M6" s="2911"/>
      <c r="N6" s="2911"/>
      <c r="O6" s="2911"/>
      <c r="P6" s="3590"/>
      <c r="Q6" s="3526"/>
      <c r="R6" s="3529"/>
      <c r="S6" s="3530"/>
      <c r="T6" s="3531"/>
      <c r="U6" s="3532"/>
      <c r="V6" s="3534"/>
      <c r="W6" s="3534"/>
      <c r="X6" s="1507"/>
      <c r="Y6" s="3531"/>
      <c r="Z6" s="3532"/>
      <c r="AA6" s="3548"/>
      <c r="AB6" s="3548"/>
      <c r="AC6" s="3548"/>
    </row>
    <row r="7" spans="1:29" s="113" customFormat="1" ht="15.75" thickBot="1">
      <c r="A7" s="368" t="s">
        <v>2308</v>
      </c>
      <c r="B7" s="369"/>
      <c r="C7" s="370">
        <f>'数据-取费表'!B2</f>
        <v>44665</v>
      </c>
      <c r="D7" s="371">
        <v>100</v>
      </c>
      <c r="E7" s="372"/>
      <c r="F7" s="373">
        <f>SUMIF(58:58,YEAR(E7)&amp;"-"&amp;MONTH(E7),59:59)</f>
        <v>0</v>
      </c>
      <c r="G7" s="372"/>
      <c r="H7" s="371">
        <f>SUMIF(58:58,YEAR(G7)&amp;"-"&amp;MONTH(G7),59:59)</f>
        <v>0</v>
      </c>
      <c r="I7" s="372"/>
      <c r="J7" s="371">
        <f>SUMIF(58:58,YEAR(I7)&amp;"-"&amp;MONTH(I7),59:59)</f>
        <v>0</v>
      </c>
      <c r="K7" s="2044"/>
      <c r="L7" s="2912"/>
      <c r="M7" s="2913"/>
      <c r="N7" s="2913"/>
      <c r="O7" s="2913"/>
      <c r="P7" s="3541" t="s">
        <v>2309</v>
      </c>
      <c r="Q7" s="3542"/>
      <c r="R7" s="710" t="s">
        <v>23</v>
      </c>
      <c r="S7" s="711">
        <f t="shared" ref="S7:S15" si="0">F7</f>
        <v>0</v>
      </c>
      <c r="T7" s="710" t="s">
        <v>23</v>
      </c>
      <c r="U7" s="711">
        <f t="shared" ref="U7:U15" si="1">H7</f>
        <v>0</v>
      </c>
      <c r="V7" s="710" t="s">
        <v>23</v>
      </c>
      <c r="W7" s="711">
        <f t="shared" ref="W7:W15" si="2">J7</f>
        <v>0</v>
      </c>
      <c r="X7" s="712"/>
      <c r="Y7" s="3541" t="s">
        <v>2309</v>
      </c>
      <c r="Z7" s="3540"/>
      <c r="AA7" s="713" t="e">
        <f>D7/F7</f>
        <v>#DIV/0!</v>
      </c>
      <c r="AB7" s="713" t="e">
        <f>D7/H7</f>
        <v>#DIV/0!</v>
      </c>
      <c r="AC7" s="713" t="e">
        <f>D7/J7</f>
        <v>#DIV/0!</v>
      </c>
    </row>
    <row r="8" spans="1:29" s="113" customFormat="1" ht="15.75" thickBot="1">
      <c r="A8" s="368" t="s">
        <v>2310</v>
      </c>
      <c r="B8" s="369"/>
      <c r="C8" s="374" t="s">
        <v>2311</v>
      </c>
      <c r="D8" s="371">
        <v>100</v>
      </c>
      <c r="E8" s="2045"/>
      <c r="F8" s="373">
        <f>SUMIF(61:61,E8,62:62)-SUMIF(61:61,C8,62:62)+100</f>
        <v>0</v>
      </c>
      <c r="G8" s="374"/>
      <c r="H8" s="371">
        <f>SUMIF(61:61,G8,62:62)-SUMIF(61:61,C8,62:62)+100</f>
        <v>0</v>
      </c>
      <c r="I8" s="2045"/>
      <c r="J8" s="371">
        <f>SUMIF(61:61,I8,62:62)-SUMIF(61:61,C8,62:62)+100</f>
        <v>0</v>
      </c>
      <c r="K8" s="2044"/>
      <c r="L8" s="2912"/>
      <c r="M8" s="2913"/>
      <c r="N8" s="2913"/>
      <c r="O8" s="2913"/>
      <c r="P8" s="3541" t="s">
        <v>2312</v>
      </c>
      <c r="Q8" s="3540"/>
      <c r="R8" s="710" t="s">
        <v>23</v>
      </c>
      <c r="S8" s="711">
        <f t="shared" si="0"/>
        <v>0</v>
      </c>
      <c r="T8" s="710" t="s">
        <v>23</v>
      </c>
      <c r="U8" s="711">
        <f t="shared" si="1"/>
        <v>0</v>
      </c>
      <c r="V8" s="710" t="s">
        <v>23</v>
      </c>
      <c r="W8" s="711">
        <f t="shared" si="2"/>
        <v>0</v>
      </c>
      <c r="X8" s="712"/>
      <c r="Y8" s="3541" t="s">
        <v>2312</v>
      </c>
      <c r="Z8" s="3540"/>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4"/>
      <c r="L9" s="2912"/>
      <c r="M9" s="2913"/>
      <c r="N9" s="2913"/>
      <c r="O9" s="2913"/>
      <c r="P9" s="3499" t="s">
        <v>2315</v>
      </c>
      <c r="Q9" s="1495"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99"/>
      <c r="Q10" s="1495"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99"/>
      <c r="Q11" s="1495" t="str">
        <f t="shared" si="6"/>
        <v>容积率</v>
      </c>
      <c r="R11" s="710" t="s">
        <v>21</v>
      </c>
      <c r="S11" s="711" t="e">
        <f t="shared" si="0"/>
        <v>#N/A</v>
      </c>
      <c r="T11" s="710" t="s">
        <v>21</v>
      </c>
      <c r="U11" s="711" t="e">
        <f t="shared" si="1"/>
        <v>#N/A</v>
      </c>
      <c r="V11" s="710" t="s">
        <v>21</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2"/>
      <c r="M12" s="2913"/>
      <c r="N12" s="2913"/>
      <c r="O12" s="2913"/>
      <c r="P12" s="3499"/>
      <c r="Q12" s="1495">
        <f t="shared" si="6"/>
        <v>111</v>
      </c>
      <c r="R12" s="710" t="s">
        <v>21</v>
      </c>
      <c r="S12" s="711">
        <f t="shared" si="0"/>
        <v>100</v>
      </c>
      <c r="T12" s="710" t="s">
        <v>21</v>
      </c>
      <c r="U12" s="711">
        <f t="shared" si="1"/>
        <v>100</v>
      </c>
      <c r="V12" s="710" t="s">
        <v>21</v>
      </c>
      <c r="W12" s="711">
        <f t="shared" si="2"/>
        <v>100</v>
      </c>
      <c r="X12" s="712"/>
      <c r="Y12" s="3400"/>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7"/>
      <c r="M13" s="2911"/>
      <c r="N13" s="2911"/>
      <c r="O13" s="2911"/>
      <c r="P13" s="3499"/>
      <c r="Q13" s="1495">
        <f t="shared" si="6"/>
        <v>111</v>
      </c>
      <c r="R13" s="710" t="s">
        <v>21</v>
      </c>
      <c r="S13" s="711">
        <f t="shared" si="0"/>
        <v>100</v>
      </c>
      <c r="T13" s="710" t="s">
        <v>21</v>
      </c>
      <c r="U13" s="711">
        <f t="shared" si="1"/>
        <v>100</v>
      </c>
      <c r="V13" s="710" t="s">
        <v>21</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7"/>
      <c r="M14" s="2911"/>
      <c r="N14" s="2911"/>
      <c r="O14" s="2911"/>
      <c r="P14" s="3499"/>
      <c r="Q14" s="1495">
        <f t="shared" si="6"/>
        <v>111</v>
      </c>
      <c r="R14" s="710" t="s">
        <v>21</v>
      </c>
      <c r="S14" s="711">
        <f t="shared" si="0"/>
        <v>100</v>
      </c>
      <c r="T14" s="710" t="s">
        <v>21</v>
      </c>
      <c r="U14" s="711">
        <f t="shared" si="1"/>
        <v>100</v>
      </c>
      <c r="V14" s="710" t="s">
        <v>21</v>
      </c>
      <c r="W14" s="711">
        <f t="shared" si="2"/>
        <v>100</v>
      </c>
      <c r="X14" s="712"/>
      <c r="Y14" s="3400"/>
      <c r="Z14" s="55">
        <f t="shared" si="7"/>
        <v>111</v>
      </c>
      <c r="AA14" s="713">
        <f t="shared" si="3"/>
        <v>1</v>
      </c>
      <c r="AB14" s="713">
        <f t="shared" si="4"/>
        <v>1</v>
      </c>
      <c r="AC14" s="713">
        <f t="shared" si="5"/>
        <v>1</v>
      </c>
    </row>
    <row r="15" spans="1:29" ht="15">
      <c r="A15" s="399" t="s">
        <v>2319</v>
      </c>
      <c r="B15" s="65" t="s">
        <v>1882</v>
      </c>
      <c r="C15" s="2049">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505" t="s">
        <v>2320</v>
      </c>
      <c r="Q15" s="1504" t="str">
        <f t="shared" si="6"/>
        <v>居住社区成熟度</v>
      </c>
      <c r="R15" s="714" t="s">
        <v>21</v>
      </c>
      <c r="S15" s="715">
        <f t="shared" si="0"/>
        <v>100</v>
      </c>
      <c r="T15" s="714" t="s">
        <v>21</v>
      </c>
      <c r="U15" s="715">
        <f t="shared" si="1"/>
        <v>100</v>
      </c>
      <c r="V15" s="714" t="s">
        <v>21</v>
      </c>
      <c r="W15" s="715">
        <f t="shared" si="2"/>
        <v>100</v>
      </c>
      <c r="X15" s="1507"/>
      <c r="Y15" s="3507" t="s">
        <v>2320</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7"/>
      <c r="M16" s="2911"/>
      <c r="N16" s="2911"/>
      <c r="O16" s="2911"/>
      <c r="P16" s="3506"/>
      <c r="Q16" s="1504"/>
      <c r="R16" s="714"/>
      <c r="S16" s="715"/>
      <c r="T16" s="714"/>
      <c r="U16" s="715"/>
      <c r="V16" s="714"/>
      <c r="W16" s="715"/>
      <c r="X16" s="1507"/>
      <c r="Y16" s="3508"/>
      <c r="Z16" s="1508"/>
      <c r="AA16" s="1505">
        <v>1</v>
      </c>
      <c r="AB16" s="1505">
        <v>1</v>
      </c>
      <c r="AC16" s="1505">
        <v>1</v>
      </c>
    </row>
    <row r="17" spans="1:29" ht="15">
      <c r="A17" s="387"/>
      <c r="B17" s="410" t="s">
        <v>1884</v>
      </c>
      <c r="C17" s="2053"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506"/>
      <c r="Q17" s="1504" t="str">
        <f>B17</f>
        <v>交通便捷度</v>
      </c>
      <c r="R17" s="714" t="s">
        <v>21</v>
      </c>
      <c r="S17" s="715">
        <f>F17</f>
        <v>100</v>
      </c>
      <c r="T17" s="714" t="s">
        <v>21</v>
      </c>
      <c r="U17" s="715">
        <f>H17</f>
        <v>100</v>
      </c>
      <c r="V17" s="714" t="s">
        <v>21</v>
      </c>
      <c r="W17" s="715">
        <f>J17</f>
        <v>100</v>
      </c>
      <c r="X17" s="1507"/>
      <c r="Y17" s="3508"/>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7"/>
      <c r="M18" s="2911"/>
      <c r="N18" s="2911"/>
      <c r="O18" s="2911"/>
      <c r="P18" s="3506"/>
      <c r="Q18" s="1504"/>
      <c r="R18" s="714"/>
      <c r="S18" s="715"/>
      <c r="T18" s="714"/>
      <c r="U18" s="715"/>
      <c r="V18" s="714"/>
      <c r="W18" s="715"/>
      <c r="X18" s="1507"/>
      <c r="Y18" s="3508"/>
      <c r="Z18" s="1508"/>
      <c r="AA18" s="1505">
        <v>1</v>
      </c>
      <c r="AB18" s="1505">
        <v>1</v>
      </c>
      <c r="AC18" s="1505">
        <v>1</v>
      </c>
    </row>
    <row r="19" spans="1:29" ht="15">
      <c r="A19" s="387"/>
      <c r="B19" s="410" t="s">
        <v>1883</v>
      </c>
      <c r="C19" s="2053"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506"/>
      <c r="Q19" s="1504" t="str">
        <f>B19</f>
        <v>公共配套设施</v>
      </c>
      <c r="R19" s="714" t="s">
        <v>21</v>
      </c>
      <c r="S19" s="715">
        <f>F19</f>
        <v>100</v>
      </c>
      <c r="T19" s="714" t="s">
        <v>21</v>
      </c>
      <c r="U19" s="715">
        <f>H19</f>
        <v>100</v>
      </c>
      <c r="V19" s="714" t="s">
        <v>21</v>
      </c>
      <c r="W19" s="715">
        <f>J19</f>
        <v>100</v>
      </c>
      <c r="X19" s="1507"/>
      <c r="Y19" s="3508"/>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7"/>
      <c r="M20" s="2911"/>
      <c r="N20" s="2911"/>
      <c r="O20" s="2911"/>
      <c r="P20" s="3506"/>
      <c r="Q20" s="1504"/>
      <c r="R20" s="714"/>
      <c r="S20" s="715"/>
      <c r="T20" s="714"/>
      <c r="U20" s="715"/>
      <c r="V20" s="714"/>
      <c r="W20" s="715"/>
      <c r="X20" s="1507"/>
      <c r="Y20" s="3508"/>
      <c r="Z20" s="1508"/>
      <c r="AA20" s="1505">
        <v>1</v>
      </c>
      <c r="AB20" s="1505">
        <v>1</v>
      </c>
      <c r="AC20" s="1505">
        <v>1</v>
      </c>
    </row>
    <row r="21" spans="1:29" ht="15">
      <c r="A21" s="387"/>
      <c r="B21" s="1264" t="s">
        <v>1885</v>
      </c>
      <c r="C21" s="2053"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506"/>
      <c r="Q21" s="1504" t="str">
        <f>B21</f>
        <v>基础设施水平</v>
      </c>
      <c r="R21" s="714" t="s">
        <v>17</v>
      </c>
      <c r="S21" s="715">
        <f>F21</f>
        <v>100</v>
      </c>
      <c r="T21" s="714" t="s">
        <v>17</v>
      </c>
      <c r="U21" s="715">
        <f>H21</f>
        <v>100</v>
      </c>
      <c r="V21" s="714" t="s">
        <v>17</v>
      </c>
      <c r="W21" s="715">
        <f>J21</f>
        <v>100</v>
      </c>
      <c r="X21" s="1507"/>
      <c r="Y21" s="3508"/>
      <c r="Z21" s="1508" t="str">
        <f>Q21</f>
        <v>基础设施水平</v>
      </c>
      <c r="AA21" s="1505">
        <f t="shared" ref="AA21" si="8">D21/F21</f>
        <v>1</v>
      </c>
      <c r="AB21" s="1505">
        <f t="shared" ref="AB21" si="9">D21/H21</f>
        <v>1</v>
      </c>
      <c r="AC21" s="1505">
        <f t="shared" ref="AC21" si="10">D21/J21</f>
        <v>1</v>
      </c>
    </row>
    <row r="22" spans="1:29" ht="15">
      <c r="A22" s="387"/>
      <c r="B22" s="1264"/>
      <c r="C22" s="2054"/>
      <c r="D22" s="407"/>
      <c r="E22" s="406"/>
      <c r="F22" s="407"/>
      <c r="G22" s="2057"/>
      <c r="H22" s="407"/>
      <c r="I22" s="406"/>
      <c r="J22" s="407"/>
      <c r="K22" s="2058"/>
      <c r="L22" s="2917"/>
      <c r="M22" s="2911"/>
      <c r="N22" s="2911"/>
      <c r="O22" s="2911"/>
      <c r="P22" s="3506"/>
      <c r="Q22" s="1504"/>
      <c r="R22" s="714"/>
      <c r="S22" s="715"/>
      <c r="T22" s="714"/>
      <c r="U22" s="715"/>
      <c r="V22" s="714"/>
      <c r="W22" s="715"/>
      <c r="X22" s="1507"/>
      <c r="Y22" s="3508"/>
      <c r="Z22" s="1508"/>
      <c r="AA22" s="1505">
        <v>1</v>
      </c>
      <c r="AB22" s="1505">
        <v>1</v>
      </c>
      <c r="AC22" s="1505">
        <v>1</v>
      </c>
    </row>
    <row r="23" spans="1:29" ht="15">
      <c r="A23" s="387"/>
      <c r="B23" s="410" t="s">
        <v>1886</v>
      </c>
      <c r="C23" s="2053"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506"/>
      <c r="Q23" s="1504" t="str">
        <f>B23</f>
        <v>自然及人文环境</v>
      </c>
      <c r="R23" s="714" t="s">
        <v>21</v>
      </c>
      <c r="S23" s="715">
        <f>F23</f>
        <v>100</v>
      </c>
      <c r="T23" s="714" t="s">
        <v>21</v>
      </c>
      <c r="U23" s="715">
        <f>H23</f>
        <v>100</v>
      </c>
      <c r="V23" s="714" t="s">
        <v>21</v>
      </c>
      <c r="W23" s="715">
        <f>J23</f>
        <v>100</v>
      </c>
      <c r="X23" s="1507"/>
      <c r="Y23" s="3508"/>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7"/>
      <c r="M24" s="2911"/>
      <c r="N24" s="2911"/>
      <c r="O24" s="2911"/>
      <c r="P24" s="3506"/>
      <c r="Q24" s="1504"/>
      <c r="R24" s="714"/>
      <c r="S24" s="715"/>
      <c r="T24" s="714"/>
      <c r="U24" s="715"/>
      <c r="V24" s="714"/>
      <c r="W24" s="715"/>
      <c r="X24" s="1507"/>
      <c r="Y24" s="3508"/>
      <c r="Z24" s="1508"/>
      <c r="AA24" s="1505">
        <v>1</v>
      </c>
      <c r="AB24" s="1505">
        <v>1</v>
      </c>
      <c r="AC24" s="1505">
        <v>1</v>
      </c>
    </row>
    <row r="25" spans="1:29" ht="15">
      <c r="A25" s="387"/>
      <c r="B25" s="381" t="s">
        <v>2321</v>
      </c>
      <c r="C25" s="419"/>
      <c r="D25" s="394">
        <v>100</v>
      </c>
      <c r="E25" s="2059"/>
      <c r="F25" s="394">
        <f>SUMIF(86:86,E25,87:87)-SUMIF(86:86,C25,87:87)+100</f>
        <v>100</v>
      </c>
      <c r="G25" s="2060"/>
      <c r="H25" s="394">
        <f>SUMIF(86:86,G25,87:87)-SUMIF(86:86,C25,87:87)+100</f>
        <v>100</v>
      </c>
      <c r="I25" s="2060"/>
      <c r="J25" s="394">
        <f>SUMIF(86:86,I25,87:87)-SUMIF(86:86,C25,87:87)+100</f>
        <v>100</v>
      </c>
      <c r="K25" s="385"/>
      <c r="L25" s="2917"/>
      <c r="M25" s="2911"/>
      <c r="N25" s="2911"/>
      <c r="O25" s="2911"/>
      <c r="P25" s="3506"/>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508"/>
      <c r="Z25" s="1508" t="str">
        <f>Q25</f>
        <v>楼层-1</v>
      </c>
      <c r="AA25" s="1505">
        <f t="shared" ref="AA25:AA46" si="15">D25/F25</f>
        <v>1</v>
      </c>
      <c r="AB25" s="1505">
        <f t="shared" ref="AB25:AB46" si="16">D25/H25</f>
        <v>1</v>
      </c>
      <c r="AC25" s="1505">
        <f t="shared" ref="AC25:AC46" si="17">D25/J25</f>
        <v>1</v>
      </c>
    </row>
    <row r="26" spans="1:29" ht="15">
      <c r="A26" s="387"/>
      <c r="B26" s="381" t="s">
        <v>2322</v>
      </c>
      <c r="C26" s="419"/>
      <c r="D26" s="394">
        <v>100</v>
      </c>
      <c r="E26" s="2059"/>
      <c r="F26" s="394">
        <f>SUMIF(88:88,E26,89:89)-SUMIF(88:88,C26,89:89)+100</f>
        <v>100</v>
      </c>
      <c r="G26" s="2060"/>
      <c r="H26" s="394">
        <f>SUMIF(88:88,G26,89:89)-SUMIF(88:88,C26,89:89)+100</f>
        <v>100</v>
      </c>
      <c r="I26" s="2060"/>
      <c r="J26" s="394">
        <f>SUMIF(88:88,I26,89:89)-SUMIF(88:88,C26,89:89)+100</f>
        <v>100</v>
      </c>
      <c r="K26" s="385"/>
      <c r="L26" s="2917"/>
      <c r="M26" s="2911"/>
      <c r="N26" s="2911"/>
      <c r="O26" s="2911"/>
      <c r="P26" s="3506"/>
      <c r="Q26" s="1504" t="str">
        <f t="shared" si="11"/>
        <v>朝向</v>
      </c>
      <c r="R26" s="714" t="s">
        <v>21</v>
      </c>
      <c r="S26" s="715">
        <f t="shared" si="12"/>
        <v>100</v>
      </c>
      <c r="T26" s="714" t="s">
        <v>21</v>
      </c>
      <c r="U26" s="715">
        <f t="shared" si="13"/>
        <v>100</v>
      </c>
      <c r="V26" s="714" t="s">
        <v>21</v>
      </c>
      <c r="W26" s="715">
        <f t="shared" si="14"/>
        <v>100</v>
      </c>
      <c r="X26" s="1507"/>
      <c r="Y26" s="3508"/>
      <c r="Z26" s="1508" t="str">
        <f>Q26</f>
        <v>朝向</v>
      </c>
      <c r="AA26" s="1505">
        <f t="shared" si="15"/>
        <v>1</v>
      </c>
      <c r="AB26" s="1505">
        <f t="shared" si="16"/>
        <v>1</v>
      </c>
      <c r="AC26" s="1505">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7"/>
      <c r="L27" s="2912"/>
      <c r="M27" s="2913"/>
      <c r="N27" s="2913"/>
      <c r="O27" s="2913"/>
      <c r="P27" s="3506"/>
      <c r="Q27" s="1495">
        <f t="shared" si="11"/>
        <v>111</v>
      </c>
      <c r="R27" s="710" t="s">
        <v>21</v>
      </c>
      <c r="S27" s="711">
        <f t="shared" si="12"/>
        <v>100</v>
      </c>
      <c r="T27" s="710" t="s">
        <v>21</v>
      </c>
      <c r="U27" s="711">
        <f t="shared" si="13"/>
        <v>100</v>
      </c>
      <c r="V27" s="710" t="s">
        <v>21</v>
      </c>
      <c r="W27" s="711">
        <f t="shared" si="14"/>
        <v>100</v>
      </c>
      <c r="X27" s="712"/>
      <c r="Y27" s="3508"/>
      <c r="Z27" s="55">
        <f>Q27</f>
        <v>111</v>
      </c>
      <c r="AA27" s="1505">
        <f t="shared" si="15"/>
        <v>1</v>
      </c>
      <c r="AB27" s="1505">
        <f t="shared" si="16"/>
        <v>1</v>
      </c>
      <c r="AC27" s="1505">
        <f t="shared" si="17"/>
        <v>1</v>
      </c>
    </row>
    <row r="28" spans="1:29" ht="15">
      <c r="A28" s="387"/>
      <c r="B28" s="1266">
        <v>111</v>
      </c>
      <c r="C28" s="393"/>
      <c r="D28" s="394">
        <v>100</v>
      </c>
      <c r="E28" s="393"/>
      <c r="F28" s="394">
        <f>SUMIF(92:92,E28,93:93)-SUMIF(92:92,C28,93:93)+100</f>
        <v>100</v>
      </c>
      <c r="G28" s="2061"/>
      <c r="H28" s="394">
        <f>SUMIF(92:92,G28,93:93)-SUMIF(92:92,C28,93:93)+100</f>
        <v>100</v>
      </c>
      <c r="I28" s="393"/>
      <c r="J28" s="394">
        <f>SUMIF(92:92,I28,93:93)-SUMIF(92:92,C28,93:93)+100</f>
        <v>100</v>
      </c>
      <c r="K28" s="2047"/>
      <c r="L28" s="2917"/>
      <c r="M28" s="2911"/>
      <c r="N28" s="2911"/>
      <c r="O28" s="2911"/>
      <c r="P28" s="3506"/>
      <c r="Q28" s="1504">
        <f t="shared" si="11"/>
        <v>111</v>
      </c>
      <c r="R28" s="714" t="s">
        <v>21</v>
      </c>
      <c r="S28" s="715">
        <f t="shared" si="12"/>
        <v>100</v>
      </c>
      <c r="T28" s="714" t="s">
        <v>21</v>
      </c>
      <c r="U28" s="715">
        <f t="shared" si="13"/>
        <v>100</v>
      </c>
      <c r="V28" s="714" t="s">
        <v>21</v>
      </c>
      <c r="W28" s="715">
        <f t="shared" si="14"/>
        <v>100</v>
      </c>
      <c r="X28" s="1507"/>
      <c r="Y28" s="3508"/>
      <c r="Z28" s="1508">
        <f t="shared" ref="Z28:Z46" si="18">Q28</f>
        <v>111</v>
      </c>
      <c r="AA28" s="1505">
        <f t="shared" si="15"/>
        <v>1</v>
      </c>
      <c r="AB28" s="1505">
        <f t="shared" si="16"/>
        <v>1</v>
      </c>
      <c r="AC28" s="1505">
        <f t="shared" si="17"/>
        <v>1</v>
      </c>
    </row>
    <row r="29" spans="1:29" ht="15">
      <c r="A29" s="387"/>
      <c r="B29" s="1266">
        <v>111</v>
      </c>
      <c r="C29" s="393"/>
      <c r="D29" s="394">
        <v>100</v>
      </c>
      <c r="E29" s="393"/>
      <c r="F29" s="394">
        <f>SUMIF(94:94,E29,95:95)-SUMIF(94:94,C29,95:95)+100</f>
        <v>100</v>
      </c>
      <c r="G29" s="2061"/>
      <c r="H29" s="394">
        <f>SUMIF(94:94,G29,95:95)-SUMIF(94:94,C29,95:95)+100</f>
        <v>100</v>
      </c>
      <c r="I29" s="393"/>
      <c r="J29" s="394">
        <f>SUMIF(94:94,I29,95:95)-SUMIF(94:94,C29,95:95)+100</f>
        <v>100</v>
      </c>
      <c r="K29" s="2047"/>
      <c r="L29" s="2917"/>
      <c r="M29" s="2911"/>
      <c r="N29" s="2911"/>
      <c r="O29" s="2911"/>
      <c r="P29" s="3506"/>
      <c r="Q29" s="1504">
        <f t="shared" si="11"/>
        <v>111</v>
      </c>
      <c r="R29" s="714" t="s">
        <v>21</v>
      </c>
      <c r="S29" s="715">
        <f t="shared" si="12"/>
        <v>100</v>
      </c>
      <c r="T29" s="714" t="s">
        <v>21</v>
      </c>
      <c r="U29" s="715">
        <f t="shared" si="13"/>
        <v>100</v>
      </c>
      <c r="V29" s="714" t="s">
        <v>21</v>
      </c>
      <c r="W29" s="715">
        <f t="shared" si="14"/>
        <v>100</v>
      </c>
      <c r="X29" s="1507"/>
      <c r="Y29" s="3508"/>
      <c r="Z29" s="1508">
        <f t="shared" si="18"/>
        <v>111</v>
      </c>
      <c r="AA29" s="1505">
        <f t="shared" si="15"/>
        <v>1</v>
      </c>
      <c r="AB29" s="1505">
        <f t="shared" si="16"/>
        <v>1</v>
      </c>
      <c r="AC29" s="1505">
        <f t="shared" si="17"/>
        <v>1</v>
      </c>
    </row>
    <row r="30" spans="1:29" ht="15">
      <c r="A30" s="387"/>
      <c r="B30" s="1266">
        <v>111</v>
      </c>
      <c r="C30" s="393"/>
      <c r="D30" s="394">
        <v>100</v>
      </c>
      <c r="E30" s="393"/>
      <c r="F30" s="394">
        <f>SUMIF(96:96,E30,97:97)-SUMIF(96:96,C30,97:97)+100</f>
        <v>100</v>
      </c>
      <c r="G30" s="2061"/>
      <c r="H30" s="394">
        <f>SUMIF(96:96,G30,97:97)-SUMIF(96:96,C30,97:97)+100</f>
        <v>100</v>
      </c>
      <c r="I30" s="393"/>
      <c r="J30" s="394">
        <f>SUMIF(96:96,I30,97:97)-SUMIF(96:96,C30,97:97)+100</f>
        <v>100</v>
      </c>
      <c r="K30" s="2047"/>
      <c r="L30" s="2917"/>
      <c r="M30" s="2911"/>
      <c r="N30" s="2911"/>
      <c r="O30" s="2911"/>
      <c r="P30" s="3506"/>
      <c r="Q30" s="1504">
        <f t="shared" si="11"/>
        <v>111</v>
      </c>
      <c r="R30" s="714" t="s">
        <v>21</v>
      </c>
      <c r="S30" s="715">
        <f t="shared" si="12"/>
        <v>100</v>
      </c>
      <c r="T30" s="714" t="s">
        <v>21</v>
      </c>
      <c r="U30" s="715">
        <f t="shared" si="13"/>
        <v>100</v>
      </c>
      <c r="V30" s="714" t="s">
        <v>21</v>
      </c>
      <c r="W30" s="715">
        <f t="shared" si="14"/>
        <v>100</v>
      </c>
      <c r="X30" s="1507"/>
      <c r="Y30" s="3508"/>
      <c r="Z30" s="1508">
        <f t="shared" si="18"/>
        <v>111</v>
      </c>
      <c r="AA30" s="1505">
        <f t="shared" si="15"/>
        <v>1</v>
      </c>
      <c r="AB30" s="1505">
        <f t="shared" si="16"/>
        <v>1</v>
      </c>
      <c r="AC30" s="1505">
        <f t="shared" si="17"/>
        <v>1</v>
      </c>
    </row>
    <row r="31" spans="1:29" ht="15.75" thickBot="1">
      <c r="A31" s="395"/>
      <c r="B31" s="1266">
        <v>111</v>
      </c>
      <c r="C31" s="396"/>
      <c r="D31" s="397">
        <v>100</v>
      </c>
      <c r="E31" s="396"/>
      <c r="F31" s="397">
        <f>SUMIF(98:98,E31,99:99)-SUMIF(98:98,C31,99:99)+100</f>
        <v>100</v>
      </c>
      <c r="G31" s="2062"/>
      <c r="H31" s="397">
        <f>SUMIF(98:98,G31,99:99)-SUMIF(98:98,C31,99:99)+100</f>
        <v>100</v>
      </c>
      <c r="I31" s="396"/>
      <c r="J31" s="397">
        <f>SUMIF(98:98,I31,99:99)-SUMIF(98:98,C31,99:99)+100</f>
        <v>100</v>
      </c>
      <c r="K31" s="2047"/>
      <c r="L31" s="2917"/>
      <c r="M31" s="2911"/>
      <c r="N31" s="2911"/>
      <c r="O31" s="2911"/>
      <c r="P31" s="3506"/>
      <c r="Q31" s="1504">
        <f t="shared" si="11"/>
        <v>111</v>
      </c>
      <c r="R31" s="714" t="s">
        <v>21</v>
      </c>
      <c r="S31" s="715">
        <f t="shared" si="12"/>
        <v>100</v>
      </c>
      <c r="T31" s="714" t="s">
        <v>21</v>
      </c>
      <c r="U31" s="715">
        <f t="shared" si="13"/>
        <v>100</v>
      </c>
      <c r="V31" s="714" t="s">
        <v>21</v>
      </c>
      <c r="W31" s="715">
        <f t="shared" si="14"/>
        <v>100</v>
      </c>
      <c r="X31" s="1507"/>
      <c r="Y31" s="3508"/>
      <c r="Z31" s="1508">
        <f t="shared" si="18"/>
        <v>111</v>
      </c>
      <c r="AA31" s="1505">
        <f t="shared" si="15"/>
        <v>1</v>
      </c>
      <c r="AB31" s="1505">
        <f t="shared" si="16"/>
        <v>1</v>
      </c>
      <c r="AC31" s="1505">
        <f t="shared" si="17"/>
        <v>1</v>
      </c>
    </row>
    <row r="32" spans="1:29" ht="15">
      <c r="A32" s="399" t="s">
        <v>2323</v>
      </c>
      <c r="B32" s="67" t="s">
        <v>2324</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7"/>
      <c r="M32" s="2911"/>
      <c r="N32" s="2911"/>
      <c r="O32" s="2911"/>
      <c r="P32" s="3509" t="s">
        <v>2325</v>
      </c>
      <c r="Q32" s="1504" t="str">
        <f t="shared" si="11"/>
        <v>建筑类型</v>
      </c>
      <c r="R32" s="714" t="s">
        <v>21</v>
      </c>
      <c r="S32" s="715">
        <f t="shared" si="12"/>
        <v>100</v>
      </c>
      <c r="T32" s="714" t="s">
        <v>21</v>
      </c>
      <c r="U32" s="715">
        <f t="shared" si="13"/>
        <v>100</v>
      </c>
      <c r="V32" s="714" t="s">
        <v>21</v>
      </c>
      <c r="W32" s="715">
        <f t="shared" si="14"/>
        <v>100</v>
      </c>
      <c r="X32" s="1507"/>
      <c r="Y32" s="3512" t="s">
        <v>2325</v>
      </c>
      <c r="Z32" s="1508" t="str">
        <f t="shared" si="18"/>
        <v>建筑类型</v>
      </c>
      <c r="AA32" s="1505">
        <f t="shared" si="15"/>
        <v>1</v>
      </c>
      <c r="AB32" s="1505">
        <f t="shared" si="16"/>
        <v>1</v>
      </c>
      <c r="AC32" s="1505">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6"/>
      <c r="M33" s="2918"/>
      <c r="N33" s="2918"/>
      <c r="O33" s="2918"/>
      <c r="P33" s="3510"/>
      <c r="Q33" s="716" t="str">
        <f t="shared" si="11"/>
        <v>项目建筑规模</v>
      </c>
      <c r="R33" s="717" t="s">
        <v>21</v>
      </c>
      <c r="S33" s="718" t="e">
        <f t="shared" si="12"/>
        <v>#N/A</v>
      </c>
      <c r="T33" s="717" t="s">
        <v>21</v>
      </c>
      <c r="U33" s="718" t="e">
        <f t="shared" si="13"/>
        <v>#N/A</v>
      </c>
      <c r="V33" s="717" t="s">
        <v>21</v>
      </c>
      <c r="W33" s="718" t="e">
        <f t="shared" si="14"/>
        <v>#N/A</v>
      </c>
      <c r="X33" s="719"/>
      <c r="Y33" s="3512"/>
      <c r="Z33" s="720" t="str">
        <f t="shared" si="18"/>
        <v>项目建筑规模</v>
      </c>
      <c r="AA33" s="1505" t="e">
        <f t="shared" si="15"/>
        <v>#N/A</v>
      </c>
      <c r="AB33" s="1505" t="e">
        <f t="shared" si="16"/>
        <v>#N/A</v>
      </c>
      <c r="AC33" s="1505" t="e">
        <f t="shared" si="17"/>
        <v>#N/A</v>
      </c>
    </row>
    <row r="34" spans="1:29" ht="15">
      <c r="A34" s="431"/>
      <c r="B34" s="381" t="s">
        <v>2327</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7"/>
      <c r="M34" s="2911"/>
      <c r="N34" s="2911"/>
      <c r="O34" s="2911"/>
      <c r="P34" s="3510"/>
      <c r="Q34" s="1504" t="str">
        <f t="shared" si="11"/>
        <v>建筑结构</v>
      </c>
      <c r="R34" s="714" t="s">
        <v>21</v>
      </c>
      <c r="S34" s="715">
        <f t="shared" si="12"/>
        <v>100</v>
      </c>
      <c r="T34" s="714" t="s">
        <v>21</v>
      </c>
      <c r="U34" s="715">
        <f t="shared" si="13"/>
        <v>100</v>
      </c>
      <c r="V34" s="714" t="s">
        <v>21</v>
      </c>
      <c r="W34" s="715">
        <f t="shared" si="14"/>
        <v>100</v>
      </c>
      <c r="X34" s="1507"/>
      <c r="Y34" s="3512"/>
      <c r="Z34" s="1508" t="str">
        <f t="shared" si="18"/>
        <v>建筑结构</v>
      </c>
      <c r="AA34" s="1505">
        <f t="shared" si="15"/>
        <v>1</v>
      </c>
      <c r="AB34" s="1505">
        <f t="shared" si="16"/>
        <v>1</v>
      </c>
      <c r="AC34" s="1505">
        <f t="shared" si="17"/>
        <v>1</v>
      </c>
    </row>
    <row r="35" spans="1:29" ht="15">
      <c r="A35" s="431"/>
      <c r="B35" s="381" t="s">
        <v>2328</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7"/>
      <c r="M35" s="2911"/>
      <c r="N35" s="2911"/>
      <c r="O35" s="2911"/>
      <c r="P35" s="3510"/>
      <c r="Q35" s="1504" t="str">
        <f t="shared" si="11"/>
        <v>建筑品质</v>
      </c>
      <c r="R35" s="714" t="s">
        <v>21</v>
      </c>
      <c r="S35" s="715">
        <f t="shared" si="12"/>
        <v>100</v>
      </c>
      <c r="T35" s="714" t="s">
        <v>21</v>
      </c>
      <c r="U35" s="715">
        <f t="shared" si="13"/>
        <v>100</v>
      </c>
      <c r="V35" s="714" t="s">
        <v>21</v>
      </c>
      <c r="W35" s="715">
        <f t="shared" si="14"/>
        <v>100</v>
      </c>
      <c r="X35" s="1507"/>
      <c r="Y35" s="3512"/>
      <c r="Z35" s="1508" t="str">
        <f t="shared" si="18"/>
        <v>建筑品质</v>
      </c>
      <c r="AA35" s="1505">
        <f t="shared" si="15"/>
        <v>1</v>
      </c>
      <c r="AB35" s="1505">
        <f t="shared" si="16"/>
        <v>1</v>
      </c>
      <c r="AC35" s="1505">
        <f t="shared" si="17"/>
        <v>1</v>
      </c>
    </row>
    <row r="36" spans="1:29" ht="15">
      <c r="A36" s="431"/>
      <c r="B36" s="381" t="s">
        <v>2329</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7"/>
      <c r="M36" s="2911"/>
      <c r="N36" s="2911"/>
      <c r="O36" s="2911"/>
      <c r="P36" s="3510"/>
      <c r="Q36" s="1504" t="str">
        <f t="shared" si="11"/>
        <v>公共部分装修</v>
      </c>
      <c r="R36" s="714" t="s">
        <v>21</v>
      </c>
      <c r="S36" s="715">
        <f t="shared" si="12"/>
        <v>100</v>
      </c>
      <c r="T36" s="714" t="s">
        <v>21</v>
      </c>
      <c r="U36" s="715">
        <f t="shared" si="13"/>
        <v>100</v>
      </c>
      <c r="V36" s="714" t="s">
        <v>21</v>
      </c>
      <c r="W36" s="715">
        <f t="shared" si="14"/>
        <v>100</v>
      </c>
      <c r="X36" s="1507"/>
      <c r="Y36" s="3512"/>
      <c r="Z36" s="1508" t="str">
        <f t="shared" si="18"/>
        <v>公共部分装修</v>
      </c>
      <c r="AA36" s="1505">
        <f t="shared" si="15"/>
        <v>1</v>
      </c>
      <c r="AB36" s="1505">
        <f t="shared" si="16"/>
        <v>1</v>
      </c>
      <c r="AC36" s="1505">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510"/>
      <c r="Q37" s="1495" t="str">
        <f t="shared" si="11"/>
        <v>成新度</v>
      </c>
      <c r="R37" s="710" t="s">
        <v>21</v>
      </c>
      <c r="S37" s="711" t="e">
        <f t="shared" si="12"/>
        <v>#N/A</v>
      </c>
      <c r="T37" s="710" t="s">
        <v>21</v>
      </c>
      <c r="U37" s="711" t="e">
        <f t="shared" si="13"/>
        <v>#N/A</v>
      </c>
      <c r="V37" s="710" t="s">
        <v>21</v>
      </c>
      <c r="W37" s="711" t="e">
        <f t="shared" si="14"/>
        <v>#N/A</v>
      </c>
      <c r="X37" s="712"/>
      <c r="Y37" s="3512"/>
      <c r="Z37" s="55" t="str">
        <f t="shared" si="18"/>
        <v>成新度</v>
      </c>
      <c r="AA37" s="713" t="e">
        <f t="shared" si="15"/>
        <v>#N/A</v>
      </c>
      <c r="AB37" s="713" t="e">
        <f t="shared" si="16"/>
        <v>#N/A</v>
      </c>
      <c r="AC37" s="713" t="e">
        <f t="shared" si="17"/>
        <v>#N/A</v>
      </c>
    </row>
    <row r="38" spans="1:29" ht="15">
      <c r="A38" s="431"/>
      <c r="B38" s="381" t="s">
        <v>2331</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7"/>
      <c r="M38" s="2911"/>
      <c r="N38" s="2911"/>
      <c r="O38" s="2911"/>
      <c r="P38" s="3510" t="s">
        <v>2325</v>
      </c>
      <c r="Q38" s="1504" t="str">
        <f t="shared" si="11"/>
        <v>物业管理</v>
      </c>
      <c r="R38" s="714" t="s">
        <v>21</v>
      </c>
      <c r="S38" s="715">
        <f t="shared" si="12"/>
        <v>100</v>
      </c>
      <c r="T38" s="714" t="s">
        <v>21</v>
      </c>
      <c r="U38" s="715">
        <f t="shared" si="13"/>
        <v>100</v>
      </c>
      <c r="V38" s="714" t="s">
        <v>21</v>
      </c>
      <c r="W38" s="715">
        <f t="shared" si="14"/>
        <v>100</v>
      </c>
      <c r="X38" s="1507"/>
      <c r="Y38" s="3512" t="s">
        <v>2325</v>
      </c>
      <c r="Z38" s="1508" t="str">
        <f t="shared" si="18"/>
        <v>物业管理</v>
      </c>
      <c r="AA38" s="1505">
        <f t="shared" si="15"/>
        <v>1</v>
      </c>
      <c r="AB38" s="1505">
        <f t="shared" si="16"/>
        <v>1</v>
      </c>
      <c r="AC38" s="1505">
        <f t="shared" si="17"/>
        <v>1</v>
      </c>
    </row>
    <row r="39" spans="1:29" ht="15">
      <c r="A39" s="431"/>
      <c r="B39" s="381" t="s">
        <v>2332</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7"/>
      <c r="M39" s="2911"/>
      <c r="N39" s="2911"/>
      <c r="O39" s="2911"/>
      <c r="P39" s="3510"/>
      <c r="Q39" s="1504" t="str">
        <f t="shared" si="11"/>
        <v>市政基础设施</v>
      </c>
      <c r="R39" s="714" t="s">
        <v>21</v>
      </c>
      <c r="S39" s="715">
        <f t="shared" si="12"/>
        <v>100</v>
      </c>
      <c r="T39" s="714" t="s">
        <v>21</v>
      </c>
      <c r="U39" s="715">
        <f t="shared" si="13"/>
        <v>100</v>
      </c>
      <c r="V39" s="714" t="s">
        <v>21</v>
      </c>
      <c r="W39" s="715">
        <f t="shared" si="14"/>
        <v>100</v>
      </c>
      <c r="X39" s="1507"/>
      <c r="Y39" s="3512"/>
      <c r="Z39" s="1508" t="str">
        <f t="shared" si="18"/>
        <v>市政基础设施</v>
      </c>
      <c r="AA39" s="1505">
        <f t="shared" si="15"/>
        <v>1</v>
      </c>
      <c r="AB39" s="1505">
        <f t="shared" si="16"/>
        <v>1</v>
      </c>
      <c r="AC39" s="1505">
        <f t="shared" si="17"/>
        <v>1</v>
      </c>
    </row>
    <row r="40" spans="1:29" ht="15">
      <c r="A40" s="431"/>
      <c r="B40" s="381" t="s">
        <v>2333</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7"/>
      <c r="M40" s="2911"/>
      <c r="N40" s="2911"/>
      <c r="O40" s="2911"/>
      <c r="P40" s="3510"/>
      <c r="Q40" s="1504" t="str">
        <f t="shared" si="11"/>
        <v>房型</v>
      </c>
      <c r="R40" s="714" t="s">
        <v>21</v>
      </c>
      <c r="S40" s="715">
        <f t="shared" si="12"/>
        <v>100</v>
      </c>
      <c r="T40" s="714" t="s">
        <v>21</v>
      </c>
      <c r="U40" s="715">
        <f t="shared" si="13"/>
        <v>100</v>
      </c>
      <c r="V40" s="714" t="s">
        <v>21</v>
      </c>
      <c r="W40" s="715">
        <f t="shared" si="14"/>
        <v>100</v>
      </c>
      <c r="X40" s="1507"/>
      <c r="Y40" s="3512"/>
      <c r="Z40" s="1508" t="str">
        <f t="shared" si="18"/>
        <v>房型</v>
      </c>
      <c r="AA40" s="1505">
        <f t="shared" si="15"/>
        <v>1</v>
      </c>
      <c r="AB40" s="1505">
        <f t="shared" si="16"/>
        <v>1</v>
      </c>
      <c r="AC40" s="1505">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6"/>
      <c r="M41" s="2918"/>
      <c r="N41" s="2918"/>
      <c r="O41" s="2918"/>
      <c r="P41" s="3510"/>
      <c r="Q41" s="716" t="str">
        <f t="shared" si="11"/>
        <v>单套/主力户型建筑面积</v>
      </c>
      <c r="R41" s="717" t="s">
        <v>21</v>
      </c>
      <c r="S41" s="718">
        <f t="shared" si="12"/>
        <v>100</v>
      </c>
      <c r="T41" s="717" t="s">
        <v>21</v>
      </c>
      <c r="U41" s="718">
        <f t="shared" si="13"/>
        <v>100</v>
      </c>
      <c r="V41" s="717" t="s">
        <v>21</v>
      </c>
      <c r="W41" s="718">
        <f t="shared" si="14"/>
        <v>100</v>
      </c>
      <c r="X41" s="719"/>
      <c r="Y41" s="3512"/>
      <c r="Z41" s="720" t="str">
        <f t="shared" si="18"/>
        <v>单套/主力户型建筑面积</v>
      </c>
      <c r="AA41" s="1505">
        <f t="shared" si="15"/>
        <v>1</v>
      </c>
      <c r="AB41" s="1505">
        <f t="shared" si="16"/>
        <v>1</v>
      </c>
      <c r="AC41" s="1505">
        <f t="shared" si="17"/>
        <v>1</v>
      </c>
    </row>
    <row r="42" spans="1:29" ht="15">
      <c r="A42" s="431"/>
      <c r="B42" s="381" t="s">
        <v>2335</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7"/>
      <c r="M42" s="2911"/>
      <c r="N42" s="2911"/>
      <c r="O42" s="2911"/>
      <c r="P42" s="3510"/>
      <c r="Q42" s="1504" t="str">
        <f t="shared" si="11"/>
        <v>内部装修</v>
      </c>
      <c r="R42" s="714" t="s">
        <v>21</v>
      </c>
      <c r="S42" s="715">
        <f t="shared" si="12"/>
        <v>100</v>
      </c>
      <c r="T42" s="714" t="s">
        <v>21</v>
      </c>
      <c r="U42" s="715">
        <f t="shared" si="13"/>
        <v>100</v>
      </c>
      <c r="V42" s="714" t="s">
        <v>21</v>
      </c>
      <c r="W42" s="715">
        <f t="shared" si="14"/>
        <v>100</v>
      </c>
      <c r="X42" s="1507"/>
      <c r="Y42" s="3512"/>
      <c r="Z42" s="1508" t="str">
        <f t="shared" si="18"/>
        <v>内部装修</v>
      </c>
      <c r="AA42" s="1505">
        <f t="shared" si="15"/>
        <v>1</v>
      </c>
      <c r="AB42" s="1505">
        <f t="shared" si="16"/>
        <v>1</v>
      </c>
      <c r="AC42" s="1505">
        <f t="shared" si="17"/>
        <v>1</v>
      </c>
    </row>
    <row r="43" spans="1:29" ht="15">
      <c r="A43" s="431"/>
      <c r="B43" s="381" t="s">
        <v>2336</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7"/>
      <c r="M43" s="2911"/>
      <c r="N43" s="2911"/>
      <c r="O43" s="2911"/>
      <c r="P43" s="3510"/>
      <c r="Q43" s="1504" t="str">
        <f t="shared" si="11"/>
        <v>内部装修维护情况</v>
      </c>
      <c r="R43" s="714" t="s">
        <v>21</v>
      </c>
      <c r="S43" s="715">
        <f t="shared" si="12"/>
        <v>100</v>
      </c>
      <c r="T43" s="714" t="s">
        <v>21</v>
      </c>
      <c r="U43" s="715">
        <f t="shared" si="13"/>
        <v>100</v>
      </c>
      <c r="V43" s="714" t="s">
        <v>21</v>
      </c>
      <c r="W43" s="715">
        <f t="shared" si="14"/>
        <v>100</v>
      </c>
      <c r="X43" s="1507"/>
      <c r="Y43" s="3512"/>
      <c r="Z43" s="1508" t="str">
        <f t="shared" si="18"/>
        <v>内部装修维护情况</v>
      </c>
      <c r="AA43" s="1505">
        <f t="shared" si="15"/>
        <v>1</v>
      </c>
      <c r="AB43" s="1505">
        <f t="shared" si="16"/>
        <v>1</v>
      </c>
      <c r="AC43" s="1505">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2"/>
      <c r="M44" s="2913"/>
      <c r="N44" s="2913"/>
      <c r="O44" s="2913"/>
      <c r="P44" s="3510"/>
      <c r="Q44" s="1495">
        <f t="shared" si="11"/>
        <v>111</v>
      </c>
      <c r="R44" s="710" t="s">
        <v>21</v>
      </c>
      <c r="S44" s="711">
        <f t="shared" si="12"/>
        <v>100</v>
      </c>
      <c r="T44" s="710" t="s">
        <v>21</v>
      </c>
      <c r="U44" s="711">
        <f t="shared" si="13"/>
        <v>100</v>
      </c>
      <c r="V44" s="710" t="s">
        <v>21</v>
      </c>
      <c r="W44" s="711">
        <f t="shared" si="14"/>
        <v>100</v>
      </c>
      <c r="X44" s="712"/>
      <c r="Y44" s="3512"/>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7"/>
      <c r="M45" s="2911"/>
      <c r="N45" s="2911"/>
      <c r="O45" s="2911"/>
      <c r="P45" s="3510"/>
      <c r="Q45" s="1504">
        <f t="shared" si="11"/>
        <v>111</v>
      </c>
      <c r="R45" s="714" t="s">
        <v>21</v>
      </c>
      <c r="S45" s="715">
        <f t="shared" si="12"/>
        <v>100</v>
      </c>
      <c r="T45" s="714" t="s">
        <v>21</v>
      </c>
      <c r="U45" s="715">
        <f t="shared" si="13"/>
        <v>100</v>
      </c>
      <c r="V45" s="714" t="s">
        <v>21</v>
      </c>
      <c r="W45" s="715">
        <f t="shared" si="14"/>
        <v>100</v>
      </c>
      <c r="X45" s="1507"/>
      <c r="Y45" s="3512"/>
      <c r="Z45" s="1508">
        <f t="shared" si="18"/>
        <v>111</v>
      </c>
      <c r="AA45" s="1505">
        <f t="shared" si="15"/>
        <v>1</v>
      </c>
      <c r="AB45" s="1505">
        <f t="shared" si="16"/>
        <v>1</v>
      </c>
      <c r="AC45" s="1505">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7"/>
      <c r="M46" s="2911"/>
      <c r="N46" s="2911"/>
      <c r="O46" s="2911"/>
      <c r="P46" s="3511"/>
      <c r="Q46" s="1504">
        <f t="shared" si="11"/>
        <v>111</v>
      </c>
      <c r="R46" s="714" t="s">
        <v>20</v>
      </c>
      <c r="S46" s="715">
        <f t="shared" si="12"/>
        <v>100</v>
      </c>
      <c r="T46" s="714" t="s">
        <v>20</v>
      </c>
      <c r="U46" s="715">
        <f t="shared" si="13"/>
        <v>100</v>
      </c>
      <c r="V46" s="714" t="s">
        <v>20</v>
      </c>
      <c r="W46" s="715">
        <f t="shared" si="14"/>
        <v>100</v>
      </c>
      <c r="X46" s="1507"/>
      <c r="Y46" s="3513"/>
      <c r="Z46" s="1508">
        <f t="shared" si="18"/>
        <v>111</v>
      </c>
      <c r="AA46" s="1505">
        <f t="shared" si="15"/>
        <v>1</v>
      </c>
      <c r="AB46" s="1505">
        <f t="shared" si="16"/>
        <v>1</v>
      </c>
      <c r="AC46" s="1505">
        <f t="shared" si="17"/>
        <v>1</v>
      </c>
    </row>
    <row r="47" spans="1:29" ht="15">
      <c r="A47" s="438" t="s">
        <v>2337</v>
      </c>
      <c r="B47" s="439"/>
      <c r="C47" s="1286" t="s">
        <v>19</v>
      </c>
      <c r="D47" s="1287"/>
      <c r="E47" s="1288"/>
      <c r="F47" s="1289"/>
      <c r="G47" s="1290"/>
      <c r="H47" s="1291"/>
      <c r="I47" s="1288"/>
      <c r="J47" s="1291"/>
      <c r="K47" s="2067"/>
      <c r="L47" s="2919"/>
      <c r="M47" s="2920"/>
      <c r="N47" s="2911"/>
      <c r="O47" s="2920"/>
      <c r="P47" s="3500" t="str">
        <f>A47</f>
        <v>成交单价（元/平方米）</v>
      </c>
      <c r="Q47" s="3500"/>
      <c r="R47" s="3501">
        <f>E47</f>
        <v>0</v>
      </c>
      <c r="S47" s="3501"/>
      <c r="T47" s="3501">
        <f>G47</f>
        <v>0</v>
      </c>
      <c r="U47" s="3501"/>
      <c r="V47" s="3501">
        <f>I47</f>
        <v>0</v>
      </c>
      <c r="W47" s="3501"/>
      <c r="X47" s="699"/>
      <c r="Y47" s="721"/>
      <c r="Z47" s="699"/>
      <c r="AA47" s="699"/>
      <c r="AB47" s="699"/>
      <c r="AC47" s="699"/>
    </row>
    <row r="48" spans="1:29" ht="15.75" thickBot="1">
      <c r="A48" s="445" t="s">
        <v>2338</v>
      </c>
      <c r="B48" s="446"/>
      <c r="C48" s="1292" t="e">
        <f>R49</f>
        <v>#DIV/0!</v>
      </c>
      <c r="D48" s="2505" t="s">
        <v>2819</v>
      </c>
      <c r="E48" s="1293" t="e">
        <f>R48</f>
        <v>#DIV/0!</v>
      </c>
      <c r="F48" s="2506"/>
      <c r="G48" s="1292" t="e">
        <f>T48</f>
        <v>#DIV/0!</v>
      </c>
      <c r="H48" s="2506"/>
      <c r="I48" s="1293" t="e">
        <f>V48</f>
        <v>#DIV/0!</v>
      </c>
      <c r="J48" s="2506"/>
      <c r="K48" s="2507">
        <f>F48+H48+J48</f>
        <v>0</v>
      </c>
      <c r="L48" s="2919"/>
      <c r="M48" s="2920"/>
      <c r="N48" s="2920"/>
      <c r="O48" s="2920"/>
      <c r="P48" s="3500" t="str">
        <f>A48</f>
        <v>比较价值（元/平方米）</v>
      </c>
      <c r="Q48" s="35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699"/>
      <c r="Y48" s="699"/>
      <c r="Z48" s="699"/>
      <c r="AA48" s="699"/>
      <c r="AB48" s="699"/>
      <c r="AC48" s="699"/>
    </row>
    <row r="49" spans="1:29" ht="15.75" thickBot="1">
      <c r="A49" s="449" t="s">
        <v>2339</v>
      </c>
      <c r="B49" s="450"/>
      <c r="C49" s="1294" t="e">
        <f>R49</f>
        <v>#DIV/0!</v>
      </c>
      <c r="D49" s="1295"/>
      <c r="E49" s="1295"/>
      <c r="F49" s="1295"/>
      <c r="G49" s="1295"/>
      <c r="H49" s="1295"/>
      <c r="I49" s="1295"/>
      <c r="J49" s="1295"/>
      <c r="K49" s="2068"/>
      <c r="L49" s="2919"/>
      <c r="M49" s="2920"/>
      <c r="N49" s="2920"/>
      <c r="O49" s="2920"/>
      <c r="P49" s="3583" t="str">
        <f>A49</f>
        <v>估价对象XX用房的比较价值（楼面单价，元/平方米）</v>
      </c>
      <c r="Q49" s="3584"/>
      <c r="R49" s="3585" t="e">
        <f>IF(F1="售价",ROUND(IF(D48="简单平均",AVERAGE(R48:V48),R48*F48+T48*H48+V48*J48),0),ROUND(IF(D48="简单平均",AVERAGE(R48:V48),R48*F48+T48*H48+V48*J48),1))</f>
        <v>#DIV/0!</v>
      </c>
      <c r="S49" s="3585"/>
      <c r="T49" s="3585"/>
      <c r="U49" s="3585"/>
      <c r="V49" s="3585"/>
      <c r="W49" s="3585"/>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0"/>
    </row>
    <row r="55" spans="1:29" s="459" customFormat="1">
      <c r="A55" s="2923"/>
      <c r="B55" s="2926"/>
      <c r="C55" s="2927"/>
      <c r="D55" s="2923"/>
      <c r="E55" s="2923"/>
      <c r="F55" s="2923"/>
      <c r="G55" s="2923"/>
      <c r="H55" s="2923"/>
      <c r="I55" s="2923"/>
      <c r="J55" s="2923"/>
      <c r="K55" s="2928"/>
      <c r="L55" s="2922"/>
      <c r="M55" s="2923"/>
      <c r="N55" s="2923"/>
      <c r="O55" s="2923"/>
      <c r="P55" s="2070"/>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71"/>
      <c r="L57" s="1072"/>
      <c r="M57" s="1070"/>
      <c r="N57" s="1070"/>
      <c r="O57" s="1070"/>
      <c r="P57" s="2071"/>
      <c r="Q57" s="461"/>
    </row>
    <row r="58" spans="1:29" s="465" customFormat="1" ht="15">
      <c r="A58" s="462" t="s">
        <v>2344</v>
      </c>
      <c r="B58" s="463"/>
      <c r="C58" s="1318" t="str">
        <f>YEAR(C7)&amp;"-"&amp;MONTH(C7)</f>
        <v>2022-4</v>
      </c>
      <c r="D58" s="1317">
        <f>EDATE(C58,-1)</f>
        <v>44621</v>
      </c>
      <c r="E58" s="1317">
        <f>EDATE(D58,-1)</f>
        <v>44593</v>
      </c>
      <c r="F58" s="1317">
        <f t="shared" ref="F58:O58" si="19">EDATE(E58,-1)</f>
        <v>44562</v>
      </c>
      <c r="G58" s="1317">
        <f t="shared" si="19"/>
        <v>44531</v>
      </c>
      <c r="H58" s="1317">
        <f t="shared" si="19"/>
        <v>44501</v>
      </c>
      <c r="I58" s="1317">
        <f t="shared" si="19"/>
        <v>44470</v>
      </c>
      <c r="J58" s="1317">
        <f t="shared" si="19"/>
        <v>44440</v>
      </c>
      <c r="K58" s="1317">
        <f t="shared" si="19"/>
        <v>44409</v>
      </c>
      <c r="L58" s="1317">
        <f t="shared" si="19"/>
        <v>44378</v>
      </c>
      <c r="M58" s="1317">
        <f t="shared" si="19"/>
        <v>44348</v>
      </c>
      <c r="N58" s="1317">
        <f t="shared" si="19"/>
        <v>44317</v>
      </c>
      <c r="O58" s="1317">
        <f t="shared" si="19"/>
        <v>44287</v>
      </c>
      <c r="P58" s="1313"/>
    </row>
    <row r="59" spans="1:29" s="113" customFormat="1" ht="15">
      <c r="A59" s="466"/>
      <c r="B59" s="2072"/>
      <c r="C59" s="1315">
        <v>100</v>
      </c>
      <c r="D59" s="468"/>
      <c r="E59" s="469"/>
      <c r="F59" s="469"/>
      <c r="G59" s="469"/>
      <c r="H59" s="469"/>
      <c r="I59" s="469"/>
      <c r="J59" s="469"/>
      <c r="K59" s="469"/>
      <c r="L59" s="469"/>
      <c r="M59" s="470"/>
      <c r="N59" s="469"/>
      <c r="O59" s="470"/>
      <c r="P59" s="2073"/>
    </row>
    <row r="60" spans="1:29" s="113" customFormat="1" ht="15.75" thickBot="1">
      <c r="A60" s="472" t="s">
        <v>2345</v>
      </c>
      <c r="B60" s="473"/>
      <c r="C60" s="474"/>
      <c r="D60" s="475"/>
      <c r="E60" s="475"/>
      <c r="F60" s="475"/>
      <c r="G60" s="475"/>
      <c r="H60" s="475"/>
      <c r="I60" s="475"/>
      <c r="J60" s="475"/>
      <c r="K60" s="475"/>
      <c r="L60" s="475"/>
      <c r="M60" s="476"/>
      <c r="N60" s="475"/>
      <c r="O60" s="476"/>
      <c r="P60" s="2073"/>
      <c r="Q60" s="461"/>
    </row>
    <row r="61" spans="1:29" s="113" customFormat="1" ht="15">
      <c r="A61" s="478" t="s">
        <v>2346</v>
      </c>
      <c r="B61" s="467"/>
      <c r="C61" s="479" t="s">
        <v>2347</v>
      </c>
      <c r="D61" s="480"/>
      <c r="E61" s="480"/>
      <c r="F61" s="480"/>
      <c r="G61" s="480"/>
      <c r="H61" s="480"/>
      <c r="I61" s="480"/>
      <c r="J61" s="480"/>
      <c r="K61" s="480"/>
      <c r="L61" s="481"/>
      <c r="M61" s="482"/>
      <c r="N61" s="1062"/>
      <c r="O61" s="1062"/>
      <c r="P61" s="2074"/>
      <c r="Q61" s="461"/>
    </row>
    <row r="62" spans="1:29" s="113" customFormat="1" ht="15.75" thickBot="1">
      <c r="A62" s="478"/>
      <c r="B62" s="467"/>
      <c r="C62" s="468">
        <v>100</v>
      </c>
      <c r="D62" s="469"/>
      <c r="E62" s="469"/>
      <c r="F62" s="469"/>
      <c r="G62" s="469"/>
      <c r="H62" s="469"/>
      <c r="I62" s="469"/>
      <c r="J62" s="469"/>
      <c r="K62" s="469"/>
      <c r="L62" s="469"/>
      <c r="M62" s="471"/>
      <c r="N62" s="1062"/>
      <c r="O62" s="1062"/>
      <c r="P62" s="2073"/>
      <c r="Q62" s="461"/>
    </row>
    <row r="63" spans="1:29">
      <c r="A63" s="484" t="s">
        <v>2348</v>
      </c>
      <c r="B63" s="485" t="s">
        <v>2314</v>
      </c>
      <c r="C63" s="486">
        <f>C9</f>
        <v>0</v>
      </c>
      <c r="D63" s="487"/>
      <c r="E63" s="487"/>
      <c r="F63" s="487"/>
      <c r="G63" s="487"/>
      <c r="H63" s="487"/>
      <c r="I63" s="487"/>
      <c r="J63" s="487"/>
      <c r="K63" s="488"/>
      <c r="L63" s="489"/>
      <c r="M63" s="490"/>
      <c r="N63" s="1063"/>
      <c r="O63" s="1063"/>
      <c r="P63" s="2075"/>
      <c r="Q63" s="461"/>
    </row>
    <row r="64" spans="1:29" ht="15.75" thickBot="1">
      <c r="A64" s="491"/>
      <c r="B64" s="492"/>
      <c r="C64" s="493">
        <v>100</v>
      </c>
      <c r="D64" s="493"/>
      <c r="E64" s="493"/>
      <c r="F64" s="493"/>
      <c r="G64" s="493"/>
      <c r="H64" s="493"/>
      <c r="I64" s="493"/>
      <c r="J64" s="493"/>
      <c r="K64" s="493"/>
      <c r="L64" s="493"/>
      <c r="M64" s="494"/>
      <c r="N64" s="1064"/>
      <c r="O64" s="1064"/>
      <c r="P64" s="2075"/>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3"/>
      <c r="O65" s="1063"/>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5"/>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5"/>
      <c r="Q67" s="461"/>
    </row>
    <row r="68" spans="1:17" ht="15">
      <c r="A68" s="491"/>
      <c r="B68" s="505"/>
      <c r="C68" s="506"/>
      <c r="D68" s="506"/>
      <c r="E68" s="506"/>
      <c r="F68" s="506"/>
      <c r="G68" s="506"/>
      <c r="H68" s="506"/>
      <c r="I68" s="506"/>
      <c r="J68" s="506"/>
      <c r="K68" s="507"/>
      <c r="L68" s="508"/>
      <c r="M68" s="509"/>
      <c r="N68" s="1063"/>
      <c r="O68" s="1063"/>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5"/>
      <c r="Q69" s="461"/>
    </row>
    <row r="70" spans="1:17" s="430" customFormat="1" ht="15.75" thickTop="1">
      <c r="A70" s="510"/>
      <c r="B70" s="495">
        <f>B12</f>
        <v>111</v>
      </c>
      <c r="C70" s="511"/>
      <c r="D70" s="511"/>
      <c r="E70" s="511"/>
      <c r="F70" s="511"/>
      <c r="G70" s="511"/>
      <c r="H70" s="512"/>
      <c r="I70" s="512"/>
      <c r="J70" s="512"/>
      <c r="K70" s="512"/>
      <c r="L70" s="513"/>
      <c r="M70" s="514"/>
      <c r="N70" s="1065"/>
      <c r="O70" s="1065"/>
      <c r="P70" s="2076"/>
      <c r="Q70" s="516"/>
    </row>
    <row r="71" spans="1:17" s="430" customFormat="1" ht="15.75" thickBot="1">
      <c r="A71" s="510"/>
      <c r="B71" s="500"/>
      <c r="C71" s="517"/>
      <c r="D71" s="493"/>
      <c r="E71" s="493"/>
      <c r="F71" s="493"/>
      <c r="G71" s="493"/>
      <c r="H71" s="493"/>
      <c r="I71" s="493"/>
      <c r="J71" s="493"/>
      <c r="K71" s="493"/>
      <c r="L71" s="493"/>
      <c r="M71" s="494"/>
      <c r="N71" s="1064"/>
      <c r="O71" s="1064"/>
      <c r="P71" s="2076"/>
      <c r="Q71" s="516"/>
    </row>
    <row r="72" spans="1:17" s="430" customFormat="1" ht="15.75" thickTop="1">
      <c r="A72" s="510"/>
      <c r="B72" s="495">
        <f>B13</f>
        <v>111</v>
      </c>
      <c r="C72" s="511"/>
      <c r="D72" s="511"/>
      <c r="E72" s="511"/>
      <c r="F72" s="511"/>
      <c r="G72" s="511"/>
      <c r="H72" s="512"/>
      <c r="I72" s="512"/>
      <c r="J72" s="512"/>
      <c r="K72" s="512"/>
      <c r="L72" s="513"/>
      <c r="M72" s="514"/>
      <c r="N72" s="1065"/>
      <c r="O72" s="1065"/>
      <c r="P72" s="2077"/>
      <c r="Q72" s="518"/>
    </row>
    <row r="73" spans="1:17" s="430" customFormat="1" ht="15.75" thickBot="1">
      <c r="A73" s="510"/>
      <c r="B73" s="500"/>
      <c r="C73" s="517"/>
      <c r="D73" s="517"/>
      <c r="E73" s="517"/>
      <c r="F73" s="517"/>
      <c r="G73" s="517"/>
      <c r="H73" s="519"/>
      <c r="I73" s="519"/>
      <c r="J73" s="519"/>
      <c r="K73" s="519"/>
      <c r="L73" s="519"/>
      <c r="M73" s="520"/>
      <c r="N73" s="1065"/>
      <c r="O73" s="1065"/>
      <c r="P73" s="2076"/>
      <c r="Q73" s="516"/>
    </row>
    <row r="74" spans="1:17" s="430" customFormat="1" ht="15.75" thickTop="1">
      <c r="A74" s="510"/>
      <c r="B74" s="503">
        <f>B14</f>
        <v>111</v>
      </c>
      <c r="C74" s="511"/>
      <c r="D74" s="511"/>
      <c r="E74" s="511"/>
      <c r="F74" s="511"/>
      <c r="G74" s="480"/>
      <c r="H74" s="521"/>
      <c r="I74" s="521"/>
      <c r="J74" s="521"/>
      <c r="K74" s="521"/>
      <c r="L74" s="522"/>
      <c r="M74" s="523"/>
      <c r="N74" s="1065"/>
      <c r="O74" s="1065"/>
      <c r="P74" s="2078"/>
      <c r="Q74" s="516"/>
    </row>
    <row r="75" spans="1:17" s="430" customFormat="1" ht="15.75" thickBot="1">
      <c r="A75" s="525"/>
      <c r="B75" s="526"/>
      <c r="C75" s="527"/>
      <c r="D75" s="527"/>
      <c r="E75" s="527"/>
      <c r="F75" s="527"/>
      <c r="G75" s="527"/>
      <c r="H75" s="528"/>
      <c r="I75" s="528"/>
      <c r="J75" s="528"/>
      <c r="K75" s="528"/>
      <c r="L75" s="528"/>
      <c r="M75" s="529"/>
      <c r="N75" s="1065"/>
      <c r="O75" s="1065"/>
      <c r="P75" s="2076"/>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3"/>
      <c r="O76" s="1063"/>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5"/>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3"/>
      <c r="O78" s="1063"/>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5"/>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3"/>
      <c r="O80" s="1063"/>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5"/>
      <c r="Q81" s="461"/>
    </row>
    <row r="82" spans="1:17" ht="15.75" thickTop="1">
      <c r="A82" s="491"/>
      <c r="B82" s="503" t="s">
        <v>1885</v>
      </c>
      <c r="C82" s="496" t="s">
        <v>2364</v>
      </c>
      <c r="D82" s="496" t="s">
        <v>2365</v>
      </c>
      <c r="E82" s="496" t="s">
        <v>2366</v>
      </c>
      <c r="F82" s="496" t="s">
        <v>2367</v>
      </c>
      <c r="G82" s="496" t="s">
        <v>2368</v>
      </c>
      <c r="H82" s="496"/>
      <c r="I82" s="496"/>
      <c r="J82" s="496"/>
      <c r="K82" s="496"/>
      <c r="L82" s="496"/>
      <c r="M82" s="1262"/>
      <c r="N82" s="1064"/>
      <c r="O82" s="1064"/>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5"/>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3"/>
      <c r="O84" s="1063"/>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5"/>
      <c r="Q85" s="461"/>
    </row>
    <row r="86" spans="1:17" s="113" customFormat="1" ht="15.75" thickTop="1">
      <c r="A86" s="536"/>
      <c r="B86" s="495" t="s">
        <v>2370</v>
      </c>
      <c r="C86" s="511"/>
      <c r="D86" s="511"/>
      <c r="E86" s="511"/>
      <c r="F86" s="511"/>
      <c r="G86" s="511"/>
      <c r="H86" s="511"/>
      <c r="I86" s="511"/>
      <c r="J86" s="511"/>
      <c r="K86" s="511"/>
      <c r="L86" s="537"/>
      <c r="M86" s="538"/>
      <c r="N86" s="1062"/>
      <c r="O86" s="1062"/>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5"/>
      <c r="Q87" s="461"/>
    </row>
    <row r="88" spans="1:17" s="113" customFormat="1" ht="15.75" thickTop="1">
      <c r="A88" s="536"/>
      <c r="B88" s="495" t="s">
        <v>2371</v>
      </c>
      <c r="C88" s="511"/>
      <c r="D88" s="511"/>
      <c r="E88" s="511"/>
      <c r="F88" s="2080"/>
      <c r="G88" s="511"/>
      <c r="H88" s="511"/>
      <c r="I88" s="511"/>
      <c r="J88" s="511"/>
      <c r="K88" s="511"/>
      <c r="L88" s="511"/>
      <c r="M88" s="538"/>
      <c r="N88" s="1062"/>
      <c r="O88" s="1062"/>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5"/>
      <c r="Q89" s="461"/>
    </row>
    <row r="90" spans="1:17" s="430" customFormat="1" ht="15.75" thickTop="1">
      <c r="A90" s="510"/>
      <c r="B90" s="495">
        <f>B27</f>
        <v>111</v>
      </c>
      <c r="C90" s="511"/>
      <c r="D90" s="511"/>
      <c r="E90" s="511"/>
      <c r="F90" s="511"/>
      <c r="G90" s="511"/>
      <c r="H90" s="512"/>
      <c r="I90" s="512"/>
      <c r="J90" s="512"/>
      <c r="K90" s="512"/>
      <c r="L90" s="513"/>
      <c r="M90" s="514"/>
      <c r="N90" s="1065"/>
      <c r="O90" s="1065"/>
      <c r="P90" s="2076"/>
      <c r="Q90" s="516"/>
    </row>
    <row r="91" spans="1:17" s="430" customFormat="1" ht="15.75" thickBot="1">
      <c r="A91" s="510"/>
      <c r="B91" s="500"/>
      <c r="C91" s="517"/>
      <c r="D91" s="517"/>
      <c r="E91" s="517"/>
      <c r="F91" s="517"/>
      <c r="G91" s="517"/>
      <c r="H91" s="519"/>
      <c r="I91" s="519"/>
      <c r="J91" s="519"/>
      <c r="K91" s="519"/>
      <c r="L91" s="519"/>
      <c r="M91" s="520"/>
      <c r="N91" s="1065"/>
      <c r="O91" s="1065"/>
      <c r="P91" s="2076"/>
      <c r="Q91" s="516"/>
    </row>
    <row r="92" spans="1:17" ht="15.75" thickTop="1">
      <c r="A92" s="491"/>
      <c r="B92" s="495">
        <f>B28</f>
        <v>111</v>
      </c>
      <c r="C92" s="511"/>
      <c r="D92" s="511"/>
      <c r="E92" s="511"/>
      <c r="F92" s="511"/>
      <c r="G92" s="540"/>
      <c r="H92" s="540"/>
      <c r="I92" s="540"/>
      <c r="J92" s="540"/>
      <c r="K92" s="541"/>
      <c r="L92" s="542"/>
      <c r="M92" s="543"/>
      <c r="N92" s="1063"/>
      <c r="O92" s="1063"/>
      <c r="P92" s="2075"/>
      <c r="Q92" s="461"/>
    </row>
    <row r="93" spans="1:17" ht="15.75" thickBot="1">
      <c r="A93" s="491"/>
      <c r="B93" s="500"/>
      <c r="C93" s="517"/>
      <c r="D93" s="493"/>
      <c r="E93" s="493"/>
      <c r="F93" s="493"/>
      <c r="G93" s="493"/>
      <c r="H93" s="493"/>
      <c r="I93" s="493"/>
      <c r="J93" s="493"/>
      <c r="K93" s="493"/>
      <c r="L93" s="493"/>
      <c r="M93" s="494"/>
      <c r="N93" s="1064"/>
      <c r="O93" s="1064"/>
      <c r="P93" s="2075"/>
      <c r="Q93" s="461"/>
    </row>
    <row r="94" spans="1:17" ht="15.75" thickTop="1">
      <c r="A94" s="491"/>
      <c r="B94" s="495">
        <f>B29</f>
        <v>111</v>
      </c>
      <c r="C94" s="511"/>
      <c r="D94" s="511"/>
      <c r="E94" s="511"/>
      <c r="F94" s="511"/>
      <c r="G94" s="540"/>
      <c r="H94" s="540"/>
      <c r="I94" s="540"/>
      <c r="J94" s="540"/>
      <c r="K94" s="541"/>
      <c r="L94" s="542"/>
      <c r="M94" s="543"/>
      <c r="N94" s="1063"/>
      <c r="O94" s="1063"/>
      <c r="P94" s="2075"/>
      <c r="Q94" s="461"/>
    </row>
    <row r="95" spans="1:17" ht="15.75" thickBot="1">
      <c r="A95" s="491"/>
      <c r="B95" s="500"/>
      <c r="C95" s="517"/>
      <c r="D95" s="517"/>
      <c r="E95" s="517"/>
      <c r="F95" s="517"/>
      <c r="G95" s="493"/>
      <c r="H95" s="493"/>
      <c r="I95" s="493"/>
      <c r="J95" s="493"/>
      <c r="K95" s="493"/>
      <c r="L95" s="493"/>
      <c r="M95" s="494"/>
      <c r="N95" s="1064"/>
      <c r="O95" s="1064"/>
      <c r="P95" s="2075"/>
      <c r="Q95" s="461"/>
    </row>
    <row r="96" spans="1:17" ht="15.75" thickTop="1">
      <c r="A96" s="491"/>
      <c r="B96" s="495">
        <f>B30</f>
        <v>111</v>
      </c>
      <c r="C96" s="511"/>
      <c r="D96" s="511"/>
      <c r="E96" s="511"/>
      <c r="F96" s="511"/>
      <c r="G96" s="540"/>
      <c r="H96" s="540"/>
      <c r="I96" s="540"/>
      <c r="J96" s="540"/>
      <c r="K96" s="541"/>
      <c r="L96" s="542"/>
      <c r="M96" s="543"/>
      <c r="N96" s="1063"/>
      <c r="O96" s="1063"/>
      <c r="P96" s="2075"/>
      <c r="Q96" s="461"/>
    </row>
    <row r="97" spans="1:17" ht="15.75" thickBot="1">
      <c r="A97" s="491"/>
      <c r="B97" s="500"/>
      <c r="C97" s="527"/>
      <c r="D97" s="527"/>
      <c r="E97" s="527"/>
      <c r="F97" s="527"/>
      <c r="G97" s="493"/>
      <c r="H97" s="493"/>
      <c r="I97" s="493"/>
      <c r="J97" s="493"/>
      <c r="K97" s="493"/>
      <c r="L97" s="493"/>
      <c r="M97" s="494"/>
      <c r="N97" s="1064"/>
      <c r="O97" s="1064"/>
      <c r="P97" s="2075"/>
      <c r="Q97" s="461"/>
    </row>
    <row r="98" spans="1:17" ht="15.75" thickTop="1">
      <c r="A98" s="491"/>
      <c r="B98" s="503">
        <f>B31</f>
        <v>111</v>
      </c>
      <c r="C98" s="544"/>
      <c r="D98" s="544"/>
      <c r="E98" s="544"/>
      <c r="F98" s="544"/>
      <c r="G98" s="544"/>
      <c r="H98" s="544"/>
      <c r="I98" s="544"/>
      <c r="J98" s="544"/>
      <c r="K98" s="545"/>
      <c r="L98" s="546"/>
      <c r="M98" s="547"/>
      <c r="N98" s="1063"/>
      <c r="O98" s="1063"/>
      <c r="P98" s="2075"/>
      <c r="Q98" s="461"/>
    </row>
    <row r="99" spans="1:17" ht="15.75" thickBot="1">
      <c r="A99" s="2081"/>
      <c r="B99" s="526"/>
      <c r="C99" s="548"/>
      <c r="D99" s="548"/>
      <c r="E99" s="548"/>
      <c r="F99" s="548"/>
      <c r="G99" s="548"/>
      <c r="H99" s="548"/>
      <c r="I99" s="548"/>
      <c r="J99" s="548"/>
      <c r="K99" s="548"/>
      <c r="L99" s="548"/>
      <c r="M99" s="549"/>
      <c r="N99" s="1064"/>
      <c r="O99" s="1064"/>
      <c r="P99" s="2075"/>
      <c r="Q99" s="461"/>
    </row>
    <row r="100" spans="1:17">
      <c r="A100" s="484" t="s">
        <v>2323</v>
      </c>
      <c r="B100" s="485" t="s">
        <v>2372</v>
      </c>
      <c r="C100" s="487"/>
      <c r="D100" s="487"/>
      <c r="E100" s="487"/>
      <c r="F100" s="487"/>
      <c r="G100" s="487"/>
      <c r="H100" s="487"/>
      <c r="I100" s="487"/>
      <c r="J100" s="487"/>
      <c r="K100" s="488"/>
      <c r="L100" s="489"/>
      <c r="M100" s="490"/>
      <c r="N100" s="1063"/>
      <c r="O100" s="1063"/>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5"/>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5"/>
      <c r="Q102" s="461"/>
    </row>
    <row r="103" spans="1:17" s="430" customFormat="1">
      <c r="A103" s="550"/>
      <c r="B103" s="551"/>
      <c r="C103" s="552"/>
      <c r="D103" s="552"/>
      <c r="E103" s="552"/>
      <c r="F103" s="552"/>
      <c r="G103" s="552"/>
      <c r="H103" s="552"/>
      <c r="I103" s="552"/>
      <c r="J103" s="553"/>
      <c r="K103" s="553"/>
      <c r="L103" s="554"/>
      <c r="M103" s="555"/>
      <c r="N103" s="1065"/>
      <c r="O103" s="1065"/>
      <c r="P103" s="2076"/>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6"/>
      <c r="Q104" s="516"/>
    </row>
    <row r="105" spans="1:17" ht="15" thickTop="1">
      <c r="A105" s="556"/>
      <c r="B105" s="495" t="s">
        <v>2374</v>
      </c>
      <c r="C105" s="511"/>
      <c r="D105" s="511"/>
      <c r="E105" s="540"/>
      <c r="F105" s="540"/>
      <c r="G105" s="540"/>
      <c r="H105" s="540"/>
      <c r="I105" s="540"/>
      <c r="J105" s="540"/>
      <c r="K105" s="541"/>
      <c r="L105" s="542"/>
      <c r="M105" s="543"/>
      <c r="N105" s="1063"/>
      <c r="O105" s="1063"/>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5"/>
      <c r="Q106" s="461"/>
    </row>
    <row r="107" spans="1:17" ht="15" thickTop="1">
      <c r="A107" s="556"/>
      <c r="B107" s="495" t="s">
        <v>2375</v>
      </c>
      <c r="C107" s="540"/>
      <c r="D107" s="540"/>
      <c r="E107" s="540"/>
      <c r="F107" s="540"/>
      <c r="G107" s="540"/>
      <c r="H107" s="540"/>
      <c r="I107" s="540"/>
      <c r="J107" s="540"/>
      <c r="K107" s="541"/>
      <c r="L107" s="542"/>
      <c r="M107" s="543"/>
      <c r="N107" s="1063"/>
      <c r="O107" s="1063"/>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5"/>
      <c r="Q108" s="461"/>
    </row>
    <row r="109" spans="1:17" ht="15" thickTop="1">
      <c r="A109" s="556"/>
      <c r="B109" s="495" t="s">
        <v>2376</v>
      </c>
      <c r="C109" s="511"/>
      <c r="D109" s="511"/>
      <c r="E109" s="511"/>
      <c r="F109" s="540"/>
      <c r="G109" s="540"/>
      <c r="H109" s="540"/>
      <c r="I109" s="540"/>
      <c r="J109" s="540"/>
      <c r="K109" s="541"/>
      <c r="L109" s="542"/>
      <c r="M109" s="543"/>
      <c r="N109" s="1063"/>
      <c r="O109" s="1063"/>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5"/>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6"/>
      <c r="Q113" s="516"/>
    </row>
    <row r="114" spans="1:17" ht="15" thickTop="1">
      <c r="A114" s="556"/>
      <c r="B114" s="495" t="s">
        <v>2377</v>
      </c>
      <c r="C114" s="511"/>
      <c r="D114" s="511"/>
      <c r="E114" s="540"/>
      <c r="F114" s="540"/>
      <c r="G114" s="540"/>
      <c r="H114" s="540"/>
      <c r="I114" s="540"/>
      <c r="J114" s="540"/>
      <c r="K114" s="541"/>
      <c r="L114" s="542"/>
      <c r="M114" s="543"/>
      <c r="N114" s="1063"/>
      <c r="O114" s="1063"/>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5"/>
      <c r="Q115" s="461"/>
    </row>
    <row r="116" spans="1:17" ht="15" thickTop="1">
      <c r="A116" s="556"/>
      <c r="B116" s="495" t="s">
        <v>2378</v>
      </c>
      <c r="C116" s="511"/>
      <c r="D116" s="511"/>
      <c r="E116" s="511"/>
      <c r="F116" s="511"/>
      <c r="G116" s="511"/>
      <c r="H116" s="540"/>
      <c r="I116" s="540"/>
      <c r="J116" s="540"/>
      <c r="K116" s="541"/>
      <c r="L116" s="542"/>
      <c r="M116" s="543"/>
      <c r="N116" s="1063"/>
      <c r="O116" s="1063"/>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5"/>
      <c r="Q117" s="461"/>
    </row>
    <row r="118" spans="1:17" ht="15" thickTop="1">
      <c r="A118" s="556"/>
      <c r="B118" s="495" t="s">
        <v>2379</v>
      </c>
      <c r="C118" s="540"/>
      <c r="D118" s="540"/>
      <c r="E118" s="540"/>
      <c r="F118" s="540"/>
      <c r="G118" s="540"/>
      <c r="H118" s="540"/>
      <c r="I118" s="540"/>
      <c r="J118" s="540"/>
      <c r="K118" s="541"/>
      <c r="L118" s="542"/>
      <c r="M118" s="543"/>
      <c r="N118" s="1063"/>
      <c r="O118" s="1063"/>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5"/>
      <c r="Q119" s="461"/>
    </row>
    <row r="120" spans="1:17" s="430" customFormat="1" ht="28.5" thickTop="1">
      <c r="A120" s="550"/>
      <c r="B120" s="495" t="s">
        <v>2334</v>
      </c>
      <c r="C120" s="511"/>
      <c r="D120" s="511"/>
      <c r="E120" s="511"/>
      <c r="F120" s="511"/>
      <c r="G120" s="511"/>
      <c r="H120" s="511"/>
      <c r="I120" s="511"/>
      <c r="J120" s="511"/>
      <c r="K120" s="511"/>
      <c r="L120" s="537"/>
      <c r="M120" s="538"/>
      <c r="N120" s="1065"/>
      <c r="O120" s="1065"/>
      <c r="P120" s="207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6"/>
      <c r="Q121" s="516"/>
    </row>
    <row r="122" spans="1:17" ht="15" thickTop="1">
      <c r="A122" s="556"/>
      <c r="B122" s="495" t="s">
        <v>2380</v>
      </c>
      <c r="C122" s="511"/>
      <c r="D122" s="511"/>
      <c r="E122" s="511"/>
      <c r="F122" s="540"/>
      <c r="G122" s="540"/>
      <c r="H122" s="540"/>
      <c r="I122" s="540"/>
      <c r="J122" s="540"/>
      <c r="K122" s="541"/>
      <c r="L122" s="542"/>
      <c r="M122" s="543"/>
      <c r="N122" s="1063"/>
      <c r="O122" s="1063"/>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5"/>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3"/>
      <c r="O124" s="1063"/>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6"/>
      <c r="Q127" s="516"/>
    </row>
    <row r="128" spans="1:17" ht="15" thickTop="1">
      <c r="A128" s="556"/>
      <c r="B128" s="495">
        <f>B45</f>
        <v>111</v>
      </c>
      <c r="C128" s="511"/>
      <c r="D128" s="511"/>
      <c r="E128" s="511"/>
      <c r="F128" s="511"/>
      <c r="G128" s="540"/>
      <c r="H128" s="540"/>
      <c r="I128" s="540"/>
      <c r="J128" s="540"/>
      <c r="K128" s="541"/>
      <c r="L128" s="542"/>
      <c r="M128" s="543"/>
      <c r="N128" s="1063"/>
      <c r="O128" s="1063"/>
      <c r="P128" s="2075"/>
      <c r="Q128" s="461"/>
    </row>
    <row r="129" spans="1:17" ht="15.75" thickBot="1">
      <c r="A129" s="491"/>
      <c r="B129" s="500"/>
      <c r="C129" s="517"/>
      <c r="D129" s="517"/>
      <c r="E129" s="517"/>
      <c r="F129" s="517"/>
      <c r="G129" s="493"/>
      <c r="H129" s="493"/>
      <c r="I129" s="493"/>
      <c r="J129" s="493"/>
      <c r="K129" s="493"/>
      <c r="L129" s="493"/>
      <c r="M129" s="494"/>
      <c r="N129" s="1064"/>
      <c r="O129" s="1064"/>
      <c r="P129" s="2075"/>
      <c r="Q129" s="461"/>
    </row>
    <row r="130" spans="1:17" ht="15" thickTop="1">
      <c r="A130" s="556"/>
      <c r="B130" s="503">
        <f>B46</f>
        <v>111</v>
      </c>
      <c r="C130" s="511"/>
      <c r="D130" s="511"/>
      <c r="E130" s="511"/>
      <c r="F130" s="511"/>
      <c r="G130" s="544"/>
      <c r="H130" s="544"/>
      <c r="I130" s="544"/>
      <c r="J130" s="544"/>
      <c r="K130" s="480"/>
      <c r="L130" s="481"/>
      <c r="M130" s="547"/>
      <c r="N130" s="1063"/>
      <c r="O130" s="1063"/>
      <c r="P130" s="2075"/>
      <c r="Q130" s="461"/>
    </row>
    <row r="131" spans="1:17" ht="15.75" thickBot="1">
      <c r="A131" s="2081"/>
      <c r="B131" s="526"/>
      <c r="C131" s="527"/>
      <c r="D131" s="527"/>
      <c r="E131" s="527"/>
      <c r="F131" s="527"/>
      <c r="G131" s="548"/>
      <c r="H131" s="548"/>
      <c r="I131" s="548"/>
      <c r="J131" s="548"/>
      <c r="K131" s="548"/>
      <c r="L131" s="548"/>
      <c r="M131" s="549"/>
      <c r="N131" s="1064"/>
      <c r="O131" s="1064"/>
      <c r="P131" s="2075"/>
      <c r="Q131" s="461"/>
    </row>
    <row r="136" spans="1:17" ht="15" thickBot="1">
      <c r="B136" s="2082" t="s">
        <v>2382</v>
      </c>
    </row>
    <row r="137" spans="1:17" ht="15">
      <c r="B137" s="2083" t="s">
        <v>2383</v>
      </c>
      <c r="C137" s="2084"/>
      <c r="D137" s="2084"/>
      <c r="E137" s="2084"/>
      <c r="F137" s="2084"/>
      <c r="G137" s="2085"/>
      <c r="H137" s="2086"/>
      <c r="I137" s="2087" t="s">
        <v>2384</v>
      </c>
      <c r="J137" s="2084"/>
      <c r="K137" s="2088"/>
    </row>
    <row r="138" spans="1:17" ht="15">
      <c r="B138" s="2089"/>
      <c r="C138" s="142" t="s">
        <v>2385</v>
      </c>
      <c r="D138" s="142" t="s">
        <v>2386</v>
      </c>
      <c r="E138" s="2090" t="s">
        <v>2387</v>
      </c>
      <c r="F138" s="2091" t="s">
        <v>2388</v>
      </c>
      <c r="G138" s="142" t="s">
        <v>2386</v>
      </c>
      <c r="H138" s="143" t="s">
        <v>2387</v>
      </c>
      <c r="I138" s="2092"/>
      <c r="J138" s="142" t="s">
        <v>2389</v>
      </c>
      <c r="K138" s="143" t="s">
        <v>2390</v>
      </c>
    </row>
    <row r="139" spans="1:17" ht="15">
      <c r="B139" s="997">
        <v>6</v>
      </c>
      <c r="C139" s="998">
        <v>96</v>
      </c>
      <c r="D139" s="2093" t="s">
        <v>2391</v>
      </c>
      <c r="E139" s="999">
        <v>100</v>
      </c>
      <c r="F139" s="1000">
        <v>102.5</v>
      </c>
      <c r="G139" s="2093" t="s">
        <v>2391</v>
      </c>
      <c r="H139" s="1001">
        <v>105</v>
      </c>
      <c r="I139" s="2094" t="s">
        <v>2392</v>
      </c>
      <c r="J139" s="998">
        <v>20</v>
      </c>
      <c r="K139" s="1002">
        <f>C145/(J139-2)</f>
        <v>4.0555555555555553E-3</v>
      </c>
    </row>
    <row r="140" spans="1:17" ht="15">
      <c r="B140" s="1003">
        <v>5</v>
      </c>
      <c r="C140" s="1004">
        <v>100</v>
      </c>
      <c r="D140" s="1004"/>
      <c r="E140" s="1005"/>
      <c r="F140" s="1006">
        <v>102</v>
      </c>
      <c r="G140" s="1004"/>
      <c r="H140" s="1007"/>
      <c r="I140" s="2095" t="s">
        <v>2393</v>
      </c>
      <c r="J140" s="277">
        <f>ROUNDUP((J139-1)/2,0)</f>
        <v>10</v>
      </c>
      <c r="K140" s="1008">
        <v>100</v>
      </c>
    </row>
    <row r="141" spans="1:17" ht="15">
      <c r="B141" s="1003">
        <v>4</v>
      </c>
      <c r="C141" s="1004">
        <v>102</v>
      </c>
      <c r="D141" s="1004"/>
      <c r="E141" s="1005"/>
      <c r="F141" s="1006">
        <v>101.5</v>
      </c>
      <c r="G141" s="1004"/>
      <c r="H141" s="1007"/>
      <c r="I141" s="2095" t="s">
        <v>2394</v>
      </c>
      <c r="J141" s="277">
        <v>1</v>
      </c>
      <c r="K141" s="1009">
        <f>ROUND(100+(J141-J140)*K139*100,1)</f>
        <v>96.4</v>
      </c>
    </row>
    <row r="142" spans="1:17" ht="15">
      <c r="B142" s="1003">
        <v>3</v>
      </c>
      <c r="C142" s="1004">
        <v>103</v>
      </c>
      <c r="D142" s="1004"/>
      <c r="E142" s="1005"/>
      <c r="F142" s="1006">
        <v>101</v>
      </c>
      <c r="G142" s="1004"/>
      <c r="H142" s="1007"/>
      <c r="I142" s="2095" t="s">
        <v>2395</v>
      </c>
      <c r="J142" s="277">
        <f>J139</f>
        <v>20</v>
      </c>
      <c r="K142" s="1010">
        <v>95</v>
      </c>
    </row>
    <row r="143" spans="1:17" ht="15">
      <c r="B143" s="1003">
        <v>2</v>
      </c>
      <c r="C143" s="1004">
        <v>100</v>
      </c>
      <c r="D143" s="1004"/>
      <c r="E143" s="1005"/>
      <c r="F143" s="1006">
        <v>100.5</v>
      </c>
      <c r="G143" s="1004"/>
      <c r="H143" s="1007"/>
      <c r="I143" s="2095" t="s">
        <v>2396</v>
      </c>
      <c r="J143" s="1004">
        <v>15</v>
      </c>
      <c r="K143" s="1009">
        <f>ROUND(100+(J143-J140)*K139*100,1)</f>
        <v>102</v>
      </c>
    </row>
    <row r="144" spans="1:17" ht="15">
      <c r="B144" s="1003">
        <v>1</v>
      </c>
      <c r="C144" s="1004">
        <v>98</v>
      </c>
      <c r="D144" s="2096" t="s">
        <v>2397</v>
      </c>
      <c r="E144" s="1005">
        <v>102</v>
      </c>
      <c r="F144" s="1011">
        <v>100</v>
      </c>
      <c r="G144" s="2096" t="s">
        <v>2397</v>
      </c>
      <c r="H144" s="1007">
        <v>105</v>
      </c>
      <c r="I144" s="2095" t="s">
        <v>2396</v>
      </c>
      <c r="J144" s="1004">
        <v>18</v>
      </c>
      <c r="K144" s="1009">
        <f>ROUND(100+(J144-J140)*K139*100,1)</f>
        <v>103.2</v>
      </c>
    </row>
    <row r="145" spans="2:11" ht="15.75" thickBot="1">
      <c r="B145" s="2097" t="s">
        <v>2398</v>
      </c>
      <c r="C145" s="1012">
        <f>ROUND(MAX(C139:C144)/MIN(C139:C144)-1,3)</f>
        <v>7.2999999999999995E-2</v>
      </c>
      <c r="D145" s="1013"/>
      <c r="E145" s="1013"/>
      <c r="F145" s="2098" t="s">
        <v>2399</v>
      </c>
      <c r="G145" s="2099"/>
      <c r="H145" s="2100"/>
      <c r="I145" s="2101" t="s">
        <v>2396</v>
      </c>
      <c r="J145" s="1014">
        <v>8</v>
      </c>
      <c r="K145" s="1015">
        <f>ROUND(100+(J145-J140)*K139*100,1)</f>
        <v>99.2</v>
      </c>
    </row>
    <row r="147" spans="2:11">
      <c r="B147" s="2082" t="s">
        <v>2400</v>
      </c>
    </row>
    <row r="148" spans="2:11">
      <c r="B148" s="2082"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2288</v>
      </c>
      <c r="B1" s="2031" t="s">
        <v>2402</v>
      </c>
      <c r="C1" s="1376" t="s">
        <v>2290</v>
      </c>
      <c r="D1" s="1363"/>
      <c r="E1" s="2510"/>
      <c r="F1" s="2032"/>
      <c r="G1" s="1373" t="s">
        <v>2403</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2087</v>
      </c>
      <c r="B2" s="1296" t="e">
        <f ca="1">IF(C2="——",ROUND(C49*D3/10000,0),ROUND(C49*D3/10000,0)-D2)</f>
        <v>#DIV/0!</v>
      </c>
      <c r="C2" s="2034"/>
      <c r="D2" s="1246" t="e">
        <f ca="1">SUMIF(INDIRECT("'"&amp;F2&amp;"'"&amp;"!A:A"),"承租人权益价值",INDIRECT("'"&amp;F2&amp;"'"&amp;"!c:c"))</f>
        <v>#REF!</v>
      </c>
      <c r="E2" s="2035" t="s">
        <v>2088</v>
      </c>
      <c r="F2" s="2036"/>
      <c r="G2" s="1038"/>
      <c r="H2" s="1038"/>
      <c r="I2" s="1038"/>
      <c r="J2" s="1038"/>
      <c r="K2" s="1038"/>
      <c r="L2" s="2929"/>
      <c r="M2" s="2930"/>
      <c r="N2" s="2930"/>
      <c r="O2" s="2930"/>
      <c r="P2" s="2105"/>
      <c r="Q2" s="1042"/>
      <c r="R2" s="1042"/>
      <c r="S2" s="1042"/>
      <c r="T2" s="1042"/>
      <c r="U2" s="1042"/>
      <c r="V2" s="1042"/>
      <c r="W2" s="1042"/>
      <c r="X2" s="1042"/>
      <c r="Y2" s="1042"/>
      <c r="Z2" s="1042"/>
      <c r="AA2" s="1042"/>
      <c r="AB2" s="1042"/>
      <c r="AC2" s="2106"/>
    </row>
    <row r="3" spans="1:29" s="358" customFormat="1" ht="28.5" customHeight="1" thickBot="1">
      <c r="A3" s="209" t="s">
        <v>2089</v>
      </c>
      <c r="B3" s="566" t="e">
        <f ca="1">IF(C2="——",C49,ROUND(B2*10000/D3,0))</f>
        <v>#DIV/0!</v>
      </c>
      <c r="C3" s="360" t="s">
        <v>2404</v>
      </c>
      <c r="D3" s="359">
        <f>IF(D1="",'数据-汇总表'!E3,SUMIF('数据-汇总表'!$C19:$C33,D1,'数据-汇总表'!$E19:$E33))</f>
        <v>70196.47</v>
      </c>
      <c r="E3" s="2107"/>
      <c r="F3" s="1039"/>
      <c r="G3" s="1038"/>
      <c r="H3" s="1038"/>
      <c r="I3" s="1038"/>
      <c r="J3" s="1038"/>
      <c r="K3" s="1040"/>
      <c r="L3" s="2929"/>
      <c r="M3" s="2930"/>
      <c r="N3" s="2930"/>
      <c r="O3" s="2930"/>
      <c r="P3" s="2105"/>
      <c r="Q3" s="1042"/>
      <c r="R3" s="1042"/>
      <c r="S3" s="1042"/>
      <c r="T3" s="1042"/>
      <c r="U3" s="1042"/>
      <c r="V3" s="1042"/>
      <c r="W3" s="1042"/>
      <c r="X3" s="1042"/>
      <c r="Y3" s="1042"/>
      <c r="Z3" s="1042"/>
      <c r="AA3" s="1042"/>
      <c r="AB3" s="1042"/>
      <c r="AC3" s="2107"/>
    </row>
    <row r="4" spans="1:29" ht="15">
      <c r="A4" s="361" t="s">
        <v>2405</v>
      </c>
      <c r="B4" s="362"/>
      <c r="C4" s="3517" t="s">
        <v>2406</v>
      </c>
      <c r="D4" s="3518"/>
      <c r="E4" s="3519" t="s">
        <v>2407</v>
      </c>
      <c r="F4" s="3520"/>
      <c r="G4" s="3517" t="s">
        <v>2408</v>
      </c>
      <c r="H4" s="3518"/>
      <c r="I4" s="3517" t="s">
        <v>2409</v>
      </c>
      <c r="J4" s="3518"/>
      <c r="K4" s="567" t="s">
        <v>2410</v>
      </c>
      <c r="L4" s="2910"/>
      <c r="M4" s="2911"/>
      <c r="N4" s="2911"/>
      <c r="O4" s="2911"/>
      <c r="P4" s="3587" t="s">
        <v>2411</v>
      </c>
      <c r="Q4" s="3588"/>
      <c r="R4" s="3591" t="s">
        <v>2407</v>
      </c>
      <c r="S4" s="3592"/>
      <c r="T4" s="3591" t="s">
        <v>2408</v>
      </c>
      <c r="U4" s="3592"/>
      <c r="V4" s="3534" t="s">
        <v>2409</v>
      </c>
      <c r="W4" s="3534"/>
      <c r="X4" s="1507"/>
      <c r="Y4" s="3591" t="s">
        <v>2411</v>
      </c>
      <c r="Z4" s="3592"/>
      <c r="AA4" s="3586" t="s">
        <v>2407</v>
      </c>
      <c r="AB4" s="3534" t="s">
        <v>2408</v>
      </c>
      <c r="AC4" s="3586" t="s">
        <v>2409</v>
      </c>
    </row>
    <row r="5" spans="1:29" ht="15">
      <c r="A5" s="364"/>
      <c r="B5" s="365"/>
      <c r="C5" s="3543" t="s">
        <v>2302</v>
      </c>
      <c r="D5" s="3538"/>
      <c r="E5" s="3593" t="s">
        <v>2303</v>
      </c>
      <c r="F5" s="3550"/>
      <c r="G5" s="3543" t="s">
        <v>2304</v>
      </c>
      <c r="H5" s="3538"/>
      <c r="I5" s="3543" t="s">
        <v>2305</v>
      </c>
      <c r="J5" s="3538"/>
      <c r="K5" s="567"/>
      <c r="L5" s="2910"/>
      <c r="M5" s="2911"/>
      <c r="N5" s="2911"/>
      <c r="O5" s="2911"/>
      <c r="P5" s="3589"/>
      <c r="Q5" s="3524"/>
      <c r="R5" s="3529"/>
      <c r="S5" s="3530"/>
      <c r="T5" s="3529"/>
      <c r="U5" s="3530"/>
      <c r="V5" s="3534"/>
      <c r="W5" s="3534"/>
      <c r="X5" s="1507"/>
      <c r="Y5" s="3529"/>
      <c r="Z5" s="3530"/>
      <c r="AA5" s="3547"/>
      <c r="AB5" s="3534"/>
      <c r="AC5" s="3547"/>
    </row>
    <row r="6" spans="1:29" ht="15.75" thickBot="1">
      <c r="A6" s="366"/>
      <c r="B6" s="367"/>
      <c r="C6" s="3535" t="s">
        <v>2306</v>
      </c>
      <c r="D6" s="3536"/>
      <c r="E6" s="3544" t="s">
        <v>2306</v>
      </c>
      <c r="F6" s="3545"/>
      <c r="G6" s="3535" t="s">
        <v>2306</v>
      </c>
      <c r="H6" s="3536"/>
      <c r="I6" s="3535" t="s">
        <v>2306</v>
      </c>
      <c r="J6" s="3536"/>
      <c r="K6" s="567" t="s">
        <v>2307</v>
      </c>
      <c r="L6" s="2910"/>
      <c r="M6" s="2911"/>
      <c r="N6" s="2911"/>
      <c r="O6" s="2911"/>
      <c r="P6" s="3590"/>
      <c r="Q6" s="3526"/>
      <c r="R6" s="3529"/>
      <c r="S6" s="3530"/>
      <c r="T6" s="3531"/>
      <c r="U6" s="3532"/>
      <c r="V6" s="3534"/>
      <c r="W6" s="3534"/>
      <c r="X6" s="1507"/>
      <c r="Y6" s="3531"/>
      <c r="Z6" s="3532"/>
      <c r="AA6" s="3548"/>
      <c r="AB6" s="3534"/>
      <c r="AC6" s="3548"/>
    </row>
    <row r="7" spans="1:29" s="113" customFormat="1" ht="15.75" thickBot="1">
      <c r="A7" s="368" t="s">
        <v>2308</v>
      </c>
      <c r="B7" s="369"/>
      <c r="C7" s="370">
        <f>'数据-取费表'!B2</f>
        <v>44665</v>
      </c>
      <c r="D7" s="371">
        <v>100</v>
      </c>
      <c r="E7" s="372"/>
      <c r="F7" s="373">
        <f>SUMIF(58:58,YEAR(E7)&amp;"-"&amp;MONTH(E7),59:59)</f>
        <v>0</v>
      </c>
      <c r="G7" s="372"/>
      <c r="H7" s="371">
        <f>SUMIF(58:58,YEAR(G7)&amp;"-"&amp;MONTH(G7),59:59)</f>
        <v>0</v>
      </c>
      <c r="I7" s="372"/>
      <c r="J7" s="371">
        <f>SUMIF(58:58,YEAR(I7)&amp;"-"&amp;MONTH(I7),59:59)</f>
        <v>0</v>
      </c>
      <c r="K7" s="568"/>
      <c r="L7" s="2912"/>
      <c r="M7" s="2913"/>
      <c r="N7" s="2913"/>
      <c r="O7" s="2913"/>
      <c r="P7" s="3541" t="s">
        <v>2309</v>
      </c>
      <c r="Q7" s="3542"/>
      <c r="R7" s="710" t="s">
        <v>17</v>
      </c>
      <c r="S7" s="711">
        <f t="shared" ref="S7:S15" si="0">F7</f>
        <v>0</v>
      </c>
      <c r="T7" s="710" t="s">
        <v>17</v>
      </c>
      <c r="U7" s="711">
        <f t="shared" ref="U7:U15" si="1">H7</f>
        <v>0</v>
      </c>
      <c r="V7" s="710" t="s">
        <v>17</v>
      </c>
      <c r="W7" s="711">
        <f t="shared" ref="W7:W15" si="2">J7</f>
        <v>0</v>
      </c>
      <c r="X7" s="712"/>
      <c r="Y7" s="3541" t="s">
        <v>2309</v>
      </c>
      <c r="Z7" s="3540"/>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541" t="s">
        <v>2312</v>
      </c>
      <c r="Q8" s="3540"/>
      <c r="R8" s="710" t="s">
        <v>17</v>
      </c>
      <c r="S8" s="711">
        <f t="shared" si="0"/>
        <v>0</v>
      </c>
      <c r="T8" s="710" t="s">
        <v>17</v>
      </c>
      <c r="U8" s="711">
        <f t="shared" si="1"/>
        <v>0</v>
      </c>
      <c r="V8" s="710" t="s">
        <v>17</v>
      </c>
      <c r="W8" s="711">
        <f t="shared" si="2"/>
        <v>0</v>
      </c>
      <c r="X8" s="712"/>
      <c r="Y8" s="3541" t="s">
        <v>2312</v>
      </c>
      <c r="Z8" s="3540"/>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99" t="s">
        <v>2315</v>
      </c>
      <c r="Q9" s="1495"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99"/>
      <c r="Q10" s="1495"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99"/>
      <c r="Q11" s="1495"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99"/>
      <c r="Q12" s="1495">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99"/>
      <c r="Q13" s="1495">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99"/>
      <c r="Q14" s="1495">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15">
      <c r="A15" s="399" t="s">
        <v>2319</v>
      </c>
      <c r="B15" s="65" t="s">
        <v>2413</v>
      </c>
      <c r="C15" s="2049">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505" t="s">
        <v>2320</v>
      </c>
      <c r="Q15" s="1504" t="str">
        <f t="shared" si="6"/>
        <v>商业繁华度</v>
      </c>
      <c r="R15" s="714" t="s">
        <v>17</v>
      </c>
      <c r="S15" s="715">
        <f t="shared" si="0"/>
        <v>100</v>
      </c>
      <c r="T15" s="714" t="s">
        <v>17</v>
      </c>
      <c r="U15" s="715">
        <f t="shared" si="1"/>
        <v>100</v>
      </c>
      <c r="V15" s="714" t="s">
        <v>17</v>
      </c>
      <c r="W15" s="715">
        <f t="shared" si="2"/>
        <v>100</v>
      </c>
      <c r="X15" s="1507"/>
      <c r="Y15" s="3507" t="s">
        <v>2320</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7"/>
      <c r="M16" s="2911"/>
      <c r="N16" s="2911"/>
      <c r="O16" s="2911"/>
      <c r="P16" s="3506"/>
      <c r="Q16" s="1504"/>
      <c r="R16" s="714"/>
      <c r="S16" s="715"/>
      <c r="T16" s="714"/>
      <c r="U16" s="715"/>
      <c r="V16" s="714"/>
      <c r="W16" s="715"/>
      <c r="X16" s="1507"/>
      <c r="Y16" s="3508"/>
      <c r="Z16" s="1508"/>
      <c r="AA16" s="1505">
        <v>1</v>
      </c>
      <c r="AB16" s="1505">
        <v>1</v>
      </c>
      <c r="AC16" s="1505">
        <v>1</v>
      </c>
    </row>
    <row r="17" spans="1:29" ht="15">
      <c r="A17" s="387"/>
      <c r="B17" s="410" t="s">
        <v>1884</v>
      </c>
      <c r="C17" s="2053"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506"/>
      <c r="Q17" s="1504" t="str">
        <f>B17</f>
        <v>交通便捷度</v>
      </c>
      <c r="R17" s="714" t="s">
        <v>17</v>
      </c>
      <c r="S17" s="715">
        <f>F17</f>
        <v>100</v>
      </c>
      <c r="T17" s="714" t="s">
        <v>17</v>
      </c>
      <c r="U17" s="715">
        <f>H17</f>
        <v>100</v>
      </c>
      <c r="V17" s="714" t="s">
        <v>17</v>
      </c>
      <c r="W17" s="715">
        <f>J17</f>
        <v>100</v>
      </c>
      <c r="X17" s="1507"/>
      <c r="Y17" s="3508"/>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7"/>
      <c r="M18" s="2911"/>
      <c r="N18" s="2911"/>
      <c r="O18" s="2911"/>
      <c r="P18" s="3506"/>
      <c r="Q18" s="1504"/>
      <c r="R18" s="714"/>
      <c r="S18" s="715"/>
      <c r="T18" s="714"/>
      <c r="U18" s="715"/>
      <c r="V18" s="714"/>
      <c r="W18" s="715"/>
      <c r="X18" s="1507"/>
      <c r="Y18" s="3508"/>
      <c r="Z18" s="1508"/>
      <c r="AA18" s="1505">
        <v>1</v>
      </c>
      <c r="AB18" s="1505">
        <v>1</v>
      </c>
      <c r="AC18" s="1505">
        <v>1</v>
      </c>
    </row>
    <row r="19" spans="1:29" ht="15">
      <c r="A19" s="387"/>
      <c r="B19" s="410" t="s">
        <v>2414</v>
      </c>
      <c r="C19" s="2053"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506"/>
      <c r="Q19" s="1504" t="str">
        <f>B19</f>
        <v>公共配套设施</v>
      </c>
      <c r="R19" s="714" t="s">
        <v>17</v>
      </c>
      <c r="S19" s="715">
        <f>F19</f>
        <v>100</v>
      </c>
      <c r="T19" s="714" t="s">
        <v>17</v>
      </c>
      <c r="U19" s="715">
        <f>H19</f>
        <v>100</v>
      </c>
      <c r="V19" s="714" t="s">
        <v>17</v>
      </c>
      <c r="W19" s="715">
        <f>J19</f>
        <v>100</v>
      </c>
      <c r="X19" s="1507"/>
      <c r="Y19" s="3508"/>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7"/>
      <c r="M20" s="2911"/>
      <c r="N20" s="2911"/>
      <c r="O20" s="2911"/>
      <c r="P20" s="3506"/>
      <c r="Q20" s="1504"/>
      <c r="R20" s="714"/>
      <c r="S20" s="715"/>
      <c r="T20" s="714"/>
      <c r="U20" s="715"/>
      <c r="V20" s="714"/>
      <c r="W20" s="715"/>
      <c r="X20" s="1507"/>
      <c r="Y20" s="3508"/>
      <c r="Z20" s="1508"/>
      <c r="AA20" s="1505">
        <v>1</v>
      </c>
      <c r="AB20" s="1505">
        <v>1</v>
      </c>
      <c r="AC20" s="1505">
        <v>1</v>
      </c>
    </row>
    <row r="21" spans="1:29" ht="15">
      <c r="A21" s="387"/>
      <c r="B21" s="1264" t="s">
        <v>2415</v>
      </c>
      <c r="C21" s="2053"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506"/>
      <c r="Q21" s="1504" t="str">
        <f>B21</f>
        <v>基础设施水平</v>
      </c>
      <c r="R21" s="714" t="s">
        <v>17</v>
      </c>
      <c r="S21" s="715">
        <f>F21</f>
        <v>100</v>
      </c>
      <c r="T21" s="714" t="s">
        <v>17</v>
      </c>
      <c r="U21" s="715">
        <f>H21</f>
        <v>100</v>
      </c>
      <c r="V21" s="714" t="s">
        <v>17</v>
      </c>
      <c r="W21" s="715">
        <f>J21</f>
        <v>100</v>
      </c>
      <c r="X21" s="1507"/>
      <c r="Y21" s="3508"/>
      <c r="Z21" s="1508" t="str">
        <f>Q21</f>
        <v>基础设施水平</v>
      </c>
      <c r="AA21" s="1505">
        <f t="shared" ref="AA21" si="8">D21/F21</f>
        <v>1</v>
      </c>
      <c r="AB21" s="1505">
        <f t="shared" ref="AB21" si="9">D21/H21</f>
        <v>1</v>
      </c>
      <c r="AC21" s="1505">
        <f t="shared" ref="AC21" si="10">D21/J21</f>
        <v>1</v>
      </c>
    </row>
    <row r="22" spans="1:29" ht="15">
      <c r="A22" s="387"/>
      <c r="B22" s="1264"/>
      <c r="C22" s="2054"/>
      <c r="D22" s="407"/>
      <c r="E22" s="406"/>
      <c r="F22" s="408"/>
      <c r="G22" s="406"/>
      <c r="H22" s="407"/>
      <c r="I22" s="406"/>
      <c r="J22" s="407"/>
      <c r="K22" s="1263"/>
      <c r="L22" s="2917"/>
      <c r="M22" s="2911"/>
      <c r="N22" s="2911"/>
      <c r="O22" s="2911"/>
      <c r="P22" s="3506"/>
      <c r="Q22" s="1504"/>
      <c r="R22" s="714"/>
      <c r="S22" s="715"/>
      <c r="T22" s="714"/>
      <c r="U22" s="715"/>
      <c r="V22" s="714"/>
      <c r="W22" s="715"/>
      <c r="X22" s="1507"/>
      <c r="Y22" s="3508"/>
      <c r="Z22" s="1508"/>
      <c r="AA22" s="1505">
        <v>1</v>
      </c>
      <c r="AB22" s="1505">
        <v>1</v>
      </c>
      <c r="AC22" s="1505">
        <v>1</v>
      </c>
    </row>
    <row r="23" spans="1:29" ht="15">
      <c r="A23" s="387"/>
      <c r="B23" s="410" t="s">
        <v>1886</v>
      </c>
      <c r="C23" s="210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506"/>
      <c r="Q23" s="1504" t="str">
        <f>B23</f>
        <v>自然及人文环境</v>
      </c>
      <c r="R23" s="714" t="s">
        <v>17</v>
      </c>
      <c r="S23" s="715">
        <f>F23</f>
        <v>100</v>
      </c>
      <c r="T23" s="714" t="s">
        <v>17</v>
      </c>
      <c r="U23" s="715">
        <f>H23</f>
        <v>100</v>
      </c>
      <c r="V23" s="714" t="s">
        <v>17</v>
      </c>
      <c r="W23" s="715">
        <f>J23</f>
        <v>100</v>
      </c>
      <c r="X23" s="1507"/>
      <c r="Y23" s="3508"/>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7"/>
      <c r="M24" s="2911"/>
      <c r="N24" s="2911"/>
      <c r="O24" s="2911"/>
      <c r="P24" s="3506"/>
      <c r="Q24" s="1504"/>
      <c r="R24" s="714"/>
      <c r="S24" s="715"/>
      <c r="T24" s="714"/>
      <c r="U24" s="715"/>
      <c r="V24" s="714"/>
      <c r="W24" s="715"/>
      <c r="X24" s="1507"/>
      <c r="Y24" s="3508"/>
      <c r="Z24" s="1508"/>
      <c r="AA24" s="1505">
        <v>1</v>
      </c>
      <c r="AB24" s="1505">
        <v>1</v>
      </c>
      <c r="AC24" s="1505">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506"/>
      <c r="Q25" s="1504" t="str">
        <f t="shared" ref="Q25:Q46" si="11">B25</f>
        <v>临街状况</v>
      </c>
      <c r="R25" s="714" t="s">
        <v>17</v>
      </c>
      <c r="S25" s="715">
        <f>F25</f>
        <v>100</v>
      </c>
      <c r="T25" s="714" t="s">
        <v>17</v>
      </c>
      <c r="U25" s="715">
        <f>H25</f>
        <v>100</v>
      </c>
      <c r="V25" s="714" t="s">
        <v>17</v>
      </c>
      <c r="W25" s="715">
        <f>J25</f>
        <v>100</v>
      </c>
      <c r="X25" s="1507"/>
      <c r="Y25" s="3508"/>
      <c r="Z25" s="1508" t="str">
        <f>Q25</f>
        <v>临街状况</v>
      </c>
      <c r="AA25" s="1505">
        <f t="shared" si="3"/>
        <v>1</v>
      </c>
      <c r="AB25" s="1505">
        <f t="shared" si="4"/>
        <v>1</v>
      </c>
      <c r="AC25" s="1505">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506"/>
      <c r="Q26" s="1504" t="str">
        <f t="shared" si="11"/>
        <v>平面位置/可视性</v>
      </c>
      <c r="R26" s="714" t="s">
        <v>17</v>
      </c>
      <c r="S26" s="715">
        <f>F26</f>
        <v>100</v>
      </c>
      <c r="T26" s="714" t="s">
        <v>17</v>
      </c>
      <c r="U26" s="715">
        <f>H26</f>
        <v>100</v>
      </c>
      <c r="V26" s="714" t="s">
        <v>17</v>
      </c>
      <c r="W26" s="715">
        <f>J26</f>
        <v>100</v>
      </c>
      <c r="X26" s="1507"/>
      <c r="Y26" s="3508"/>
      <c r="Z26" s="1508" t="str">
        <f>Q26</f>
        <v>平面位置/可视性</v>
      </c>
      <c r="AA26" s="1505">
        <f t="shared" si="3"/>
        <v>1</v>
      </c>
      <c r="AB26" s="1505">
        <f t="shared" si="4"/>
        <v>1</v>
      </c>
      <c r="AC26" s="1505">
        <f t="shared" si="5"/>
        <v>1</v>
      </c>
    </row>
    <row r="27" spans="1:29" s="113" customFormat="1" ht="15">
      <c r="A27" s="390"/>
      <c r="B27" s="410" t="s">
        <v>2418</v>
      </c>
      <c r="C27" s="2109"/>
      <c r="D27" s="421">
        <v>100</v>
      </c>
      <c r="E27" s="2109"/>
      <c r="F27" s="423">
        <f>SUMIF(90:90,E27,91:91)-SUMIF(90:90,C27,91:91)+100</f>
        <v>100</v>
      </c>
      <c r="G27" s="2109"/>
      <c r="H27" s="421">
        <f>SUMIF(90:90,G27,91:91)-SUMIF(90:90,C27,91:91)+100</f>
        <v>100</v>
      </c>
      <c r="I27" s="2109"/>
      <c r="J27" s="421">
        <f>SUMIF(90:90,I27,91:91)-SUMIF(90:90,C27,91:91)+100</f>
        <v>100</v>
      </c>
      <c r="K27" s="569"/>
      <c r="L27" s="2912"/>
      <c r="M27" s="2913"/>
      <c r="N27" s="2913"/>
      <c r="O27" s="2913"/>
      <c r="P27" s="3506"/>
      <c r="Q27" s="1495" t="str">
        <f t="shared" si="11"/>
        <v>人流量</v>
      </c>
      <c r="R27" s="710" t="s">
        <v>17</v>
      </c>
      <c r="S27" s="711">
        <f>F27</f>
        <v>100</v>
      </c>
      <c r="T27" s="710" t="s">
        <v>17</v>
      </c>
      <c r="U27" s="711">
        <f>H27</f>
        <v>100</v>
      </c>
      <c r="V27" s="710" t="s">
        <v>17</v>
      </c>
      <c r="W27" s="711">
        <f>J27</f>
        <v>100</v>
      </c>
      <c r="X27" s="712"/>
      <c r="Y27" s="3508"/>
      <c r="Z27" s="55" t="str">
        <f>Q27</f>
        <v>人流量</v>
      </c>
      <c r="AA27" s="1505">
        <f>D27/F27</f>
        <v>1</v>
      </c>
      <c r="AB27" s="1505">
        <f>D27/H27</f>
        <v>1</v>
      </c>
      <c r="AC27" s="1505">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506"/>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508"/>
      <c r="Z28" s="1508" t="str">
        <f t="shared" ref="Z28:Z46" si="15">Q28</f>
        <v>楼层</v>
      </c>
      <c r="AA28" s="1505">
        <f t="shared" si="3"/>
        <v>1</v>
      </c>
      <c r="AB28" s="1505">
        <f t="shared" si="4"/>
        <v>1</v>
      </c>
      <c r="AC28" s="1505">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506"/>
      <c r="Q29" s="1504">
        <f t="shared" si="11"/>
        <v>111</v>
      </c>
      <c r="R29" s="714" t="s">
        <v>17</v>
      </c>
      <c r="S29" s="715">
        <f t="shared" si="12"/>
        <v>100</v>
      </c>
      <c r="T29" s="714" t="s">
        <v>17</v>
      </c>
      <c r="U29" s="715">
        <f t="shared" si="13"/>
        <v>100</v>
      </c>
      <c r="V29" s="714" t="s">
        <v>17</v>
      </c>
      <c r="W29" s="715">
        <f t="shared" si="14"/>
        <v>100</v>
      </c>
      <c r="X29" s="1507"/>
      <c r="Y29" s="3508"/>
      <c r="Z29" s="1508">
        <f t="shared" si="15"/>
        <v>111</v>
      </c>
      <c r="AA29" s="1505">
        <f t="shared" si="3"/>
        <v>1</v>
      </c>
      <c r="AB29" s="1505">
        <f t="shared" si="4"/>
        <v>1</v>
      </c>
      <c r="AC29" s="1505">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506"/>
      <c r="Q30" s="1504">
        <f t="shared" si="11"/>
        <v>111</v>
      </c>
      <c r="R30" s="714" t="s">
        <v>17</v>
      </c>
      <c r="S30" s="715">
        <f t="shared" si="12"/>
        <v>100</v>
      </c>
      <c r="T30" s="714" t="s">
        <v>17</v>
      </c>
      <c r="U30" s="715">
        <f t="shared" si="13"/>
        <v>100</v>
      </c>
      <c r="V30" s="714" t="s">
        <v>17</v>
      </c>
      <c r="W30" s="715">
        <f t="shared" si="14"/>
        <v>100</v>
      </c>
      <c r="X30" s="1507"/>
      <c r="Y30" s="3508"/>
      <c r="Z30" s="1508">
        <f t="shared" si="15"/>
        <v>111</v>
      </c>
      <c r="AA30" s="1505">
        <f t="shared" si="3"/>
        <v>1</v>
      </c>
      <c r="AB30" s="1505">
        <f t="shared" si="4"/>
        <v>1</v>
      </c>
      <c r="AC30" s="1505">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506"/>
      <c r="Q31" s="1504">
        <f t="shared" si="11"/>
        <v>111</v>
      </c>
      <c r="R31" s="714" t="s">
        <v>17</v>
      </c>
      <c r="S31" s="715">
        <f t="shared" si="12"/>
        <v>100</v>
      </c>
      <c r="T31" s="714" t="s">
        <v>17</v>
      </c>
      <c r="U31" s="715">
        <f t="shared" si="13"/>
        <v>100</v>
      </c>
      <c r="V31" s="714" t="s">
        <v>17</v>
      </c>
      <c r="W31" s="715">
        <f t="shared" si="14"/>
        <v>100</v>
      </c>
      <c r="X31" s="1507"/>
      <c r="Y31" s="3508"/>
      <c r="Z31" s="1508">
        <f t="shared" si="15"/>
        <v>111</v>
      </c>
      <c r="AA31" s="1505">
        <f t="shared" si="3"/>
        <v>1</v>
      </c>
      <c r="AB31" s="1505">
        <f t="shared" si="4"/>
        <v>1</v>
      </c>
      <c r="AC31" s="1505">
        <f t="shared" si="5"/>
        <v>1</v>
      </c>
    </row>
    <row r="32" spans="1:29" ht="15">
      <c r="A32" s="399" t="s">
        <v>2323</v>
      </c>
      <c r="B32" s="67" t="s">
        <v>2420</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7"/>
      <c r="M32" s="2911"/>
      <c r="N32" s="2911"/>
      <c r="O32" s="2911"/>
      <c r="P32" s="3509" t="s">
        <v>2325</v>
      </c>
      <c r="Q32" s="1504" t="str">
        <f t="shared" si="11"/>
        <v>商业类型</v>
      </c>
      <c r="R32" s="714" t="s">
        <v>17</v>
      </c>
      <c r="S32" s="715">
        <f t="shared" si="12"/>
        <v>100</v>
      </c>
      <c r="T32" s="714" t="s">
        <v>17</v>
      </c>
      <c r="U32" s="715">
        <f t="shared" si="13"/>
        <v>100</v>
      </c>
      <c r="V32" s="714" t="s">
        <v>17</v>
      </c>
      <c r="W32" s="715">
        <f t="shared" si="14"/>
        <v>100</v>
      </c>
      <c r="X32" s="1507"/>
      <c r="Y32" s="3512" t="s">
        <v>2325</v>
      </c>
      <c r="Z32" s="1508" t="str">
        <f t="shared" si="15"/>
        <v>商业类型</v>
      </c>
      <c r="AA32" s="1505">
        <f t="shared" si="3"/>
        <v>1</v>
      </c>
      <c r="AB32" s="1505">
        <f t="shared" si="4"/>
        <v>1</v>
      </c>
      <c r="AC32" s="1505">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510"/>
      <c r="Q33" s="716" t="str">
        <f t="shared" si="11"/>
        <v>项目建筑规模</v>
      </c>
      <c r="R33" s="717" t="s">
        <v>17</v>
      </c>
      <c r="S33" s="718" t="e">
        <f t="shared" si="12"/>
        <v>#N/A</v>
      </c>
      <c r="T33" s="717" t="s">
        <v>17</v>
      </c>
      <c r="U33" s="718" t="e">
        <f t="shared" si="13"/>
        <v>#N/A</v>
      </c>
      <c r="V33" s="717" t="s">
        <v>17</v>
      </c>
      <c r="W33" s="718" t="e">
        <f t="shared" si="14"/>
        <v>#N/A</v>
      </c>
      <c r="X33" s="719"/>
      <c r="Y33" s="3512"/>
      <c r="Z33" s="720" t="str">
        <f t="shared" si="15"/>
        <v>项目建筑规模</v>
      </c>
      <c r="AA33" s="1505" t="e">
        <f t="shared" si="3"/>
        <v>#N/A</v>
      </c>
      <c r="AB33" s="1505" t="e">
        <f t="shared" si="4"/>
        <v>#N/A</v>
      </c>
      <c r="AC33" s="1505" t="e">
        <f t="shared" si="5"/>
        <v>#N/A</v>
      </c>
    </row>
    <row r="34" spans="1:29" ht="15">
      <c r="A34" s="431"/>
      <c r="B34" s="381" t="s">
        <v>2327</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7"/>
      <c r="M34" s="2911"/>
      <c r="N34" s="2911"/>
      <c r="O34" s="2911"/>
      <c r="P34" s="3510"/>
      <c r="Q34" s="1504" t="str">
        <f t="shared" si="11"/>
        <v>建筑结构</v>
      </c>
      <c r="R34" s="714" t="s">
        <v>17</v>
      </c>
      <c r="S34" s="715">
        <f t="shared" si="12"/>
        <v>100</v>
      </c>
      <c r="T34" s="714" t="s">
        <v>17</v>
      </c>
      <c r="U34" s="715">
        <f t="shared" si="13"/>
        <v>100</v>
      </c>
      <c r="V34" s="714" t="s">
        <v>17</v>
      </c>
      <c r="W34" s="715">
        <f t="shared" si="14"/>
        <v>100</v>
      </c>
      <c r="X34" s="1507"/>
      <c r="Y34" s="3512"/>
      <c r="Z34" s="1508" t="str">
        <f t="shared" si="15"/>
        <v>建筑结构</v>
      </c>
      <c r="AA34" s="1505">
        <f t="shared" si="3"/>
        <v>1</v>
      </c>
      <c r="AB34" s="1505">
        <f t="shared" si="4"/>
        <v>1</v>
      </c>
      <c r="AC34" s="1505">
        <f t="shared" si="5"/>
        <v>1</v>
      </c>
    </row>
    <row r="35" spans="1:29" ht="15">
      <c r="A35" s="431"/>
      <c r="B35" s="381" t="s">
        <v>2421</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7"/>
      <c r="M35" s="2911"/>
      <c r="N35" s="2911"/>
      <c r="O35" s="2911"/>
      <c r="P35" s="3510"/>
      <c r="Q35" s="1504" t="str">
        <f t="shared" si="11"/>
        <v>公共部分装修</v>
      </c>
      <c r="R35" s="714" t="s">
        <v>17</v>
      </c>
      <c r="S35" s="715">
        <f t="shared" si="12"/>
        <v>100</v>
      </c>
      <c r="T35" s="714" t="s">
        <v>17</v>
      </c>
      <c r="U35" s="715">
        <f t="shared" si="13"/>
        <v>100</v>
      </c>
      <c r="V35" s="714" t="s">
        <v>17</v>
      </c>
      <c r="W35" s="715">
        <f t="shared" si="14"/>
        <v>100</v>
      </c>
      <c r="X35" s="1507"/>
      <c r="Y35" s="3512"/>
      <c r="Z35" s="1508" t="str">
        <f t="shared" si="15"/>
        <v>公共部分装修</v>
      </c>
      <c r="AA35" s="1505">
        <f t="shared" si="3"/>
        <v>1</v>
      </c>
      <c r="AB35" s="1505">
        <f t="shared" si="4"/>
        <v>1</v>
      </c>
      <c r="AC35" s="1505">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510"/>
      <c r="Q36" s="1504" t="str">
        <f t="shared" si="11"/>
        <v>成新度</v>
      </c>
      <c r="R36" s="714" t="s">
        <v>17</v>
      </c>
      <c r="S36" s="715" t="e">
        <f t="shared" si="12"/>
        <v>#N/A</v>
      </c>
      <c r="T36" s="714" t="s">
        <v>17</v>
      </c>
      <c r="U36" s="715" t="e">
        <f t="shared" si="13"/>
        <v>#N/A</v>
      </c>
      <c r="V36" s="714" t="s">
        <v>17</v>
      </c>
      <c r="W36" s="715" t="e">
        <f t="shared" si="14"/>
        <v>#N/A</v>
      </c>
      <c r="X36" s="1507"/>
      <c r="Y36" s="3512"/>
      <c r="Z36" s="1508" t="str">
        <f t="shared" si="15"/>
        <v>成新度</v>
      </c>
      <c r="AA36" s="1505" t="e">
        <f t="shared" si="3"/>
        <v>#N/A</v>
      </c>
      <c r="AB36" s="1505" t="e">
        <f t="shared" si="4"/>
        <v>#N/A</v>
      </c>
      <c r="AC36" s="1505" t="e">
        <f t="shared" si="5"/>
        <v>#N/A</v>
      </c>
    </row>
    <row r="37" spans="1:29" s="113" customFormat="1" ht="15">
      <c r="A37" s="432"/>
      <c r="B37" s="381" t="s">
        <v>2423</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2"/>
      <c r="M37" s="2913"/>
      <c r="N37" s="2913"/>
      <c r="O37" s="2913"/>
      <c r="P37" s="3510"/>
      <c r="Q37" s="1495" t="str">
        <f t="shared" si="11"/>
        <v>市政基础设施</v>
      </c>
      <c r="R37" s="710" t="s">
        <v>17</v>
      </c>
      <c r="S37" s="711">
        <f t="shared" si="12"/>
        <v>100</v>
      </c>
      <c r="T37" s="710" t="s">
        <v>17</v>
      </c>
      <c r="U37" s="711">
        <f t="shared" si="13"/>
        <v>100</v>
      </c>
      <c r="V37" s="710" t="s">
        <v>17</v>
      </c>
      <c r="W37" s="711">
        <f t="shared" si="14"/>
        <v>100</v>
      </c>
      <c r="X37" s="712"/>
      <c r="Y37" s="3512"/>
      <c r="Z37" s="55" t="str">
        <f t="shared" si="15"/>
        <v>市政基础设施</v>
      </c>
      <c r="AA37" s="713">
        <f t="shared" si="3"/>
        <v>1</v>
      </c>
      <c r="AB37" s="713">
        <f t="shared" si="4"/>
        <v>1</v>
      </c>
      <c r="AC37" s="713">
        <f t="shared" si="5"/>
        <v>1</v>
      </c>
    </row>
    <row r="38" spans="1:29" ht="15">
      <c r="A38" s="431"/>
      <c r="B38" s="381" t="s">
        <v>2424</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7"/>
      <c r="M38" s="2911"/>
      <c r="N38" s="2911"/>
      <c r="O38" s="2911"/>
      <c r="P38" s="3510" t="s">
        <v>2325</v>
      </c>
      <c r="Q38" s="1504" t="str">
        <f t="shared" si="11"/>
        <v>业态</v>
      </c>
      <c r="R38" s="714" t="s">
        <v>17</v>
      </c>
      <c r="S38" s="715">
        <f t="shared" si="12"/>
        <v>100</v>
      </c>
      <c r="T38" s="714" t="s">
        <v>17</v>
      </c>
      <c r="U38" s="715">
        <f t="shared" si="13"/>
        <v>100</v>
      </c>
      <c r="V38" s="714" t="s">
        <v>17</v>
      </c>
      <c r="W38" s="715">
        <f t="shared" si="14"/>
        <v>100</v>
      </c>
      <c r="X38" s="1507"/>
      <c r="Y38" s="3512" t="s">
        <v>2325</v>
      </c>
      <c r="Z38" s="1508" t="str">
        <f t="shared" si="15"/>
        <v>业态</v>
      </c>
      <c r="AA38" s="1505">
        <f t="shared" si="3"/>
        <v>1</v>
      </c>
      <c r="AB38" s="1505">
        <f t="shared" si="4"/>
        <v>1</v>
      </c>
      <c r="AC38" s="1505">
        <f t="shared" si="5"/>
        <v>1</v>
      </c>
    </row>
    <row r="39" spans="1:29" ht="15">
      <c r="A39" s="431"/>
      <c r="B39" s="381" t="s">
        <v>2425</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7"/>
      <c r="M39" s="2911"/>
      <c r="N39" s="2911"/>
      <c r="O39" s="2911"/>
      <c r="P39" s="3510"/>
      <c r="Q39" s="1504" t="str">
        <f t="shared" si="11"/>
        <v>层高</v>
      </c>
      <c r="R39" s="714" t="s">
        <v>17</v>
      </c>
      <c r="S39" s="715">
        <f t="shared" si="12"/>
        <v>100</v>
      </c>
      <c r="T39" s="714" t="s">
        <v>17</v>
      </c>
      <c r="U39" s="715">
        <f t="shared" si="13"/>
        <v>100</v>
      </c>
      <c r="V39" s="714" t="s">
        <v>17</v>
      </c>
      <c r="W39" s="715">
        <f t="shared" si="14"/>
        <v>100</v>
      </c>
      <c r="X39" s="1507"/>
      <c r="Y39" s="3512"/>
      <c r="Z39" s="1508" t="str">
        <f t="shared" si="15"/>
        <v>层高</v>
      </c>
      <c r="AA39" s="1505">
        <f t="shared" si="3"/>
        <v>1</v>
      </c>
      <c r="AB39" s="1505">
        <f t="shared" si="4"/>
        <v>1</v>
      </c>
      <c r="AC39" s="1505">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510"/>
      <c r="Q40" s="1504" t="str">
        <f t="shared" si="11"/>
        <v>单套建筑面积</v>
      </c>
      <c r="R40" s="714" t="s">
        <v>17</v>
      </c>
      <c r="S40" s="715">
        <f t="shared" si="12"/>
        <v>100</v>
      </c>
      <c r="T40" s="714" t="s">
        <v>17</v>
      </c>
      <c r="U40" s="715">
        <f t="shared" si="13"/>
        <v>100</v>
      </c>
      <c r="V40" s="714" t="s">
        <v>17</v>
      </c>
      <c r="W40" s="715">
        <f t="shared" si="14"/>
        <v>100</v>
      </c>
      <c r="X40" s="1507"/>
      <c r="Y40" s="3512"/>
      <c r="Z40" s="1508" t="str">
        <f t="shared" si="15"/>
        <v>单套建筑面积</v>
      </c>
      <c r="AA40" s="1505">
        <f t="shared" si="3"/>
        <v>1</v>
      </c>
      <c r="AB40" s="1505">
        <f t="shared" si="4"/>
        <v>1</v>
      </c>
      <c r="AC40" s="1505">
        <f t="shared" si="5"/>
        <v>1</v>
      </c>
    </row>
    <row r="41" spans="1:29" s="430" customFormat="1" ht="15">
      <c r="A41" s="427"/>
      <c r="B41" s="1506"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510"/>
      <c r="Q41" s="716" t="str">
        <f t="shared" si="11"/>
        <v>进深比</v>
      </c>
      <c r="R41" s="717" t="s">
        <v>17</v>
      </c>
      <c r="S41" s="718">
        <f t="shared" si="12"/>
        <v>100</v>
      </c>
      <c r="T41" s="717" t="s">
        <v>17</v>
      </c>
      <c r="U41" s="718">
        <f t="shared" si="13"/>
        <v>100</v>
      </c>
      <c r="V41" s="717" t="s">
        <v>17</v>
      </c>
      <c r="W41" s="718">
        <f t="shared" si="14"/>
        <v>100</v>
      </c>
      <c r="X41" s="719"/>
      <c r="Y41" s="3512"/>
      <c r="Z41" s="720" t="str">
        <f t="shared" si="15"/>
        <v>进深比</v>
      </c>
      <c r="AA41" s="1505">
        <f t="shared" si="3"/>
        <v>1</v>
      </c>
      <c r="AB41" s="1505">
        <f t="shared" si="4"/>
        <v>1</v>
      </c>
      <c r="AC41" s="1505">
        <f t="shared" si="5"/>
        <v>1</v>
      </c>
    </row>
    <row r="42" spans="1:29" ht="15">
      <c r="A42" s="431"/>
      <c r="B42" s="381" t="s">
        <v>2428</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7"/>
      <c r="M42" s="2911"/>
      <c r="N42" s="2911"/>
      <c r="O42" s="2911"/>
      <c r="P42" s="3510"/>
      <c r="Q42" s="1504" t="str">
        <f t="shared" si="11"/>
        <v>内部装修</v>
      </c>
      <c r="R42" s="714" t="s">
        <v>17</v>
      </c>
      <c r="S42" s="715">
        <f t="shared" si="12"/>
        <v>100</v>
      </c>
      <c r="T42" s="714" t="s">
        <v>17</v>
      </c>
      <c r="U42" s="715">
        <f t="shared" si="13"/>
        <v>100</v>
      </c>
      <c r="V42" s="714" t="s">
        <v>17</v>
      </c>
      <c r="W42" s="715">
        <f t="shared" si="14"/>
        <v>100</v>
      </c>
      <c r="X42" s="1507"/>
      <c r="Y42" s="3512"/>
      <c r="Z42" s="1508" t="str">
        <f t="shared" si="15"/>
        <v>内部装修</v>
      </c>
      <c r="AA42" s="1505">
        <f t="shared" si="3"/>
        <v>1</v>
      </c>
      <c r="AB42" s="1505">
        <f t="shared" si="4"/>
        <v>1</v>
      </c>
      <c r="AC42" s="1505">
        <f t="shared" si="5"/>
        <v>1</v>
      </c>
    </row>
    <row r="43" spans="1:29" ht="15">
      <c r="A43" s="431"/>
      <c r="B43" s="381" t="s">
        <v>2336</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7"/>
      <c r="M43" s="2911"/>
      <c r="N43" s="2911"/>
      <c r="O43" s="2911"/>
      <c r="P43" s="3510"/>
      <c r="Q43" s="1504" t="str">
        <f t="shared" si="11"/>
        <v>内部装修维护情况</v>
      </c>
      <c r="R43" s="714" t="s">
        <v>17</v>
      </c>
      <c r="S43" s="715">
        <f t="shared" si="12"/>
        <v>100</v>
      </c>
      <c r="T43" s="714" t="s">
        <v>17</v>
      </c>
      <c r="U43" s="715">
        <f t="shared" si="13"/>
        <v>100</v>
      </c>
      <c r="V43" s="714" t="s">
        <v>17</v>
      </c>
      <c r="W43" s="715">
        <f t="shared" si="14"/>
        <v>100</v>
      </c>
      <c r="X43" s="1507"/>
      <c r="Y43" s="3512"/>
      <c r="Z43" s="1508" t="str">
        <f t="shared" si="15"/>
        <v>内部装修维护情况</v>
      </c>
      <c r="AA43" s="1505">
        <f t="shared" si="3"/>
        <v>1</v>
      </c>
      <c r="AB43" s="1505">
        <f t="shared" si="4"/>
        <v>1</v>
      </c>
      <c r="AC43" s="1505">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510"/>
      <c r="Q44" s="1495">
        <f t="shared" si="11"/>
        <v>111</v>
      </c>
      <c r="R44" s="710" t="s">
        <v>17</v>
      </c>
      <c r="S44" s="711">
        <f t="shared" si="12"/>
        <v>100</v>
      </c>
      <c r="T44" s="710" t="s">
        <v>17</v>
      </c>
      <c r="U44" s="711">
        <f t="shared" si="13"/>
        <v>100</v>
      </c>
      <c r="V44" s="710" t="s">
        <v>17</v>
      </c>
      <c r="W44" s="711">
        <f t="shared" si="14"/>
        <v>100</v>
      </c>
      <c r="X44" s="712"/>
      <c r="Y44" s="3512"/>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510"/>
      <c r="Q45" s="1504">
        <f t="shared" si="11"/>
        <v>111</v>
      </c>
      <c r="R45" s="714" t="s">
        <v>17</v>
      </c>
      <c r="S45" s="715">
        <f t="shared" si="12"/>
        <v>100</v>
      </c>
      <c r="T45" s="714" t="s">
        <v>17</v>
      </c>
      <c r="U45" s="715">
        <f t="shared" si="13"/>
        <v>100</v>
      </c>
      <c r="V45" s="714" t="s">
        <v>17</v>
      </c>
      <c r="W45" s="715">
        <f t="shared" si="14"/>
        <v>100</v>
      </c>
      <c r="X45" s="1507"/>
      <c r="Y45" s="3512"/>
      <c r="Z45" s="1508">
        <f t="shared" si="15"/>
        <v>111</v>
      </c>
      <c r="AA45" s="1505">
        <f t="shared" si="3"/>
        <v>1</v>
      </c>
      <c r="AB45" s="1505">
        <f t="shared" si="4"/>
        <v>1</v>
      </c>
      <c r="AC45" s="1505">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511"/>
      <c r="Q46" s="1504">
        <f t="shared" si="11"/>
        <v>111</v>
      </c>
      <c r="R46" s="714" t="s">
        <v>17</v>
      </c>
      <c r="S46" s="715">
        <f t="shared" si="12"/>
        <v>100</v>
      </c>
      <c r="T46" s="714" t="s">
        <v>17</v>
      </c>
      <c r="U46" s="715">
        <f t="shared" si="13"/>
        <v>100</v>
      </c>
      <c r="V46" s="714" t="s">
        <v>17</v>
      </c>
      <c r="W46" s="715">
        <f t="shared" si="14"/>
        <v>100</v>
      </c>
      <c r="X46" s="1507"/>
      <c r="Y46" s="3513"/>
      <c r="Z46" s="1508">
        <f t="shared" si="15"/>
        <v>111</v>
      </c>
      <c r="AA46" s="1505">
        <f t="shared" si="3"/>
        <v>1</v>
      </c>
      <c r="AB46" s="1505">
        <f t="shared" si="4"/>
        <v>1</v>
      </c>
      <c r="AC46" s="1505">
        <f t="shared" si="5"/>
        <v>1</v>
      </c>
    </row>
    <row r="47" spans="1:29" ht="15">
      <c r="A47" s="438" t="s">
        <v>2337</v>
      </c>
      <c r="B47" s="439"/>
      <c r="C47" s="1286" t="s">
        <v>1</v>
      </c>
      <c r="D47" s="1287"/>
      <c r="E47" s="1288"/>
      <c r="F47" s="1289"/>
      <c r="G47" s="1290"/>
      <c r="H47" s="1291"/>
      <c r="I47" s="1288"/>
      <c r="J47" s="1291"/>
      <c r="K47" s="723"/>
      <c r="L47" s="2919"/>
      <c r="M47" s="2920"/>
      <c r="N47" s="2911"/>
      <c r="O47" s="2920"/>
      <c r="P47" s="3500" t="str">
        <f>A47</f>
        <v>成交单价（元/平方米）</v>
      </c>
      <c r="Q47" s="3500"/>
      <c r="R47" s="3534">
        <f>E47</f>
        <v>0</v>
      </c>
      <c r="S47" s="3534"/>
      <c r="T47" s="3534">
        <f>G47</f>
        <v>0</v>
      </c>
      <c r="U47" s="3534"/>
      <c r="V47" s="3534">
        <f>I47</f>
        <v>0</v>
      </c>
      <c r="W47" s="3534"/>
      <c r="X47" s="699"/>
      <c r="Y47" s="721"/>
      <c r="Z47" s="699"/>
      <c r="AA47" s="699"/>
      <c r="AB47" s="699"/>
      <c r="AC47" s="699"/>
    </row>
    <row r="48" spans="1:29" ht="15.75" thickBot="1">
      <c r="A48" s="445" t="s">
        <v>2429</v>
      </c>
      <c r="B48" s="446"/>
      <c r="C48" s="1292" t="e">
        <f>R49</f>
        <v>#DIV/0!</v>
      </c>
      <c r="D48" s="2505" t="s">
        <v>2819</v>
      </c>
      <c r="E48" s="1293" t="e">
        <f>R48</f>
        <v>#DIV/0!</v>
      </c>
      <c r="F48" s="2506"/>
      <c r="G48" s="1292" t="e">
        <f>T48</f>
        <v>#DIV/0!</v>
      </c>
      <c r="H48" s="2506"/>
      <c r="I48" s="1293" t="e">
        <f>V48</f>
        <v>#DIV/0!</v>
      </c>
      <c r="J48" s="2506"/>
      <c r="K48" s="2508">
        <f>F48+H48+J48</f>
        <v>0</v>
      </c>
      <c r="L48" s="2919"/>
      <c r="M48" s="2920"/>
      <c r="N48" s="2911"/>
      <c r="O48" s="2920"/>
      <c r="P48" s="3500" t="str">
        <f>A48</f>
        <v>比较价值（元/平方米）</v>
      </c>
      <c r="Q48" s="35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699"/>
      <c r="Y48" s="699"/>
      <c r="Z48" s="699"/>
      <c r="AA48" s="699"/>
      <c r="AB48" s="699"/>
      <c r="AC48" s="699"/>
    </row>
    <row r="49" spans="1:29" ht="15.75" thickBot="1">
      <c r="A49" s="449" t="s">
        <v>2430</v>
      </c>
      <c r="B49" s="450"/>
      <c r="C49" s="1295" t="e">
        <f>R49</f>
        <v>#DIV/0!</v>
      </c>
      <c r="D49" s="1295"/>
      <c r="E49" s="1295"/>
      <c r="F49" s="1295"/>
      <c r="G49" s="1295"/>
      <c r="H49" s="1295"/>
      <c r="I49" s="1295"/>
      <c r="J49" s="1295"/>
      <c r="K49" s="724"/>
      <c r="L49" s="2919"/>
      <c r="M49" s="2920"/>
      <c r="N49" s="2911"/>
      <c r="O49" s="2920"/>
      <c r="P49" s="3583" t="str">
        <f>A49</f>
        <v>估价对象XX用房的比较价值（楼面单价，元/平方米）</v>
      </c>
      <c r="Q49" s="3584"/>
      <c r="R49" s="3585" t="e">
        <f>IF(F1="售价",ROUND(IF(D48="简单平均",AVERAGE(R48:V48),R48*F48+T48*H48+V48*J48),0),ROUND(IF(D48="简单平均",AVERAGE(R48:V48),R48*F48+T48*H48+V48*J48),1))</f>
        <v>#DIV/0!</v>
      </c>
      <c r="S49" s="3585"/>
      <c r="T49" s="3585"/>
      <c r="U49" s="3585"/>
      <c r="V49" s="3585"/>
      <c r="W49" s="3585"/>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2"/>
      <c r="M57" s="1070"/>
      <c r="N57" s="1070"/>
      <c r="O57" s="1070"/>
      <c r="P57" s="2933"/>
      <c r="Q57" s="2934"/>
      <c r="R57" s="2920"/>
      <c r="S57" s="2920"/>
      <c r="T57" s="2920"/>
      <c r="U57" s="2920"/>
      <c r="V57" s="2920"/>
      <c r="W57" s="2920"/>
      <c r="X57" s="2920"/>
      <c r="Y57" s="2920"/>
      <c r="Z57" s="2920"/>
      <c r="AA57" s="2920"/>
      <c r="AB57" s="2920"/>
      <c r="AC57" s="2920"/>
    </row>
    <row r="58" spans="1:29" s="465" customFormat="1" ht="15">
      <c r="A58" s="462" t="s">
        <v>2308</v>
      </c>
      <c r="B58" s="463"/>
      <c r="C58" s="1316" t="str">
        <f>YEAR(C7)&amp;"-"&amp;MONTH(C7)</f>
        <v>2022-4</v>
      </c>
      <c r="D58" s="1317">
        <f>EDATE(C58,-1)</f>
        <v>44621</v>
      </c>
      <c r="E58" s="1317">
        <f t="shared" ref="E58:N58" si="16">EDATE(D58,-1)</f>
        <v>44593</v>
      </c>
      <c r="F58" s="1317">
        <f t="shared" si="16"/>
        <v>44562</v>
      </c>
      <c r="G58" s="1317">
        <f t="shared" si="16"/>
        <v>44531</v>
      </c>
      <c r="H58" s="1317">
        <f t="shared" si="16"/>
        <v>44501</v>
      </c>
      <c r="I58" s="1317">
        <f t="shared" si="16"/>
        <v>44470</v>
      </c>
      <c r="J58" s="1317">
        <f t="shared" si="16"/>
        <v>44440</v>
      </c>
      <c r="K58" s="1317">
        <f t="shared" si="16"/>
        <v>44409</v>
      </c>
      <c r="L58" s="1317">
        <f t="shared" si="16"/>
        <v>44378</v>
      </c>
      <c r="M58" s="1317">
        <f t="shared" si="16"/>
        <v>44348</v>
      </c>
      <c r="N58" s="1317">
        <f t="shared" si="16"/>
        <v>44317</v>
      </c>
      <c r="O58" s="1317">
        <f>EDATE(N58,-1)</f>
        <v>44287</v>
      </c>
      <c r="P58" s="2935"/>
      <c r="Q58" s="2936"/>
      <c r="R58" s="2936"/>
      <c r="S58" s="2936"/>
      <c r="T58" s="2936"/>
      <c r="U58" s="2936"/>
      <c r="V58" s="2936"/>
      <c r="W58" s="2936"/>
      <c r="X58" s="2936"/>
      <c r="Y58" s="2936"/>
      <c r="Z58" s="2936"/>
      <c r="AA58" s="2936"/>
      <c r="AB58" s="2936"/>
      <c r="AC58" s="2936"/>
    </row>
    <row r="59" spans="1:29" s="113" customFormat="1" ht="15">
      <c r="A59" s="466"/>
      <c r="B59" s="467"/>
      <c r="C59" s="1315">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2"/>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0"/>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1"/>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1"/>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5">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E34 G34 I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8"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2288</v>
      </c>
      <c r="B1" s="2110" t="s">
        <v>2462</v>
      </c>
      <c r="C1" s="1362" t="s">
        <v>2290</v>
      </c>
      <c r="D1" s="1363"/>
      <c r="E1" s="1372"/>
      <c r="F1" s="2032"/>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IF(C2="——",ROUND(C43*D3/10000,0),ROUND(C43*D3/10000,0)-D2)</f>
        <v>#DIV/0!</v>
      </c>
      <c r="C2" s="2034"/>
      <c r="D2" s="1037" t="e">
        <f ca="1">SUMIF(INDIRECT("'"&amp;F2&amp;"'"&amp;"!A:A"),"承租人权益价值",INDIRECT("'"&amp;F2&amp;"'"&amp;"!c:c"))</f>
        <v>#REF!</v>
      </c>
      <c r="E2" s="2035" t="s">
        <v>2088</v>
      </c>
      <c r="F2" s="2036"/>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70196.47</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2405</v>
      </c>
      <c r="B4" s="362"/>
      <c r="C4" s="3517" t="s">
        <v>2406</v>
      </c>
      <c r="D4" s="3518"/>
      <c r="E4" s="3519" t="s">
        <v>2407</v>
      </c>
      <c r="F4" s="3520"/>
      <c r="G4" s="3517" t="s">
        <v>2408</v>
      </c>
      <c r="H4" s="3518"/>
      <c r="I4" s="3517" t="s">
        <v>2409</v>
      </c>
      <c r="J4" s="3518"/>
      <c r="K4" s="567" t="s">
        <v>2410</v>
      </c>
      <c r="L4" s="1043"/>
      <c r="M4" s="1044"/>
      <c r="N4" s="1044"/>
      <c r="O4" s="1044"/>
      <c r="P4" s="3587" t="s">
        <v>2411</v>
      </c>
      <c r="Q4" s="3588"/>
      <c r="R4" s="3591" t="s">
        <v>2407</v>
      </c>
      <c r="S4" s="3592"/>
      <c r="T4" s="3591" t="s">
        <v>2408</v>
      </c>
      <c r="U4" s="3592"/>
      <c r="V4" s="3534" t="s">
        <v>2409</v>
      </c>
      <c r="W4" s="3534"/>
      <c r="X4" s="1507"/>
      <c r="Y4" s="3591" t="s">
        <v>2411</v>
      </c>
      <c r="Z4" s="3592"/>
      <c r="AA4" s="3586" t="s">
        <v>2407</v>
      </c>
      <c r="AB4" s="3547" t="s">
        <v>2408</v>
      </c>
      <c r="AC4" s="3586" t="s">
        <v>2409</v>
      </c>
    </row>
    <row r="5" spans="1:29" ht="15">
      <c r="A5" s="364"/>
      <c r="B5" s="365"/>
      <c r="C5" s="3543" t="s">
        <v>2302</v>
      </c>
      <c r="D5" s="3538"/>
      <c r="E5" s="3593" t="s">
        <v>2303</v>
      </c>
      <c r="F5" s="3550"/>
      <c r="G5" s="3543" t="s">
        <v>2304</v>
      </c>
      <c r="H5" s="3538"/>
      <c r="I5" s="3543" t="s">
        <v>2305</v>
      </c>
      <c r="J5" s="3538"/>
      <c r="K5" s="567"/>
      <c r="L5" s="1043"/>
      <c r="M5" s="1044"/>
      <c r="N5" s="1044"/>
      <c r="O5" s="1044"/>
      <c r="P5" s="3589"/>
      <c r="Q5" s="3524"/>
      <c r="R5" s="3529"/>
      <c r="S5" s="3530"/>
      <c r="T5" s="3529"/>
      <c r="U5" s="3530"/>
      <c r="V5" s="3534"/>
      <c r="W5" s="3534"/>
      <c r="X5" s="1507"/>
      <c r="Y5" s="3529"/>
      <c r="Z5" s="3530"/>
      <c r="AA5" s="3547"/>
      <c r="AB5" s="3547"/>
      <c r="AC5" s="3547"/>
    </row>
    <row r="6" spans="1:29" ht="15.75" thickBot="1">
      <c r="A6" s="366"/>
      <c r="B6" s="367"/>
      <c r="C6" s="3535" t="s">
        <v>2306</v>
      </c>
      <c r="D6" s="3536"/>
      <c r="E6" s="3544" t="s">
        <v>2306</v>
      </c>
      <c r="F6" s="3545"/>
      <c r="G6" s="3535" t="s">
        <v>2306</v>
      </c>
      <c r="H6" s="3536"/>
      <c r="I6" s="3535" t="s">
        <v>2306</v>
      </c>
      <c r="J6" s="3536"/>
      <c r="K6" s="567" t="s">
        <v>2307</v>
      </c>
      <c r="L6" s="1043"/>
      <c r="M6" s="1044"/>
      <c r="N6" s="1044"/>
      <c r="O6" s="1044"/>
      <c r="P6" s="3590"/>
      <c r="Q6" s="3526"/>
      <c r="R6" s="3529"/>
      <c r="S6" s="3530"/>
      <c r="T6" s="3531"/>
      <c r="U6" s="3532"/>
      <c r="V6" s="3534"/>
      <c r="W6" s="3534"/>
      <c r="X6" s="1507"/>
      <c r="Y6" s="3531"/>
      <c r="Z6" s="3532"/>
      <c r="AA6" s="3548"/>
      <c r="AB6" s="3548"/>
      <c r="AC6" s="3548"/>
    </row>
    <row r="7" spans="1:29" s="113" customFormat="1" ht="15.75" thickBot="1">
      <c r="A7" s="368" t="s">
        <v>2308</v>
      </c>
      <c r="B7" s="369"/>
      <c r="C7" s="370">
        <f>'数据-取费表'!B2</f>
        <v>44665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541" t="s">
        <v>2309</v>
      </c>
      <c r="Q7" s="3542"/>
      <c r="R7" s="710" t="s">
        <v>17</v>
      </c>
      <c r="S7" s="711">
        <f t="shared" ref="S7:S15" si="0">F7</f>
        <v>0</v>
      </c>
      <c r="T7" s="710" t="s">
        <v>17</v>
      </c>
      <c r="U7" s="711">
        <f t="shared" ref="U7:U15" si="1">H7</f>
        <v>0</v>
      </c>
      <c r="V7" s="710" t="s">
        <v>17</v>
      </c>
      <c r="W7" s="711">
        <f t="shared" ref="W7:W15" si="2">J7</f>
        <v>0</v>
      </c>
      <c r="X7" s="712"/>
      <c r="Y7" s="3541" t="s">
        <v>2309</v>
      </c>
      <c r="Z7" s="3540"/>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541" t="s">
        <v>2312</v>
      </c>
      <c r="Q8" s="3540"/>
      <c r="R8" s="710" t="s">
        <v>17</v>
      </c>
      <c r="S8" s="711">
        <f t="shared" si="0"/>
        <v>0</v>
      </c>
      <c r="T8" s="710" t="s">
        <v>17</v>
      </c>
      <c r="U8" s="711">
        <f t="shared" si="1"/>
        <v>0</v>
      </c>
      <c r="V8" s="710" t="s">
        <v>17</v>
      </c>
      <c r="W8" s="711">
        <f t="shared" si="2"/>
        <v>0</v>
      </c>
      <c r="X8" s="712"/>
      <c r="Y8" s="3541" t="s">
        <v>2312</v>
      </c>
      <c r="Z8" s="3540"/>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500" t="s">
        <v>2315</v>
      </c>
      <c r="Q9" s="1495"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500"/>
      <c r="Q10" s="1495"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500"/>
      <c r="Q11" s="1495"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5"/>
      <c r="M12" s="1046"/>
      <c r="N12" s="1046"/>
      <c r="O12" s="1047"/>
      <c r="P12" s="3500"/>
      <c r="Q12" s="1495">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3"/>
      <c r="M13" s="1044"/>
      <c r="N13" s="1044"/>
      <c r="O13" s="1052"/>
      <c r="P13" s="3500"/>
      <c r="Q13" s="1495">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3"/>
      <c r="M14" s="1044"/>
      <c r="N14" s="1044"/>
      <c r="O14" s="1052"/>
      <c r="P14" s="3500"/>
      <c r="Q14" s="1495">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2319</v>
      </c>
      <c r="B15" s="65" t="s">
        <v>2463</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507" t="s">
        <v>2320</v>
      </c>
      <c r="Q15" s="1504" t="str">
        <f t="shared" si="6"/>
        <v>产业集聚程度</v>
      </c>
      <c r="R15" s="714" t="s">
        <v>17</v>
      </c>
      <c r="S15" s="715">
        <f t="shared" si="0"/>
        <v>100</v>
      </c>
      <c r="T15" s="714" t="s">
        <v>17</v>
      </c>
      <c r="U15" s="715">
        <f t="shared" si="1"/>
        <v>100</v>
      </c>
      <c r="V15" s="714" t="s">
        <v>17</v>
      </c>
      <c r="W15" s="715">
        <f t="shared" si="2"/>
        <v>100</v>
      </c>
      <c r="X15" s="1507"/>
      <c r="Y15" s="3507" t="s">
        <v>2320</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3"/>
      <c r="M16" s="1044"/>
      <c r="N16" s="1044"/>
      <c r="O16" s="1052"/>
      <c r="P16" s="3508"/>
      <c r="Q16" s="1504"/>
      <c r="R16" s="714"/>
      <c r="S16" s="715"/>
      <c r="T16" s="714"/>
      <c r="U16" s="715"/>
      <c r="V16" s="714"/>
      <c r="W16" s="715"/>
      <c r="X16" s="1507"/>
      <c r="Y16" s="3508"/>
      <c r="Z16" s="1508"/>
      <c r="AA16" s="1505">
        <v>1</v>
      </c>
      <c r="AB16" s="1505">
        <v>1</v>
      </c>
      <c r="AC16" s="1505">
        <v>1</v>
      </c>
    </row>
    <row r="17" spans="1:29" ht="85.5">
      <c r="A17" s="387"/>
      <c r="B17" s="410" t="s">
        <v>1884</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508"/>
      <c r="Q17" s="1504" t="str">
        <f>B17</f>
        <v>交通便捷度</v>
      </c>
      <c r="R17" s="714" t="s">
        <v>17</v>
      </c>
      <c r="S17" s="715">
        <f>F17</f>
        <v>100</v>
      </c>
      <c r="T17" s="714" t="s">
        <v>17</v>
      </c>
      <c r="U17" s="715">
        <f>H17</f>
        <v>100</v>
      </c>
      <c r="V17" s="714" t="s">
        <v>17</v>
      </c>
      <c r="W17" s="715">
        <f>J17</f>
        <v>100</v>
      </c>
      <c r="X17" s="1507"/>
      <c r="Y17" s="3508"/>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3"/>
      <c r="M18" s="1044"/>
      <c r="N18" s="1044"/>
      <c r="O18" s="1052"/>
      <c r="P18" s="3508"/>
      <c r="Q18" s="1504"/>
      <c r="R18" s="714"/>
      <c r="S18" s="715"/>
      <c r="T18" s="714"/>
      <c r="U18" s="715"/>
      <c r="V18" s="714"/>
      <c r="W18" s="715"/>
      <c r="X18" s="1507"/>
      <c r="Y18" s="3508"/>
      <c r="Z18" s="1508"/>
      <c r="AA18" s="1505">
        <v>1</v>
      </c>
      <c r="AB18" s="1505">
        <v>1</v>
      </c>
      <c r="AC18" s="1505">
        <v>1</v>
      </c>
    </row>
    <row r="19" spans="1:29" ht="42.75">
      <c r="A19" s="387"/>
      <c r="B19" s="410" t="s">
        <v>2448</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508"/>
      <c r="Q19" s="1504" t="str">
        <f>B19</f>
        <v>公共配套设施</v>
      </c>
      <c r="R19" s="714" t="s">
        <v>17</v>
      </c>
      <c r="S19" s="715">
        <f>F19</f>
        <v>100</v>
      </c>
      <c r="T19" s="714" t="s">
        <v>17</v>
      </c>
      <c r="U19" s="715">
        <f>H19</f>
        <v>100</v>
      </c>
      <c r="V19" s="714" t="s">
        <v>17</v>
      </c>
      <c r="W19" s="715">
        <f>J19</f>
        <v>100</v>
      </c>
      <c r="X19" s="1507"/>
      <c r="Y19" s="3508"/>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3"/>
      <c r="M20" s="1044"/>
      <c r="N20" s="1044"/>
      <c r="O20" s="1052"/>
      <c r="P20" s="3508"/>
      <c r="Q20" s="1504"/>
      <c r="R20" s="714"/>
      <c r="S20" s="715"/>
      <c r="T20" s="714"/>
      <c r="U20" s="715"/>
      <c r="V20" s="714"/>
      <c r="W20" s="715"/>
      <c r="X20" s="1507"/>
      <c r="Y20" s="3508"/>
      <c r="Z20" s="1508"/>
      <c r="AA20" s="1505">
        <v>1</v>
      </c>
      <c r="AB20" s="1505">
        <v>1</v>
      </c>
      <c r="AC20" s="1505">
        <v>1</v>
      </c>
    </row>
    <row r="21" spans="1:29" ht="28.5">
      <c r="A21" s="387"/>
      <c r="B21" s="1264" t="s">
        <v>2449</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508"/>
      <c r="Q21" s="1504" t="str">
        <f>B21</f>
        <v>基础设施水平</v>
      </c>
      <c r="R21" s="714" t="s">
        <v>17</v>
      </c>
      <c r="S21" s="715">
        <f>F21</f>
        <v>100</v>
      </c>
      <c r="T21" s="714" t="s">
        <v>17</v>
      </c>
      <c r="U21" s="715">
        <f>H21</f>
        <v>100</v>
      </c>
      <c r="V21" s="714" t="s">
        <v>17</v>
      </c>
      <c r="W21" s="715">
        <f>J21</f>
        <v>100</v>
      </c>
      <c r="X21" s="1507"/>
      <c r="Y21" s="3508"/>
      <c r="Z21" s="1508" t="str">
        <f>Q21</f>
        <v>基础设施水平</v>
      </c>
      <c r="AA21" s="1505">
        <f t="shared" ref="AA21" si="8">D21/F21</f>
        <v>1</v>
      </c>
      <c r="AB21" s="1505">
        <f t="shared" ref="AB21" si="9">D21/H21</f>
        <v>1</v>
      </c>
      <c r="AC21" s="1505">
        <f t="shared" ref="AC21" si="10">D21/J21</f>
        <v>1</v>
      </c>
    </row>
    <row r="22" spans="1:29" ht="15">
      <c r="A22" s="387"/>
      <c r="B22" s="1264"/>
      <c r="C22" s="2054"/>
      <c r="D22" s="407"/>
      <c r="E22" s="406"/>
      <c r="F22" s="408"/>
      <c r="G22" s="406"/>
      <c r="H22" s="407"/>
      <c r="I22" s="406"/>
      <c r="J22" s="407"/>
      <c r="K22" s="1263"/>
      <c r="L22" s="1053"/>
      <c r="M22" s="1044"/>
      <c r="N22" s="1044"/>
      <c r="O22" s="1052"/>
      <c r="P22" s="3508"/>
      <c r="Q22" s="1504"/>
      <c r="R22" s="714"/>
      <c r="S22" s="715"/>
      <c r="T22" s="714"/>
      <c r="U22" s="715"/>
      <c r="V22" s="714"/>
      <c r="W22" s="715"/>
      <c r="X22" s="1507"/>
      <c r="Y22" s="3508"/>
      <c r="Z22" s="1508"/>
      <c r="AA22" s="1505">
        <v>1</v>
      </c>
      <c r="AB22" s="1505">
        <v>1</v>
      </c>
      <c r="AC22" s="1505">
        <v>1</v>
      </c>
    </row>
    <row r="23" spans="1:29" ht="71.25">
      <c r="A23" s="387"/>
      <c r="B23" s="410" t="s">
        <v>2450</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508"/>
      <c r="Q23" s="1504" t="str">
        <f>B23</f>
        <v>环境质量</v>
      </c>
      <c r="R23" s="714" t="s">
        <v>17</v>
      </c>
      <c r="S23" s="715">
        <f>F23</f>
        <v>100</v>
      </c>
      <c r="T23" s="714" t="s">
        <v>17</v>
      </c>
      <c r="U23" s="715">
        <f>H23</f>
        <v>100</v>
      </c>
      <c r="V23" s="714" t="s">
        <v>17</v>
      </c>
      <c r="W23" s="715">
        <f>J23</f>
        <v>100</v>
      </c>
      <c r="X23" s="1507"/>
      <c r="Y23" s="3508"/>
      <c r="Z23" s="1508" t="str">
        <f>Q23</f>
        <v>环境质量</v>
      </c>
      <c r="AA23" s="1505">
        <f t="shared" si="3"/>
        <v>1</v>
      </c>
      <c r="AB23" s="1505">
        <f t="shared" si="4"/>
        <v>1</v>
      </c>
      <c r="AC23" s="1505">
        <f t="shared" si="5"/>
        <v>1</v>
      </c>
    </row>
    <row r="24" spans="1:29" ht="15">
      <c r="A24" s="387"/>
      <c r="B24" s="1264"/>
      <c r="C24" s="406"/>
      <c r="D24" s="407"/>
      <c r="E24" s="2051"/>
      <c r="F24" s="408"/>
      <c r="G24" s="2050"/>
      <c r="H24" s="407"/>
      <c r="I24" s="2051"/>
      <c r="J24" s="407"/>
      <c r="K24" s="572"/>
      <c r="L24" s="1053"/>
      <c r="M24" s="1044"/>
      <c r="N24" s="1044"/>
      <c r="O24" s="1052"/>
      <c r="P24" s="3508"/>
      <c r="Q24" s="1504"/>
      <c r="R24" s="714"/>
      <c r="S24" s="715"/>
      <c r="T24" s="714"/>
      <c r="U24" s="715"/>
      <c r="V24" s="714"/>
      <c r="W24" s="715"/>
      <c r="X24" s="1507"/>
      <c r="Y24" s="3508"/>
      <c r="Z24" s="1508"/>
      <c r="AA24" s="1505">
        <v>1</v>
      </c>
      <c r="AB24" s="1505">
        <v>1</v>
      </c>
      <c r="AC24" s="1505">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508"/>
      <c r="Q25" s="1504">
        <f>B25</f>
        <v>111</v>
      </c>
      <c r="R25" s="714" t="s">
        <v>17</v>
      </c>
      <c r="S25" s="715">
        <f>F25</f>
        <v>100</v>
      </c>
      <c r="T25" s="714" t="s">
        <v>17</v>
      </c>
      <c r="U25" s="715">
        <f>H25</f>
        <v>100</v>
      </c>
      <c r="V25" s="714" t="s">
        <v>17</v>
      </c>
      <c r="W25" s="715">
        <f>J25</f>
        <v>100</v>
      </c>
      <c r="X25" s="1507"/>
      <c r="Y25" s="3508"/>
      <c r="Z25" s="1508">
        <f>Q25</f>
        <v>111</v>
      </c>
      <c r="AA25" s="1505">
        <f t="shared" si="3"/>
        <v>1</v>
      </c>
      <c r="AB25" s="1505">
        <f t="shared" si="4"/>
        <v>1</v>
      </c>
      <c r="AC25" s="1505">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508"/>
      <c r="Q26" s="1504">
        <f t="shared" ref="Q26:Q40" si="11">B26</f>
        <v>111</v>
      </c>
      <c r="R26" s="714" t="s">
        <v>17</v>
      </c>
      <c r="S26" s="715">
        <f>F26</f>
        <v>100</v>
      </c>
      <c r="T26" s="714" t="s">
        <v>17</v>
      </c>
      <c r="U26" s="715">
        <f>H26</f>
        <v>100</v>
      </c>
      <c r="V26" s="714" t="s">
        <v>17</v>
      </c>
      <c r="W26" s="715">
        <f>J26</f>
        <v>100</v>
      </c>
      <c r="X26" s="1507"/>
      <c r="Y26" s="3508"/>
      <c r="Z26" s="1508">
        <f>Q26</f>
        <v>111</v>
      </c>
      <c r="AA26" s="1505">
        <f t="shared" si="3"/>
        <v>1</v>
      </c>
      <c r="AB26" s="1505">
        <f t="shared" si="4"/>
        <v>1</v>
      </c>
      <c r="AC26" s="1505">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508"/>
      <c r="Q27" s="1495">
        <f t="shared" si="11"/>
        <v>111</v>
      </c>
      <c r="R27" s="710" t="s">
        <v>17</v>
      </c>
      <c r="S27" s="711">
        <f>F27</f>
        <v>100</v>
      </c>
      <c r="T27" s="710" t="s">
        <v>17</v>
      </c>
      <c r="U27" s="711">
        <f>H27</f>
        <v>100</v>
      </c>
      <c r="V27" s="710" t="s">
        <v>17</v>
      </c>
      <c r="W27" s="711">
        <f>J27</f>
        <v>100</v>
      </c>
      <c r="X27" s="712"/>
      <c r="Y27" s="3508"/>
      <c r="Z27" s="55">
        <f>Q27</f>
        <v>111</v>
      </c>
      <c r="AA27" s="1505">
        <f>D27/F27</f>
        <v>1</v>
      </c>
      <c r="AB27" s="1505">
        <f>D27/H27</f>
        <v>1</v>
      </c>
      <c r="AC27" s="1505">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508"/>
      <c r="Q28" s="1504">
        <f t="shared" si="11"/>
        <v>111</v>
      </c>
      <c r="R28" s="714" t="s">
        <v>17</v>
      </c>
      <c r="S28" s="715">
        <f t="shared" ref="S28:S40" si="12">F28</f>
        <v>100</v>
      </c>
      <c r="T28" s="714" t="s">
        <v>17</v>
      </c>
      <c r="U28" s="715">
        <f t="shared" ref="U28:U40" si="13">H28</f>
        <v>100</v>
      </c>
      <c r="V28" s="714" t="s">
        <v>17</v>
      </c>
      <c r="W28" s="715">
        <f t="shared" ref="W28:W40" si="14">J28</f>
        <v>100</v>
      </c>
      <c r="X28" s="1507"/>
      <c r="Y28" s="3508"/>
      <c r="Z28" s="1508">
        <f t="shared" ref="Z28:Z40" si="15">Q28</f>
        <v>111</v>
      </c>
      <c r="AA28" s="1505">
        <f t="shared" si="3"/>
        <v>1</v>
      </c>
      <c r="AB28" s="1505">
        <f t="shared" si="4"/>
        <v>1</v>
      </c>
      <c r="AC28" s="1505">
        <f t="shared" si="5"/>
        <v>1</v>
      </c>
    </row>
    <row r="29" spans="1:29" ht="28.5">
      <c r="A29" s="425" t="s">
        <v>2323</v>
      </c>
      <c r="B29" s="67" t="s">
        <v>2453</v>
      </c>
      <c r="C29" s="2120"/>
      <c r="D29" s="426">
        <v>100</v>
      </c>
      <c r="E29" s="2120"/>
      <c r="F29" s="420">
        <f>SUMIF(88:88,E29,89:89)-SUMIF(88:88,C29,89:89)+100</f>
        <v>100</v>
      </c>
      <c r="G29" s="2120"/>
      <c r="H29" s="394">
        <f>SUMIF(88:88,G29,89:89)-SUMIF(88:88,C29,89:89)+100</f>
        <v>100</v>
      </c>
      <c r="I29" s="2120"/>
      <c r="J29" s="426">
        <f>SUMIF(88:88,I29,89:89)-SUMIF(88:88,C29,89:89)+100</f>
        <v>100</v>
      </c>
      <c r="K29" s="569"/>
      <c r="L29" s="1053"/>
      <c r="M29" s="1044"/>
      <c r="N29" s="1044"/>
      <c r="O29" s="1052"/>
      <c r="P29" s="3594" t="s">
        <v>2325</v>
      </c>
      <c r="Q29" s="1504" t="str">
        <f t="shared" si="11"/>
        <v>建筑类型</v>
      </c>
      <c r="R29" s="714" t="s">
        <v>17</v>
      </c>
      <c r="S29" s="715">
        <f t="shared" si="12"/>
        <v>100</v>
      </c>
      <c r="T29" s="714" t="s">
        <v>17</v>
      </c>
      <c r="U29" s="715">
        <f t="shared" si="13"/>
        <v>100</v>
      </c>
      <c r="V29" s="714" t="s">
        <v>17</v>
      </c>
      <c r="W29" s="715">
        <f t="shared" si="14"/>
        <v>100</v>
      </c>
      <c r="X29" s="1507"/>
      <c r="Y29" s="3512" t="s">
        <v>2325</v>
      </c>
      <c r="Z29" s="1508" t="str">
        <f t="shared" si="15"/>
        <v>建筑类型</v>
      </c>
      <c r="AA29" s="1505">
        <f t="shared" si="3"/>
        <v>1</v>
      </c>
      <c r="AB29" s="1505">
        <f t="shared" si="4"/>
        <v>1</v>
      </c>
      <c r="AC29" s="1505">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512"/>
      <c r="Q30" s="716" t="str">
        <f t="shared" si="11"/>
        <v>项目建筑规模</v>
      </c>
      <c r="R30" s="717" t="s">
        <v>17</v>
      </c>
      <c r="S30" s="718" t="e">
        <f t="shared" si="12"/>
        <v>#N/A</v>
      </c>
      <c r="T30" s="717" t="s">
        <v>17</v>
      </c>
      <c r="U30" s="718" t="e">
        <f t="shared" si="13"/>
        <v>#N/A</v>
      </c>
      <c r="V30" s="717" t="s">
        <v>17</v>
      </c>
      <c r="W30" s="718" t="e">
        <f t="shared" si="14"/>
        <v>#N/A</v>
      </c>
      <c r="X30" s="719"/>
      <c r="Y30" s="3512"/>
      <c r="Z30" s="720" t="str">
        <f t="shared" si="15"/>
        <v>项目建筑规模</v>
      </c>
      <c r="AA30" s="1505" t="e">
        <f t="shared" si="3"/>
        <v>#N/A</v>
      </c>
      <c r="AB30" s="1505" t="e">
        <f t="shared" si="4"/>
        <v>#N/A</v>
      </c>
      <c r="AC30" s="1505"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512"/>
      <c r="Q31" s="1504" t="str">
        <f t="shared" si="11"/>
        <v>建筑结构</v>
      </c>
      <c r="R31" s="714" t="s">
        <v>17</v>
      </c>
      <c r="S31" s="715">
        <f t="shared" si="12"/>
        <v>100</v>
      </c>
      <c r="T31" s="714" t="s">
        <v>17</v>
      </c>
      <c r="U31" s="715">
        <f t="shared" si="13"/>
        <v>100</v>
      </c>
      <c r="V31" s="714" t="s">
        <v>17</v>
      </c>
      <c r="W31" s="715">
        <f t="shared" si="14"/>
        <v>100</v>
      </c>
      <c r="X31" s="1507"/>
      <c r="Y31" s="3512"/>
      <c r="Z31" s="1508" t="str">
        <f t="shared" si="15"/>
        <v>建筑结构</v>
      </c>
      <c r="AA31" s="1505">
        <f t="shared" si="3"/>
        <v>1</v>
      </c>
      <c r="AB31" s="1505">
        <f t="shared" si="4"/>
        <v>1</v>
      </c>
      <c r="AC31" s="1505">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512"/>
      <c r="Q32" s="1504" t="str">
        <f t="shared" si="11"/>
        <v>公共部分装修</v>
      </c>
      <c r="R32" s="714" t="s">
        <v>17</v>
      </c>
      <c r="S32" s="715">
        <f t="shared" si="12"/>
        <v>100</v>
      </c>
      <c r="T32" s="714" t="s">
        <v>17</v>
      </c>
      <c r="U32" s="715">
        <f t="shared" si="13"/>
        <v>100</v>
      </c>
      <c r="V32" s="714" t="s">
        <v>17</v>
      </c>
      <c r="W32" s="715">
        <f t="shared" si="14"/>
        <v>100</v>
      </c>
      <c r="X32" s="1507"/>
      <c r="Y32" s="3512"/>
      <c r="Z32" s="1508" t="str">
        <f t="shared" si="15"/>
        <v>公共部分装修</v>
      </c>
      <c r="AA32" s="1505">
        <f t="shared" si="3"/>
        <v>1</v>
      </c>
      <c r="AB32" s="1505">
        <f t="shared" si="4"/>
        <v>1</v>
      </c>
      <c r="AC32" s="1505">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512"/>
      <c r="Q33" s="1504" t="str">
        <f t="shared" si="11"/>
        <v>成新度</v>
      </c>
      <c r="R33" s="714" t="s">
        <v>17</v>
      </c>
      <c r="S33" s="715" t="e">
        <f t="shared" si="12"/>
        <v>#N/A</v>
      </c>
      <c r="T33" s="714" t="s">
        <v>17</v>
      </c>
      <c r="U33" s="715" t="e">
        <f t="shared" si="13"/>
        <v>#N/A</v>
      </c>
      <c r="V33" s="714" t="s">
        <v>17</v>
      </c>
      <c r="W33" s="715" t="e">
        <f t="shared" si="14"/>
        <v>#N/A</v>
      </c>
      <c r="X33" s="1507"/>
      <c r="Y33" s="3512"/>
      <c r="Z33" s="1508" t="str">
        <f t="shared" si="15"/>
        <v>成新度</v>
      </c>
      <c r="AA33" s="1505" t="e">
        <f t="shared" si="3"/>
        <v>#N/A</v>
      </c>
      <c r="AB33" s="1505" t="e">
        <f t="shared" si="4"/>
        <v>#N/A</v>
      </c>
      <c r="AC33" s="1505"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512"/>
      <c r="Q34" s="1495" t="str">
        <f t="shared" si="11"/>
        <v>物业管理</v>
      </c>
      <c r="R34" s="710" t="s">
        <v>17</v>
      </c>
      <c r="S34" s="711">
        <f t="shared" si="12"/>
        <v>100</v>
      </c>
      <c r="T34" s="710" t="s">
        <v>17</v>
      </c>
      <c r="U34" s="711">
        <f t="shared" si="13"/>
        <v>100</v>
      </c>
      <c r="V34" s="710" t="s">
        <v>17</v>
      </c>
      <c r="W34" s="711">
        <f t="shared" si="14"/>
        <v>100</v>
      </c>
      <c r="X34" s="712"/>
      <c r="Y34" s="3512"/>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512" t="s">
        <v>2325</v>
      </c>
      <c r="Q35" s="1504" t="str">
        <f t="shared" si="11"/>
        <v>市政基础设施</v>
      </c>
      <c r="R35" s="714" t="s">
        <v>17</v>
      </c>
      <c r="S35" s="715">
        <f t="shared" si="12"/>
        <v>100</v>
      </c>
      <c r="T35" s="714" t="s">
        <v>17</v>
      </c>
      <c r="U35" s="715">
        <f t="shared" si="13"/>
        <v>100</v>
      </c>
      <c r="V35" s="714" t="s">
        <v>17</v>
      </c>
      <c r="W35" s="715">
        <f t="shared" si="14"/>
        <v>100</v>
      </c>
      <c r="X35" s="1507"/>
      <c r="Y35" s="3512" t="s">
        <v>2325</v>
      </c>
      <c r="Z35" s="1508" t="str">
        <f t="shared" si="15"/>
        <v>市政基础设施</v>
      </c>
      <c r="AA35" s="1505">
        <f t="shared" si="3"/>
        <v>1</v>
      </c>
      <c r="AB35" s="1505">
        <f t="shared" si="4"/>
        <v>1</v>
      </c>
      <c r="AC35" s="1505">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512"/>
      <c r="Q36" s="1504" t="str">
        <f t="shared" si="11"/>
        <v>内部装修</v>
      </c>
      <c r="R36" s="714" t="s">
        <v>17</v>
      </c>
      <c r="S36" s="715">
        <f t="shared" si="12"/>
        <v>100</v>
      </c>
      <c r="T36" s="714" t="s">
        <v>17</v>
      </c>
      <c r="U36" s="715">
        <f t="shared" si="13"/>
        <v>100</v>
      </c>
      <c r="V36" s="714" t="s">
        <v>17</v>
      </c>
      <c r="W36" s="715">
        <f t="shared" si="14"/>
        <v>100</v>
      </c>
      <c r="X36" s="1507"/>
      <c r="Y36" s="3512"/>
      <c r="Z36" s="1508" t="str">
        <f t="shared" si="15"/>
        <v>内部装修</v>
      </c>
      <c r="AA36" s="1505">
        <f t="shared" si="3"/>
        <v>1</v>
      </c>
      <c r="AB36" s="1505">
        <f t="shared" si="4"/>
        <v>1</v>
      </c>
      <c r="AC36" s="1505">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512"/>
      <c r="Q37" s="1504" t="str">
        <f t="shared" si="11"/>
        <v>内部装修状况</v>
      </c>
      <c r="R37" s="714" t="s">
        <v>17</v>
      </c>
      <c r="S37" s="715">
        <f t="shared" si="12"/>
        <v>100</v>
      </c>
      <c r="T37" s="714" t="s">
        <v>17</v>
      </c>
      <c r="U37" s="715">
        <f t="shared" si="13"/>
        <v>100</v>
      </c>
      <c r="V37" s="714" t="s">
        <v>17</v>
      </c>
      <c r="W37" s="715">
        <f t="shared" si="14"/>
        <v>100</v>
      </c>
      <c r="X37" s="1507"/>
      <c r="Y37" s="3512"/>
      <c r="Z37" s="1508" t="str">
        <f t="shared" si="15"/>
        <v>内部装修状况</v>
      </c>
      <c r="AA37" s="1505">
        <f t="shared" si="3"/>
        <v>1</v>
      </c>
      <c r="AB37" s="1505">
        <f t="shared" si="4"/>
        <v>1</v>
      </c>
      <c r="AC37" s="1505">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512"/>
      <c r="Q38" s="716">
        <f t="shared" si="11"/>
        <v>111</v>
      </c>
      <c r="R38" s="717" t="s">
        <v>17</v>
      </c>
      <c r="S38" s="718">
        <f t="shared" si="12"/>
        <v>100</v>
      </c>
      <c r="T38" s="717" t="s">
        <v>17</v>
      </c>
      <c r="U38" s="718">
        <f t="shared" si="13"/>
        <v>100</v>
      </c>
      <c r="V38" s="717" t="s">
        <v>17</v>
      </c>
      <c r="W38" s="718">
        <f t="shared" si="14"/>
        <v>100</v>
      </c>
      <c r="X38" s="719"/>
      <c r="Y38" s="3512"/>
      <c r="Z38" s="720">
        <f t="shared" si="15"/>
        <v>111</v>
      </c>
      <c r="AA38" s="1505">
        <f t="shared" si="3"/>
        <v>1</v>
      </c>
      <c r="AB38" s="1505">
        <f t="shared" si="4"/>
        <v>1</v>
      </c>
      <c r="AC38" s="1505">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512"/>
      <c r="Q39" s="1504">
        <f t="shared" si="11"/>
        <v>111</v>
      </c>
      <c r="R39" s="714" t="s">
        <v>17</v>
      </c>
      <c r="S39" s="715">
        <f t="shared" si="12"/>
        <v>100</v>
      </c>
      <c r="T39" s="714" t="s">
        <v>17</v>
      </c>
      <c r="U39" s="715">
        <f t="shared" si="13"/>
        <v>100</v>
      </c>
      <c r="V39" s="714" t="s">
        <v>17</v>
      </c>
      <c r="W39" s="715">
        <f t="shared" si="14"/>
        <v>100</v>
      </c>
      <c r="X39" s="1507"/>
      <c r="Y39" s="3512"/>
      <c r="Z39" s="1508">
        <f t="shared" si="15"/>
        <v>111</v>
      </c>
      <c r="AA39" s="1505">
        <f t="shared" si="3"/>
        <v>1</v>
      </c>
      <c r="AB39" s="1505">
        <f t="shared" si="4"/>
        <v>1</v>
      </c>
      <c r="AC39" s="1505">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513"/>
      <c r="Q40" s="1504">
        <f t="shared" si="11"/>
        <v>111</v>
      </c>
      <c r="R40" s="714" t="s">
        <v>17</v>
      </c>
      <c r="S40" s="715">
        <f t="shared" si="12"/>
        <v>100</v>
      </c>
      <c r="T40" s="714" t="s">
        <v>17</v>
      </c>
      <c r="U40" s="715">
        <f t="shared" si="13"/>
        <v>100</v>
      </c>
      <c r="V40" s="714" t="s">
        <v>17</v>
      </c>
      <c r="W40" s="715">
        <f t="shared" si="14"/>
        <v>100</v>
      </c>
      <c r="X40" s="1507"/>
      <c r="Y40" s="3513"/>
      <c r="Z40" s="1508">
        <f t="shared" si="15"/>
        <v>111</v>
      </c>
      <c r="AA40" s="1505">
        <f t="shared" si="3"/>
        <v>1</v>
      </c>
      <c r="AB40" s="1505">
        <f t="shared" si="4"/>
        <v>1</v>
      </c>
      <c r="AC40" s="1505">
        <f t="shared" si="5"/>
        <v>1</v>
      </c>
    </row>
    <row r="41" spans="1:29" ht="15">
      <c r="A41" s="438" t="s">
        <v>2337</v>
      </c>
      <c r="B41" s="439"/>
      <c r="C41" s="1286" t="s">
        <v>1</v>
      </c>
      <c r="D41" s="1287"/>
      <c r="E41" s="1288"/>
      <c r="F41" s="1289"/>
      <c r="G41" s="1290"/>
      <c r="H41" s="1291"/>
      <c r="I41" s="1288"/>
      <c r="J41" s="1291"/>
      <c r="K41" s="723"/>
      <c r="L41" s="1056"/>
      <c r="M41" s="1057"/>
      <c r="N41" s="1044"/>
      <c r="O41" s="1057"/>
      <c r="P41" s="3500" t="str">
        <f>A41</f>
        <v>成交单价（元/平方米）</v>
      </c>
      <c r="Q41" s="3500"/>
      <c r="R41" s="3501">
        <f>E41</f>
        <v>0</v>
      </c>
      <c r="S41" s="3501"/>
      <c r="T41" s="3501">
        <f>G41</f>
        <v>0</v>
      </c>
      <c r="U41" s="3501"/>
      <c r="V41" s="3501">
        <f>I41</f>
        <v>0</v>
      </c>
      <c r="W41" s="3501"/>
      <c r="X41" s="699"/>
      <c r="Y41" s="721"/>
      <c r="Z41" s="699"/>
      <c r="AA41" s="699"/>
      <c r="AB41" s="699"/>
      <c r="AC41" s="699"/>
    </row>
    <row r="42" spans="1:29" ht="15.75" thickBot="1">
      <c r="A42" s="445" t="s">
        <v>2429</v>
      </c>
      <c r="B42" s="446"/>
      <c r="C42" s="1292" t="e">
        <f>R43</f>
        <v>#DIV/0!</v>
      </c>
      <c r="D42" s="2505" t="s">
        <v>2819</v>
      </c>
      <c r="E42" s="1293" t="e">
        <f>R42</f>
        <v>#DIV/0!</v>
      </c>
      <c r="F42" s="2506"/>
      <c r="G42" s="1292" t="e">
        <f>T42</f>
        <v>#DIV/0!</v>
      </c>
      <c r="H42" s="2506"/>
      <c r="I42" s="1293" t="e">
        <f>V42</f>
        <v>#DIV/0!</v>
      </c>
      <c r="J42" s="2506"/>
      <c r="K42" s="2508">
        <f>F42+H42+J42</f>
        <v>0</v>
      </c>
      <c r="L42" s="1056"/>
      <c r="M42" s="1057"/>
      <c r="N42" s="1044"/>
      <c r="O42" s="1057"/>
      <c r="P42" s="3500" t="str">
        <f>A42</f>
        <v>比较价值（元/平方米）</v>
      </c>
      <c r="Q42" s="35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699"/>
      <c r="Y42" s="699"/>
      <c r="Z42" s="699"/>
      <c r="AA42" s="699"/>
      <c r="AB42" s="699"/>
      <c r="AC42" s="699"/>
    </row>
    <row r="43" spans="1:29" ht="15.75" thickBot="1">
      <c r="A43" s="449" t="s">
        <v>2430</v>
      </c>
      <c r="B43" s="450"/>
      <c r="C43" s="1295" t="e">
        <f>R43</f>
        <v>#DIV/0!</v>
      </c>
      <c r="D43" s="1295"/>
      <c r="E43" s="1295"/>
      <c r="F43" s="1295"/>
      <c r="G43" s="1295"/>
      <c r="H43" s="1295"/>
      <c r="I43" s="1295"/>
      <c r="J43" s="1295"/>
      <c r="K43" s="724"/>
      <c r="L43" s="1056"/>
      <c r="M43" s="1057"/>
      <c r="N43" s="1057"/>
      <c r="O43" s="1057"/>
      <c r="P43" s="3583" t="str">
        <f>A43</f>
        <v>估价对象XX用房的比较价值（楼面单价，元/平方米）</v>
      </c>
      <c r="Q43" s="3584"/>
      <c r="R43" s="3585" t="e">
        <f>IF(F1="售价",ROUND(IF(D42="简单平均",AVERAGE(R42:V42),R42*F42+T42*H42+V42*J42),0),ROUND(IF(D42="简单平均",AVERAGE(R42:V42),R42*F42+T42*H42+V42*J42),1))</f>
        <v>#DIV/0!</v>
      </c>
      <c r="S43" s="3585"/>
      <c r="T43" s="3585"/>
      <c r="U43" s="3585"/>
      <c r="V43" s="3585"/>
      <c r="W43" s="3585"/>
      <c r="X43" s="699"/>
      <c r="Y43" s="699"/>
      <c r="Z43" s="699"/>
      <c r="AA43" s="699"/>
      <c r="AB43" s="699"/>
      <c r="AC43" s="699"/>
    </row>
    <row r="44" spans="1:29">
      <c r="A44" s="2920"/>
      <c r="B44" s="2920"/>
      <c r="C44" s="2920"/>
      <c r="D44" s="2920"/>
      <c r="E44" s="2920"/>
      <c r="F44" s="2920"/>
      <c r="G44" s="2924"/>
      <c r="H44" s="2920"/>
      <c r="I44" s="2920"/>
      <c r="J44" s="2920"/>
      <c r="K44" s="2925"/>
      <c r="L44" s="1019"/>
      <c r="M44" s="1057"/>
      <c r="N44" s="1057"/>
      <c r="O44" s="1057"/>
    </row>
    <row r="45" spans="1:29">
      <c r="A45" s="2920"/>
      <c r="B45" s="2920"/>
      <c r="C45" s="2920"/>
      <c r="D45" s="2920"/>
      <c r="E45" s="2920"/>
      <c r="F45" s="2920"/>
      <c r="G45" s="2920"/>
      <c r="H45" s="2920"/>
      <c r="I45" s="2920"/>
      <c r="J45" s="2920"/>
      <c r="K45" s="2925"/>
      <c r="L45" s="1019"/>
      <c r="M45" s="1057"/>
      <c r="N45" s="1057"/>
      <c r="O45" s="1057"/>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19"/>
      <c r="M46" s="1057"/>
      <c r="N46" s="1057"/>
      <c r="O46" s="1057"/>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19"/>
      <c r="M47" s="1057"/>
      <c r="N47" s="1057"/>
      <c r="O47" s="1057"/>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0"/>
      <c r="M48" s="1058"/>
      <c r="N48" s="1058"/>
      <c r="O48" s="1058"/>
    </row>
    <row r="49" spans="1:17" s="459" customFormat="1">
      <c r="A49" s="2923"/>
      <c r="B49" s="2926"/>
      <c r="C49" s="2927"/>
      <c r="D49" s="2923"/>
      <c r="E49" s="2923"/>
      <c r="F49" s="2923"/>
      <c r="G49" s="2923"/>
      <c r="H49" s="2923"/>
      <c r="I49" s="2923"/>
      <c r="J49" s="2923"/>
      <c r="K49" s="2928"/>
      <c r="L49" s="1060"/>
      <c r="M49" s="1058"/>
      <c r="N49" s="1058"/>
      <c r="O49" s="1058"/>
    </row>
    <row r="50" spans="1:17">
      <c r="A50" s="2920"/>
      <c r="B50" s="2926"/>
      <c r="C50" s="2927"/>
      <c r="D50" s="2920"/>
      <c r="E50" s="2920"/>
      <c r="F50" s="2920"/>
      <c r="G50" s="2920"/>
      <c r="H50" s="2920"/>
      <c r="I50" s="2920"/>
      <c r="J50" s="2920"/>
      <c r="K50" s="2925"/>
      <c r="L50" s="1019"/>
      <c r="M50" s="1057"/>
      <c r="N50" s="1057"/>
      <c r="O50" s="1057"/>
    </row>
    <row r="51" spans="1:17" ht="21.75" thickBot="1">
      <c r="A51" s="703" t="s">
        <v>2434</v>
      </c>
      <c r="B51" s="699"/>
      <c r="C51" s="704"/>
      <c r="D51" s="704"/>
      <c r="E51" s="704"/>
      <c r="F51" s="705"/>
      <c r="G51" s="705"/>
      <c r="H51" s="704"/>
      <c r="I51" s="704"/>
      <c r="J51" s="704"/>
      <c r="K51" s="1071"/>
      <c r="L51" s="1072"/>
      <c r="M51" s="1070"/>
      <c r="N51" s="1070"/>
      <c r="O51" s="1070"/>
      <c r="P51" s="460"/>
      <c r="Q51" s="461"/>
    </row>
    <row r="52" spans="1:17" s="465" customFormat="1" ht="15">
      <c r="A52" s="462" t="s">
        <v>2308</v>
      </c>
      <c r="B52" s="463"/>
      <c r="C52" s="1316" t="str">
        <f>YEAR(C7)&amp;"-"&amp;MONTH(C7)</f>
        <v>2022-4</v>
      </c>
      <c r="D52" s="1317">
        <f>EDATE(C52,-1)</f>
        <v>44621</v>
      </c>
      <c r="E52" s="1317">
        <f t="shared" ref="E52:O52" si="16">EDATE(D52,-1)</f>
        <v>44593</v>
      </c>
      <c r="F52" s="1317">
        <f t="shared" si="16"/>
        <v>44562</v>
      </c>
      <c r="G52" s="1317">
        <f t="shared" si="16"/>
        <v>44531</v>
      </c>
      <c r="H52" s="1317">
        <f t="shared" si="16"/>
        <v>44501</v>
      </c>
      <c r="I52" s="1317">
        <f t="shared" si="16"/>
        <v>44470</v>
      </c>
      <c r="J52" s="1317">
        <f t="shared" si="16"/>
        <v>44440</v>
      </c>
      <c r="K52" s="1317">
        <f t="shared" si="16"/>
        <v>44409</v>
      </c>
      <c r="L52" s="1317">
        <f t="shared" si="16"/>
        <v>44378</v>
      </c>
      <c r="M52" s="1317">
        <f t="shared" si="16"/>
        <v>44348</v>
      </c>
      <c r="N52" s="1317">
        <f t="shared" si="16"/>
        <v>44317</v>
      </c>
      <c r="O52" s="1317">
        <f t="shared" si="16"/>
        <v>44287</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2348</v>
      </c>
      <c r="B57" s="485" t="s">
        <v>2314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1"/>
      <c r="B87" s="526"/>
      <c r="C87" s="527"/>
      <c r="D87" s="527"/>
      <c r="E87" s="527"/>
      <c r="F87" s="527"/>
      <c r="G87" s="548"/>
      <c r="H87" s="548"/>
      <c r="I87" s="548"/>
      <c r="J87" s="548"/>
      <c r="K87" s="548"/>
      <c r="L87" s="548"/>
      <c r="M87" s="549"/>
      <c r="N87" s="1064"/>
      <c r="O87" s="1064"/>
      <c r="P87" s="45"/>
      <c r="Q87" s="461"/>
    </row>
    <row r="88" spans="1:17">
      <c r="A88" s="484" t="s">
        <v>2323</v>
      </c>
      <c r="B88" s="485" t="s">
        <v>2372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2467</v>
      </c>
      <c r="B1" s="1361"/>
      <c r="C1" s="1362" t="s">
        <v>2290</v>
      </c>
      <c r="D1" s="1363"/>
      <c r="E1" s="1364"/>
      <c r="F1" s="2032"/>
      <c r="G1" s="1365" t="s">
        <v>2403</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2087</v>
      </c>
      <c r="B2" s="1296" t="e">
        <f ca="1">IF(C2="——",IF(B37="元/平方米",ROUND(C39*D3/10000,0),ROUND(F3*C39/10000,0)),IF(B37="元/平方米",ROUND(C39*D3/10000,0),ROUND(F3*C39/10000,0))-D2)</f>
        <v>#DIV/0!</v>
      </c>
      <c r="C2" s="2034"/>
      <c r="D2" s="1037" t="e">
        <f ca="1">SUMIF(INDIRECT("'"&amp;F2&amp;"'"&amp;"!A:A"),"承租人权益价值",INDIRECT("'"&amp;F2&amp;"'"&amp;"!c:c"))</f>
        <v>#REF!</v>
      </c>
      <c r="E2" s="2035" t="s">
        <v>2088</v>
      </c>
      <c r="F2" s="2036"/>
      <c r="G2" s="1038"/>
      <c r="H2" s="1038"/>
      <c r="I2" s="1038"/>
      <c r="J2" s="1038"/>
      <c r="K2" s="1040"/>
      <c r="L2" s="2929"/>
      <c r="M2" s="2930"/>
      <c r="N2" s="2930"/>
      <c r="O2" s="2930"/>
      <c r="P2" s="1297"/>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8"/>
      <c r="H3" s="1038"/>
      <c r="I3" s="1038"/>
      <c r="J3" s="1038"/>
      <c r="K3" s="1040"/>
      <c r="L3" s="2929"/>
      <c r="M3" s="2930"/>
      <c r="N3" s="2930"/>
      <c r="O3" s="2930"/>
      <c r="P3" s="1297"/>
      <c r="Q3" s="708"/>
      <c r="R3" s="708"/>
      <c r="S3" s="708"/>
      <c r="T3" s="708"/>
      <c r="U3" s="708"/>
      <c r="V3" s="708"/>
      <c r="W3" s="708"/>
      <c r="X3" s="708"/>
      <c r="Y3" s="708"/>
      <c r="Z3" s="708"/>
      <c r="AA3" s="708"/>
      <c r="AB3" s="725"/>
      <c r="AC3" s="722"/>
    </row>
    <row r="4" spans="1:29" ht="15">
      <c r="A4" s="361" t="s">
        <v>2405</v>
      </c>
      <c r="B4" s="362"/>
      <c r="C4" s="3517" t="s">
        <v>2406</v>
      </c>
      <c r="D4" s="3518"/>
      <c r="E4" s="3519" t="s">
        <v>2407</v>
      </c>
      <c r="F4" s="3520"/>
      <c r="G4" s="3517" t="s">
        <v>2408</v>
      </c>
      <c r="H4" s="3518"/>
      <c r="I4" s="3517" t="s">
        <v>2409</v>
      </c>
      <c r="J4" s="3518"/>
      <c r="K4" s="567" t="s">
        <v>2410</v>
      </c>
      <c r="L4" s="2910"/>
      <c r="M4" s="2911"/>
      <c r="N4" s="2911"/>
      <c r="O4" s="2911"/>
      <c r="P4" s="3587" t="s">
        <v>2411</v>
      </c>
      <c r="Q4" s="3588"/>
      <c r="R4" s="3591" t="s">
        <v>2407</v>
      </c>
      <c r="S4" s="3592"/>
      <c r="T4" s="3591" t="s">
        <v>2408</v>
      </c>
      <c r="U4" s="3592"/>
      <c r="V4" s="3534" t="s">
        <v>2409</v>
      </c>
      <c r="W4" s="3534"/>
      <c r="X4" s="1507"/>
      <c r="Y4" s="3591" t="s">
        <v>2411</v>
      </c>
      <c r="Z4" s="3592"/>
      <c r="AA4" s="3586" t="s">
        <v>2407</v>
      </c>
      <c r="AB4" s="3547" t="s">
        <v>2408</v>
      </c>
      <c r="AC4" s="3586" t="s">
        <v>2409</v>
      </c>
    </row>
    <row r="5" spans="1:29" ht="15">
      <c r="A5" s="364"/>
      <c r="B5" s="365"/>
      <c r="C5" s="3543" t="s">
        <v>2302</v>
      </c>
      <c r="D5" s="3538"/>
      <c r="E5" s="3593" t="s">
        <v>2303</v>
      </c>
      <c r="F5" s="3550"/>
      <c r="G5" s="3543" t="s">
        <v>2304</v>
      </c>
      <c r="H5" s="3538"/>
      <c r="I5" s="3543" t="s">
        <v>2305</v>
      </c>
      <c r="J5" s="3538"/>
      <c r="K5" s="567"/>
      <c r="L5" s="2910"/>
      <c r="M5" s="2911"/>
      <c r="N5" s="2911"/>
      <c r="O5" s="2911"/>
      <c r="P5" s="3589"/>
      <c r="Q5" s="3524"/>
      <c r="R5" s="3529"/>
      <c r="S5" s="3530"/>
      <c r="T5" s="3529"/>
      <c r="U5" s="3530"/>
      <c r="V5" s="3534"/>
      <c r="W5" s="3534"/>
      <c r="X5" s="1507"/>
      <c r="Y5" s="3529"/>
      <c r="Z5" s="3530"/>
      <c r="AA5" s="3547"/>
      <c r="AB5" s="3547"/>
      <c r="AC5" s="3547"/>
    </row>
    <row r="6" spans="1:29" ht="15.75" thickBot="1">
      <c r="A6" s="366"/>
      <c r="B6" s="367"/>
      <c r="C6" s="3535" t="s">
        <v>2306</v>
      </c>
      <c r="D6" s="3536"/>
      <c r="E6" s="3544" t="s">
        <v>2306</v>
      </c>
      <c r="F6" s="3545"/>
      <c r="G6" s="3535" t="s">
        <v>2306</v>
      </c>
      <c r="H6" s="3536"/>
      <c r="I6" s="3535" t="s">
        <v>2306</v>
      </c>
      <c r="J6" s="3536"/>
      <c r="K6" s="567" t="s">
        <v>2307</v>
      </c>
      <c r="L6" s="2910"/>
      <c r="M6" s="2911"/>
      <c r="N6" s="2911"/>
      <c r="O6" s="2911"/>
      <c r="P6" s="3590"/>
      <c r="Q6" s="3526"/>
      <c r="R6" s="3529"/>
      <c r="S6" s="3530"/>
      <c r="T6" s="3531"/>
      <c r="U6" s="3532"/>
      <c r="V6" s="3534"/>
      <c r="W6" s="3534"/>
      <c r="X6" s="1507"/>
      <c r="Y6" s="3531"/>
      <c r="Z6" s="3532"/>
      <c r="AA6" s="3548"/>
      <c r="AB6" s="3548"/>
      <c r="AC6" s="3548"/>
    </row>
    <row r="7" spans="1:29" s="113" customFormat="1" ht="15.75" thickBot="1">
      <c r="A7" s="368" t="s">
        <v>2308</v>
      </c>
      <c r="B7" s="369"/>
      <c r="C7" s="370">
        <f>'数据-取费表'!B2</f>
        <v>44665</v>
      </c>
      <c r="D7" s="371">
        <v>100</v>
      </c>
      <c r="E7" s="372"/>
      <c r="F7" s="373">
        <f>SUMIF(48:48,YEAR(E7)&amp;"-"&amp;MONTH(E7),49:49)</f>
        <v>0</v>
      </c>
      <c r="G7" s="372"/>
      <c r="H7" s="371">
        <f>SUMIF(48:48,YEAR(G7)&amp;"-"&amp;MONTH(G7),49:49)</f>
        <v>0</v>
      </c>
      <c r="I7" s="372"/>
      <c r="J7" s="371">
        <f>SUMIF(48:48,YEAR(I7)&amp;"-"&amp;MONTH(I7),49:49)</f>
        <v>0</v>
      </c>
      <c r="K7" s="568"/>
      <c r="L7" s="2912"/>
      <c r="M7" s="2913"/>
      <c r="N7" s="2913"/>
      <c r="O7" s="2913"/>
      <c r="P7" s="3541" t="s">
        <v>2309</v>
      </c>
      <c r="Q7" s="3542"/>
      <c r="R7" s="710" t="s">
        <v>17</v>
      </c>
      <c r="S7" s="711">
        <f t="shared" ref="S7:S14" si="0">F7</f>
        <v>0</v>
      </c>
      <c r="T7" s="710" t="s">
        <v>17</v>
      </c>
      <c r="U7" s="711">
        <f t="shared" ref="U7:U14" si="1">H7</f>
        <v>0</v>
      </c>
      <c r="V7" s="710" t="s">
        <v>17</v>
      </c>
      <c r="W7" s="711">
        <f t="shared" ref="W7:W14" si="2">J7</f>
        <v>0</v>
      </c>
      <c r="X7" s="712"/>
      <c r="Y7" s="3541" t="s">
        <v>2309</v>
      </c>
      <c r="Z7" s="3540"/>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541" t="s">
        <v>2312</v>
      </c>
      <c r="Q8" s="3540"/>
      <c r="R8" s="710" t="s">
        <v>17</v>
      </c>
      <c r="S8" s="711">
        <f t="shared" si="0"/>
        <v>0</v>
      </c>
      <c r="T8" s="710" t="s">
        <v>17</v>
      </c>
      <c r="U8" s="711">
        <f t="shared" si="1"/>
        <v>0</v>
      </c>
      <c r="V8" s="710" t="s">
        <v>17</v>
      </c>
      <c r="W8" s="711">
        <f t="shared" si="2"/>
        <v>0</v>
      </c>
      <c r="X8" s="712"/>
      <c r="Y8" s="3541" t="s">
        <v>2312</v>
      </c>
      <c r="Z8" s="3540"/>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500" t="s">
        <v>2315</v>
      </c>
      <c r="Q9" s="1495" t="str">
        <f t="shared" ref="Q9:Q14" si="6">B9</f>
        <v>用途</v>
      </c>
      <c r="R9" s="710" t="s">
        <v>17</v>
      </c>
      <c r="S9" s="711">
        <f t="shared" si="0"/>
        <v>100</v>
      </c>
      <c r="T9" s="710" t="s">
        <v>17</v>
      </c>
      <c r="U9" s="711">
        <f t="shared" si="1"/>
        <v>100</v>
      </c>
      <c r="V9" s="710" t="s">
        <v>17</v>
      </c>
      <c r="W9" s="711">
        <f t="shared" si="2"/>
        <v>100</v>
      </c>
      <c r="X9" s="712"/>
      <c r="Y9" s="3400"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500"/>
      <c r="Q10" s="1495"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500"/>
      <c r="Q11" s="1495">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500"/>
      <c r="Q12" s="1495">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500"/>
      <c r="Q13" s="1495">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
      <c r="A14" s="361" t="s">
        <v>2319</v>
      </c>
      <c r="B14" s="585" t="s">
        <v>2469</v>
      </c>
      <c r="C14" s="212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507" t="s">
        <v>2320</v>
      </c>
      <c r="Q14" s="1504" t="str">
        <f t="shared" si="6"/>
        <v>交通便捷度</v>
      </c>
      <c r="R14" s="714" t="s">
        <v>17</v>
      </c>
      <c r="S14" s="715">
        <f t="shared" si="0"/>
        <v>100</v>
      </c>
      <c r="T14" s="714" t="s">
        <v>17</v>
      </c>
      <c r="U14" s="715">
        <f t="shared" si="1"/>
        <v>100</v>
      </c>
      <c r="V14" s="714" t="s">
        <v>17</v>
      </c>
      <c r="W14" s="715">
        <f t="shared" si="2"/>
        <v>100</v>
      </c>
      <c r="X14" s="1507"/>
      <c r="Y14" s="3507" t="s">
        <v>2320</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7"/>
      <c r="M15" s="2911"/>
      <c r="N15" s="2911"/>
      <c r="O15" s="2911"/>
      <c r="P15" s="3508"/>
      <c r="Q15" s="1504"/>
      <c r="R15" s="714"/>
      <c r="S15" s="715"/>
      <c r="T15" s="714"/>
      <c r="U15" s="715"/>
      <c r="V15" s="714"/>
      <c r="W15" s="715"/>
      <c r="X15" s="1507"/>
      <c r="Y15" s="3508"/>
      <c r="Z15" s="1508"/>
      <c r="AA15" s="1505">
        <v>1</v>
      </c>
      <c r="AB15" s="1505">
        <v>1</v>
      </c>
      <c r="AC15" s="1505">
        <v>1</v>
      </c>
    </row>
    <row r="16" spans="1:29" ht="15">
      <c r="A16" s="364"/>
      <c r="B16" s="587" t="s">
        <v>2448</v>
      </c>
      <c r="C16" s="2053"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508"/>
      <c r="Q16" s="1504" t="str">
        <f>B16</f>
        <v>公共配套设施</v>
      </c>
      <c r="R16" s="714" t="s">
        <v>17</v>
      </c>
      <c r="S16" s="715">
        <f>F16</f>
        <v>100</v>
      </c>
      <c r="T16" s="714" t="s">
        <v>17</v>
      </c>
      <c r="U16" s="715">
        <f>H16</f>
        <v>100</v>
      </c>
      <c r="V16" s="714" t="s">
        <v>17</v>
      </c>
      <c r="W16" s="715">
        <f>J16</f>
        <v>100</v>
      </c>
      <c r="X16" s="1507"/>
      <c r="Y16" s="3508"/>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7"/>
      <c r="M17" s="2911"/>
      <c r="N17" s="2911"/>
      <c r="O17" s="2911"/>
      <c r="P17" s="3508"/>
      <c r="Q17" s="1504"/>
      <c r="R17" s="714"/>
      <c r="S17" s="715"/>
      <c r="T17" s="714"/>
      <c r="U17" s="715"/>
      <c r="V17" s="714"/>
      <c r="W17" s="715"/>
      <c r="X17" s="1507"/>
      <c r="Y17" s="3508"/>
      <c r="Z17" s="1508"/>
      <c r="AA17" s="1505">
        <v>1</v>
      </c>
      <c r="AB17" s="1505">
        <v>1</v>
      </c>
      <c r="AC17" s="1505">
        <v>1</v>
      </c>
    </row>
    <row r="18" spans="1:29" ht="15">
      <c r="A18" s="364"/>
      <c r="B18" s="589" t="s">
        <v>2449</v>
      </c>
      <c r="C18" s="2053"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508"/>
      <c r="Q18" s="1504" t="str">
        <f>B18</f>
        <v>基础设施水平</v>
      </c>
      <c r="R18" s="714" t="s">
        <v>17</v>
      </c>
      <c r="S18" s="715">
        <f>F18</f>
        <v>100</v>
      </c>
      <c r="T18" s="714" t="s">
        <v>17</v>
      </c>
      <c r="U18" s="715">
        <f>H18</f>
        <v>100</v>
      </c>
      <c r="V18" s="714" t="s">
        <v>17</v>
      </c>
      <c r="W18" s="715">
        <f>J18</f>
        <v>100</v>
      </c>
      <c r="X18" s="1507"/>
      <c r="Y18" s="3508"/>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3"/>
      <c r="L19" s="2917"/>
      <c r="M19" s="2911"/>
      <c r="N19" s="2911"/>
      <c r="O19" s="2911"/>
      <c r="P19" s="3508"/>
      <c r="Q19" s="1504"/>
      <c r="R19" s="714"/>
      <c r="S19" s="715"/>
      <c r="T19" s="714"/>
      <c r="U19" s="715"/>
      <c r="V19" s="714"/>
      <c r="W19" s="715"/>
      <c r="X19" s="1507"/>
      <c r="Y19" s="3508"/>
      <c r="Z19" s="1508"/>
      <c r="AA19" s="1505">
        <v>1</v>
      </c>
      <c r="AB19" s="1505">
        <v>1</v>
      </c>
      <c r="AC19" s="1505">
        <v>1</v>
      </c>
    </row>
    <row r="20" spans="1:29" ht="15">
      <c r="A20" s="364"/>
      <c r="B20" s="587" t="s">
        <v>2470</v>
      </c>
      <c r="C20" s="2053"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508"/>
      <c r="Q20" s="1504" t="str">
        <f>B20</f>
        <v>自然及人文环境</v>
      </c>
      <c r="R20" s="714" t="s">
        <v>17</v>
      </c>
      <c r="S20" s="715">
        <f>F20</f>
        <v>100</v>
      </c>
      <c r="T20" s="714" t="s">
        <v>17</v>
      </c>
      <c r="U20" s="715">
        <f>H20</f>
        <v>100</v>
      </c>
      <c r="V20" s="714" t="s">
        <v>17</v>
      </c>
      <c r="W20" s="715">
        <f>J20</f>
        <v>100</v>
      </c>
      <c r="X20" s="1507"/>
      <c r="Y20" s="3508"/>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7"/>
      <c r="M21" s="2911"/>
      <c r="N21" s="2911"/>
      <c r="O21" s="2911"/>
      <c r="P21" s="3508"/>
      <c r="Q21" s="1504"/>
      <c r="R21" s="714"/>
      <c r="S21" s="715"/>
      <c r="T21" s="714"/>
      <c r="U21" s="715"/>
      <c r="V21" s="714"/>
      <c r="W21" s="715"/>
      <c r="X21" s="1507"/>
      <c r="Y21" s="3508"/>
      <c r="Z21" s="1508"/>
      <c r="AA21" s="1505">
        <v>1</v>
      </c>
      <c r="AB21" s="1505">
        <v>1</v>
      </c>
      <c r="AC21" s="1505">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508"/>
      <c r="Q22" s="1504" t="str">
        <f>B22</f>
        <v>楼层</v>
      </c>
      <c r="R22" s="714" t="s">
        <v>17</v>
      </c>
      <c r="S22" s="715">
        <f>F22</f>
        <v>100</v>
      </c>
      <c r="T22" s="714" t="s">
        <v>17</v>
      </c>
      <c r="U22" s="715">
        <f>H22</f>
        <v>100</v>
      </c>
      <c r="V22" s="714" t="s">
        <v>17</v>
      </c>
      <c r="W22" s="715">
        <f>J22</f>
        <v>100</v>
      </c>
      <c r="X22" s="1507"/>
      <c r="Y22" s="3508"/>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508"/>
      <c r="Q23" s="1504">
        <f>B23</f>
        <v>111</v>
      </c>
      <c r="R23" s="714" t="s">
        <v>17</v>
      </c>
      <c r="S23" s="715">
        <f>F23</f>
        <v>100</v>
      </c>
      <c r="T23" s="714" t="s">
        <v>17</v>
      </c>
      <c r="U23" s="715">
        <f>H23</f>
        <v>100</v>
      </c>
      <c r="V23" s="714" t="s">
        <v>17</v>
      </c>
      <c r="W23" s="715">
        <f>J23</f>
        <v>100</v>
      </c>
      <c r="X23" s="1507"/>
      <c r="Y23" s="3508"/>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508"/>
      <c r="Q24" s="1504">
        <f t="shared" ref="Q24:Q36" si="11">B24</f>
        <v>111</v>
      </c>
      <c r="R24" s="714" t="s">
        <v>17</v>
      </c>
      <c r="S24" s="715">
        <f>F24</f>
        <v>100</v>
      </c>
      <c r="T24" s="714" t="s">
        <v>17</v>
      </c>
      <c r="U24" s="715">
        <f>H24</f>
        <v>100</v>
      </c>
      <c r="V24" s="714" t="s">
        <v>17</v>
      </c>
      <c r="W24" s="715">
        <f>J24</f>
        <v>100</v>
      </c>
      <c r="X24" s="1507"/>
      <c r="Y24" s="3508"/>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508"/>
      <c r="Q25" s="1495">
        <f t="shared" si="11"/>
        <v>111</v>
      </c>
      <c r="R25" s="710" t="s">
        <v>17</v>
      </c>
      <c r="S25" s="711">
        <f>F25</f>
        <v>100</v>
      </c>
      <c r="T25" s="710" t="s">
        <v>17</v>
      </c>
      <c r="U25" s="711">
        <f>H25</f>
        <v>100</v>
      </c>
      <c r="V25" s="710" t="s">
        <v>17</v>
      </c>
      <c r="W25" s="711">
        <f>J25</f>
        <v>100</v>
      </c>
      <c r="X25" s="712"/>
      <c r="Y25" s="3508"/>
      <c r="Z25" s="55">
        <f>Q25</f>
        <v>111</v>
      </c>
      <c r="AA25" s="1505">
        <f>D25/F25</f>
        <v>1</v>
      </c>
      <c r="AB25" s="1505">
        <f>D25/H25</f>
        <v>1</v>
      </c>
      <c r="AC25" s="1505">
        <f>D25/J25</f>
        <v>1</v>
      </c>
    </row>
    <row r="26" spans="1:29" ht="28.5">
      <c r="A26" s="608" t="s">
        <v>2323</v>
      </c>
      <c r="B26" s="66" t="s">
        <v>2472</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594" t="s">
        <v>2325</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512" t="s">
        <v>2325</v>
      </c>
      <c r="Z26" s="1508" t="str">
        <f t="shared" ref="Z26:Z36" si="15">Q26</f>
        <v>配套类型</v>
      </c>
      <c r="AA26" s="1505">
        <f t="shared" si="3"/>
        <v>1</v>
      </c>
      <c r="AB26" s="1505">
        <f t="shared" si="4"/>
        <v>1</v>
      </c>
      <c r="AC26" s="1505">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512"/>
      <c r="Q27" s="716" t="str">
        <f t="shared" si="11"/>
        <v>项目停车位配比</v>
      </c>
      <c r="R27" s="717" t="s">
        <v>17</v>
      </c>
      <c r="S27" s="718">
        <f t="shared" si="12"/>
        <v>100</v>
      </c>
      <c r="T27" s="717" t="s">
        <v>17</v>
      </c>
      <c r="U27" s="718">
        <f t="shared" si="13"/>
        <v>100</v>
      </c>
      <c r="V27" s="717" t="s">
        <v>17</v>
      </c>
      <c r="W27" s="718">
        <f t="shared" si="14"/>
        <v>100</v>
      </c>
      <c r="X27" s="719"/>
      <c r="Y27" s="3512"/>
      <c r="Z27" s="720" t="str">
        <f t="shared" si="15"/>
        <v>项目停车位配比</v>
      </c>
      <c r="AA27" s="1505">
        <f t="shared" si="3"/>
        <v>1</v>
      </c>
      <c r="AB27" s="1505">
        <f t="shared" si="4"/>
        <v>1</v>
      </c>
      <c r="AC27" s="1505">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512"/>
      <c r="Q28" s="1504" t="str">
        <f t="shared" si="11"/>
        <v>公共部分装修</v>
      </c>
      <c r="R28" s="714" t="s">
        <v>17</v>
      </c>
      <c r="S28" s="715">
        <f t="shared" si="12"/>
        <v>100</v>
      </c>
      <c r="T28" s="714" t="s">
        <v>17</v>
      </c>
      <c r="U28" s="715">
        <f t="shared" si="13"/>
        <v>100</v>
      </c>
      <c r="V28" s="714" t="s">
        <v>17</v>
      </c>
      <c r="W28" s="715">
        <f t="shared" si="14"/>
        <v>100</v>
      </c>
      <c r="X28" s="1507"/>
      <c r="Y28" s="3512"/>
      <c r="Z28" s="1508" t="str">
        <f t="shared" si="15"/>
        <v>公共部分装修</v>
      </c>
      <c r="AA28" s="1505">
        <f t="shared" si="3"/>
        <v>1</v>
      </c>
      <c r="AB28" s="1505">
        <f t="shared" si="4"/>
        <v>1</v>
      </c>
      <c r="AC28" s="1505">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512"/>
      <c r="Q29" s="1504" t="str">
        <f t="shared" si="11"/>
        <v>成新率</v>
      </c>
      <c r="R29" s="714" t="s">
        <v>17</v>
      </c>
      <c r="S29" s="715" t="e">
        <f t="shared" si="12"/>
        <v>#N/A</v>
      </c>
      <c r="T29" s="714" t="s">
        <v>17</v>
      </c>
      <c r="U29" s="715" t="e">
        <f t="shared" si="13"/>
        <v>#N/A</v>
      </c>
      <c r="V29" s="714" t="s">
        <v>17</v>
      </c>
      <c r="W29" s="715" t="e">
        <f t="shared" si="14"/>
        <v>#N/A</v>
      </c>
      <c r="X29" s="1507"/>
      <c r="Y29" s="3512"/>
      <c r="Z29" s="1508" t="str">
        <f t="shared" si="15"/>
        <v>成新率</v>
      </c>
      <c r="AA29" s="1505" t="e">
        <f t="shared" si="3"/>
        <v>#N/A</v>
      </c>
      <c r="AB29" s="1505" t="e">
        <f t="shared" si="4"/>
        <v>#N/A</v>
      </c>
      <c r="AC29" s="1505"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512"/>
      <c r="Q30" s="1504" t="str">
        <f t="shared" si="11"/>
        <v>物业等级</v>
      </c>
      <c r="R30" s="714" t="s">
        <v>17</v>
      </c>
      <c r="S30" s="715">
        <f t="shared" si="12"/>
        <v>100</v>
      </c>
      <c r="T30" s="714" t="s">
        <v>17</v>
      </c>
      <c r="U30" s="715">
        <f t="shared" si="13"/>
        <v>100</v>
      </c>
      <c r="V30" s="714" t="s">
        <v>17</v>
      </c>
      <c r="W30" s="715">
        <f t="shared" si="14"/>
        <v>100</v>
      </c>
      <c r="X30" s="1507"/>
      <c r="Y30" s="3512"/>
      <c r="Z30" s="1508" t="str">
        <f t="shared" si="15"/>
        <v>物业等级</v>
      </c>
      <c r="AA30" s="1505">
        <f t="shared" si="3"/>
        <v>1</v>
      </c>
      <c r="AB30" s="1505">
        <f t="shared" si="4"/>
        <v>1</v>
      </c>
      <c r="AC30" s="1505">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512"/>
      <c r="Q31" s="1495" t="str">
        <f t="shared" si="11"/>
        <v>停车位面积</v>
      </c>
      <c r="R31" s="710" t="s">
        <v>17</v>
      </c>
      <c r="S31" s="711" t="e">
        <f t="shared" si="12"/>
        <v>#N/A</v>
      </c>
      <c r="T31" s="710" t="s">
        <v>17</v>
      </c>
      <c r="U31" s="711" t="e">
        <f t="shared" si="13"/>
        <v>#N/A</v>
      </c>
      <c r="V31" s="710" t="s">
        <v>17</v>
      </c>
      <c r="W31" s="711" t="e">
        <f t="shared" si="14"/>
        <v>#N/A</v>
      </c>
      <c r="X31" s="712"/>
      <c r="Y31" s="3512"/>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512" t="s">
        <v>2325</v>
      </c>
      <c r="Q32" s="1504" t="str">
        <f t="shared" si="11"/>
        <v>车位类型</v>
      </c>
      <c r="R32" s="714" t="s">
        <v>17</v>
      </c>
      <c r="S32" s="715">
        <f t="shared" si="12"/>
        <v>100</v>
      </c>
      <c r="T32" s="714" t="s">
        <v>17</v>
      </c>
      <c r="U32" s="715">
        <f t="shared" si="13"/>
        <v>100</v>
      </c>
      <c r="V32" s="714" t="s">
        <v>17</v>
      </c>
      <c r="W32" s="715">
        <f t="shared" si="14"/>
        <v>100</v>
      </c>
      <c r="X32" s="1507"/>
      <c r="Y32" s="3512" t="s">
        <v>2325</v>
      </c>
      <c r="Z32" s="1508" t="str">
        <f t="shared" si="15"/>
        <v>车位类型</v>
      </c>
      <c r="AA32" s="1505">
        <f t="shared" si="3"/>
        <v>1</v>
      </c>
      <c r="AB32" s="1505">
        <f t="shared" si="4"/>
        <v>1</v>
      </c>
      <c r="AC32" s="1505">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512"/>
      <c r="Q33" s="1504" t="str">
        <f t="shared" si="11"/>
        <v>是否直接入户</v>
      </c>
      <c r="R33" s="714" t="s">
        <v>17</v>
      </c>
      <c r="S33" s="715">
        <f t="shared" si="12"/>
        <v>100</v>
      </c>
      <c r="T33" s="714" t="s">
        <v>17</v>
      </c>
      <c r="U33" s="715">
        <f t="shared" si="13"/>
        <v>100</v>
      </c>
      <c r="V33" s="714" t="s">
        <v>17</v>
      </c>
      <c r="W33" s="715">
        <f t="shared" si="14"/>
        <v>100</v>
      </c>
      <c r="X33" s="1507"/>
      <c r="Y33" s="3512"/>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512"/>
      <c r="Q34" s="1504">
        <f t="shared" si="11"/>
        <v>111</v>
      </c>
      <c r="R34" s="714" t="s">
        <v>17</v>
      </c>
      <c r="S34" s="715">
        <f t="shared" si="12"/>
        <v>100</v>
      </c>
      <c r="T34" s="714" t="s">
        <v>17</v>
      </c>
      <c r="U34" s="715">
        <f t="shared" si="13"/>
        <v>100</v>
      </c>
      <c r="V34" s="714" t="s">
        <v>17</v>
      </c>
      <c r="W34" s="715">
        <f t="shared" si="14"/>
        <v>100</v>
      </c>
      <c r="X34" s="1507"/>
      <c r="Y34" s="3512"/>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512"/>
      <c r="Q35" s="716">
        <f t="shared" si="11"/>
        <v>111</v>
      </c>
      <c r="R35" s="717" t="s">
        <v>17</v>
      </c>
      <c r="S35" s="718">
        <f t="shared" si="12"/>
        <v>100</v>
      </c>
      <c r="T35" s="717" t="s">
        <v>17</v>
      </c>
      <c r="U35" s="718">
        <f t="shared" si="13"/>
        <v>100</v>
      </c>
      <c r="V35" s="717" t="s">
        <v>17</v>
      </c>
      <c r="W35" s="718">
        <f t="shared" si="14"/>
        <v>100</v>
      </c>
      <c r="X35" s="719"/>
      <c r="Y35" s="3512"/>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512"/>
      <c r="Q36" s="1504">
        <f t="shared" si="11"/>
        <v>111</v>
      </c>
      <c r="R36" s="714" t="s">
        <v>17</v>
      </c>
      <c r="S36" s="715">
        <f t="shared" si="12"/>
        <v>100</v>
      </c>
      <c r="T36" s="714" t="s">
        <v>17</v>
      </c>
      <c r="U36" s="715">
        <f t="shared" si="13"/>
        <v>100</v>
      </c>
      <c r="V36" s="714" t="s">
        <v>17</v>
      </c>
      <c r="W36" s="715">
        <f t="shared" si="14"/>
        <v>100</v>
      </c>
      <c r="X36" s="1507"/>
      <c r="Y36" s="3512"/>
      <c r="Z36" s="1508">
        <f t="shared" si="15"/>
        <v>111</v>
      </c>
      <c r="AA36" s="1505">
        <f t="shared" si="3"/>
        <v>1</v>
      </c>
      <c r="AB36" s="1505">
        <f t="shared" si="4"/>
        <v>1</v>
      </c>
      <c r="AC36" s="1505">
        <f t="shared" si="5"/>
        <v>1</v>
      </c>
    </row>
    <row r="37" spans="1:29" ht="15">
      <c r="A37" s="438" t="s">
        <v>2480</v>
      </c>
      <c r="B37" s="2126" t="s">
        <v>2481</v>
      </c>
      <c r="C37" s="1286" t="s">
        <v>1</v>
      </c>
      <c r="D37" s="1287"/>
      <c r="E37" s="1288"/>
      <c r="F37" s="1289"/>
      <c r="G37" s="1290"/>
      <c r="H37" s="1291"/>
      <c r="I37" s="1288"/>
      <c r="J37" s="1291"/>
      <c r="K37" s="576"/>
      <c r="L37" s="2919"/>
      <c r="M37" s="2920"/>
      <c r="N37" s="2911"/>
      <c r="O37" s="2920"/>
      <c r="P37" s="3500" t="str">
        <f>A37</f>
        <v>成交单价</v>
      </c>
      <c r="Q37" s="3500"/>
      <c r="R37" s="3501">
        <f>E37</f>
        <v>0</v>
      </c>
      <c r="S37" s="3501"/>
      <c r="T37" s="3501">
        <f>G37</f>
        <v>0</v>
      </c>
      <c r="U37" s="3501"/>
      <c r="V37" s="3501">
        <f>I37</f>
        <v>0</v>
      </c>
      <c r="W37" s="3501"/>
      <c r="X37" s="699"/>
      <c r="Y37" s="721"/>
      <c r="Z37" s="699"/>
      <c r="AA37" s="699"/>
      <c r="AB37" s="699"/>
      <c r="AC37" s="699"/>
    </row>
    <row r="38" spans="1:29" ht="15.75" thickBot="1">
      <c r="A38" s="445" t="s">
        <v>2482</v>
      </c>
      <c r="B38" s="446" t="str">
        <f>B37</f>
        <v>元/车位</v>
      </c>
      <c r="C38" s="1292" t="e">
        <f>R39</f>
        <v>#DIV/0!</v>
      </c>
      <c r="D38" s="2505" t="s">
        <v>2819</v>
      </c>
      <c r="E38" s="1293" t="e">
        <f>R38</f>
        <v>#DIV/0!</v>
      </c>
      <c r="F38" s="2506"/>
      <c r="G38" s="1292" t="e">
        <f>T38</f>
        <v>#DIV/0!</v>
      </c>
      <c r="H38" s="2506"/>
      <c r="I38" s="1293" t="e">
        <f>V38</f>
        <v>#DIV/0!</v>
      </c>
      <c r="J38" s="2506"/>
      <c r="K38" s="2508">
        <f>F38+H38+J38</f>
        <v>0</v>
      </c>
      <c r="L38" s="2919"/>
      <c r="M38" s="2920"/>
      <c r="N38" s="2920"/>
      <c r="O38" s="2920"/>
      <c r="P38" s="3500" t="str">
        <f>A38</f>
        <v>比较价值（元/平方米）</v>
      </c>
      <c r="Q38" s="35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699"/>
      <c r="Y38" s="699"/>
      <c r="Z38" s="699"/>
      <c r="AA38" s="699"/>
      <c r="AB38" s="699"/>
      <c r="AC38" s="699"/>
    </row>
    <row r="39" spans="1:29" ht="15.75" thickBot="1">
      <c r="A39" s="449" t="s">
        <v>2483</v>
      </c>
      <c r="B39" s="450"/>
      <c r="C39" s="1295" t="e">
        <f>R39</f>
        <v>#DIV/0!</v>
      </c>
      <c r="D39" s="1295"/>
      <c r="E39" s="1295"/>
      <c r="F39" s="1295"/>
      <c r="G39" s="1295"/>
      <c r="H39" s="1295"/>
      <c r="I39" s="1295"/>
      <c r="J39" s="1295"/>
      <c r="K39" s="577"/>
      <c r="L39" s="2919"/>
      <c r="M39" s="2920"/>
      <c r="N39" s="2920"/>
      <c r="O39" s="2920"/>
      <c r="P39" s="3583" t="str">
        <f>A39</f>
        <v>估价对象XX用房的比较价值（楼面单价，元/平方米）</v>
      </c>
      <c r="Q39" s="3584"/>
      <c r="R39" s="3595" t="e">
        <f>IF(F1="售价",ROUND(IF(D38="简单平均",AVERAGE(R38:W38),R38*F38+T38*H38+V38*J38),0),ROUND(IF(D38="简单平均",AVERAGE(R38:V38),R38*F38+T38*H38+V38*J38),1))</f>
        <v>#DIV/0!</v>
      </c>
      <c r="S39" s="3595"/>
      <c r="T39" s="3595"/>
      <c r="U39" s="3595"/>
      <c r="V39" s="3595"/>
      <c r="W39" s="3595"/>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8" t="s">
        <v>2487</v>
      </c>
      <c r="B47" s="1057"/>
      <c r="C47" s="1070"/>
      <c r="D47" s="1070"/>
      <c r="E47" s="1070"/>
      <c r="F47" s="1299"/>
      <c r="G47" s="1299"/>
      <c r="H47" s="1070"/>
      <c r="I47" s="1070"/>
      <c r="J47" s="1070"/>
      <c r="K47" s="1071"/>
      <c r="L47" s="1072"/>
      <c r="M47" s="1070"/>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6" t="str">
        <f>YEAR(C7)&amp;"-"&amp;MONTH(C7)</f>
        <v>2022-4</v>
      </c>
      <c r="D48" s="1317">
        <f>EDATE(C48,-1)</f>
        <v>44621</v>
      </c>
      <c r="E48" s="1317">
        <f t="shared" ref="E48:O48" si="16">EDATE(D48,-1)</f>
        <v>44593</v>
      </c>
      <c r="F48" s="1317">
        <f t="shared" si="16"/>
        <v>44562</v>
      </c>
      <c r="G48" s="1317">
        <f t="shared" si="16"/>
        <v>44531</v>
      </c>
      <c r="H48" s="1317">
        <f t="shared" si="16"/>
        <v>44501</v>
      </c>
      <c r="I48" s="1317">
        <f t="shared" si="16"/>
        <v>44470</v>
      </c>
      <c r="J48" s="1317">
        <f t="shared" si="16"/>
        <v>44440</v>
      </c>
      <c r="K48" s="1317">
        <f t="shared" si="16"/>
        <v>44409</v>
      </c>
      <c r="L48" s="1317">
        <f t="shared" si="16"/>
        <v>44378</v>
      </c>
      <c r="M48" s="1317">
        <f t="shared" si="16"/>
        <v>44348</v>
      </c>
      <c r="N48" s="1317">
        <f t="shared" si="16"/>
        <v>44317</v>
      </c>
      <c r="O48" s="1317">
        <f t="shared" si="16"/>
        <v>44287</v>
      </c>
      <c r="P48" s="2954"/>
      <c r="Q48" s="2936"/>
      <c r="R48" s="2936"/>
      <c r="S48" s="2936"/>
      <c r="T48" s="2936"/>
      <c r="U48" s="2936"/>
      <c r="V48" s="2936"/>
      <c r="W48" s="2936"/>
      <c r="X48" s="2936"/>
      <c r="Y48" s="2936"/>
      <c r="Z48" s="2936"/>
      <c r="AA48" s="2936"/>
      <c r="AB48" s="2936"/>
      <c r="AC48" s="2936"/>
    </row>
    <row r="49" spans="1:29" s="113" customFormat="1" ht="15">
      <c r="A49" s="466"/>
      <c r="B49" s="467"/>
      <c r="C49" s="1309">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2"/>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E17 I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38"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8">
      <c r="A3" s="3301" t="str">
        <f>IF(项目基本情况!B9="房地产市场价值","估价结果一览表（市场价值不需“结果表-1”）","估价结果一览表")</f>
        <v>估价结果一览表</v>
      </c>
      <c r="B3" s="3301"/>
      <c r="C3" s="3301"/>
      <c r="D3" s="3301"/>
      <c r="E3" s="3301"/>
    </row>
    <row r="4" spans="1:5" ht="19.5" thickBot="1">
      <c r="A4" s="1646"/>
      <c r="B4" s="3299" t="s">
        <v>1535</v>
      </c>
      <c r="C4" s="3299"/>
      <c r="D4" s="3299"/>
      <c r="E4" s="1646"/>
    </row>
    <row r="5" spans="1:5" ht="16.5" thickTop="1">
      <c r="A5" s="1644"/>
      <c r="B5" s="3297" t="s">
        <v>1527</v>
      </c>
      <c r="C5" s="1647" t="s">
        <v>1528</v>
      </c>
      <c r="D5" s="958">
        <f ca="1">结果表!H101</f>
        <v>370258</v>
      </c>
      <c r="E5" s="1644"/>
    </row>
    <row r="6" spans="1:5" ht="15.75">
      <c r="A6" s="1644"/>
      <c r="B6" s="3297"/>
      <c r="C6" s="1647" t="s">
        <v>1529</v>
      </c>
      <c r="D6" s="958" t="str">
        <f ca="1">NUMBERSTRING(INT(D5*10000),2)&amp;"元整"</f>
        <v>叁拾柒亿零贰佰伍拾捌万元整</v>
      </c>
      <c r="E6" s="1644"/>
    </row>
    <row r="7" spans="1:5" ht="15.75">
      <c r="A7" s="1644"/>
      <c r="B7" s="3302"/>
      <c r="C7" s="1648" t="s">
        <v>1530</v>
      </c>
      <c r="D7" s="959">
        <f ca="1">结果表!H102</f>
        <v>65508</v>
      </c>
      <c r="E7" s="1644"/>
    </row>
    <row r="8" spans="1:5" ht="15.75">
      <c r="A8" s="1644"/>
      <c r="B8" s="3303" t="str">
        <f>结果表!E103</f>
        <v>2.估价师知悉的法定优先受偿款</v>
      </c>
      <c r="C8" s="1649" t="s">
        <v>1531</v>
      </c>
      <c r="D8" s="959">
        <f>结果表!H103</f>
        <v>0</v>
      </c>
      <c r="E8" s="1644"/>
    </row>
    <row r="9" spans="1:5" ht="15.75">
      <c r="A9" s="1644"/>
      <c r="B9" s="3305"/>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96" t="str">
        <f>结果表!E107</f>
        <v>3.房地产抵押价值</v>
      </c>
      <c r="C13" s="1652" t="s">
        <v>1528</v>
      </c>
      <c r="D13" s="961">
        <f ca="1">结果表!H107</f>
        <v>370258</v>
      </c>
      <c r="E13" s="1644"/>
    </row>
    <row r="14" spans="1:5" ht="15.75">
      <c r="A14" s="1644"/>
      <c r="B14" s="3297"/>
      <c r="C14" s="1647" t="s">
        <v>1529</v>
      </c>
      <c r="D14" s="958" t="str">
        <f ca="1">NUMBERSTRING(INT(D13*10000),2)&amp;"元整"</f>
        <v>叁拾柒亿零贰佰伍拾捌万元整</v>
      </c>
      <c r="E14" s="1644"/>
    </row>
    <row r="15" spans="1:5" ht="15">
      <c r="A15" s="1644"/>
      <c r="B15" s="3302"/>
      <c r="C15" s="1648" t="s">
        <v>1539</v>
      </c>
      <c r="D15" s="967">
        <f ca="1">结果表!H108</f>
        <v>52746</v>
      </c>
      <c r="E15" s="1644"/>
    </row>
    <row r="16" spans="1:5" ht="15">
      <c r="A16" s="1644"/>
      <c r="B16" s="3303" t="str">
        <f>结果表!E109</f>
        <v>——</v>
      </c>
      <c r="C16" s="1652" t="s">
        <v>1540</v>
      </c>
      <c r="D16" s="1653" t="str">
        <f>结果表!H109</f>
        <v>——</v>
      </c>
      <c r="E16" s="1644"/>
    </row>
    <row r="17" spans="1:5" ht="15.75">
      <c r="A17" s="1644"/>
      <c r="B17" s="3304"/>
      <c r="C17" s="1647" t="s">
        <v>1541</v>
      </c>
      <c r="D17" s="958" t="e">
        <f>NUMBERSTRING(INT(D16*10000),2)&amp;"元整"</f>
        <v>#VALUE!</v>
      </c>
      <c r="E17" s="1644"/>
    </row>
    <row r="18" spans="1:5" ht="15">
      <c r="A18" s="1644"/>
      <c r="B18" s="3305"/>
      <c r="C18" s="1648" t="s">
        <v>1530</v>
      </c>
      <c r="D18" s="967" t="str">
        <f>结果表!H110</f>
        <v>——</v>
      </c>
      <c r="E18" s="1644"/>
    </row>
    <row r="19" spans="1:5" ht="15.75">
      <c r="A19" s="1644"/>
      <c r="B19" s="3296" t="str">
        <f>结果表!E111</f>
        <v>4.抵押净值</v>
      </c>
      <c r="C19" s="1652" t="s">
        <v>1528</v>
      </c>
      <c r="D19" s="959">
        <f ca="1">结果表!H111</f>
        <v>327184</v>
      </c>
      <c r="E19" s="1644"/>
    </row>
    <row r="20" spans="1:5" ht="15.75">
      <c r="A20" s="1644"/>
      <c r="B20" s="3297"/>
      <c r="C20" s="1647" t="s">
        <v>1541</v>
      </c>
      <c r="D20" s="958" t="str">
        <f ca="1">NUMBERSTRING(INT(D19*10000),2)&amp;"元整"</f>
        <v>叁拾贰亿柒仟壹佰捌拾肆万元整</v>
      </c>
      <c r="E20" s="1644"/>
    </row>
    <row r="21" spans="1:5" ht="15.75" thickBot="1">
      <c r="A21" s="1644"/>
      <c r="B21" s="3298"/>
      <c r="C21" s="1654" t="s">
        <v>1539</v>
      </c>
      <c r="D21" s="968">
        <f ca="1">结果表!H112</f>
        <v>46610</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2467</v>
      </c>
      <c r="B1" s="1361"/>
      <c r="C1" s="1362" t="s">
        <v>2290</v>
      </c>
      <c r="D1" s="1363"/>
      <c r="E1" s="1372"/>
      <c r="F1" s="2032"/>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IF(C2="——",ROUND(C37*D3/10000,0),ROUND(C37*D3/10000,0)-D2)</f>
        <v>#DIV/0!</v>
      </c>
      <c r="C2" s="2034"/>
      <c r="D2" s="1037" t="e">
        <f ca="1">SUMIF(INDIRECT("'"&amp;F2&amp;"'"&amp;"!A:A"),"承租人权益价值",INDIRECT("'"&amp;F2&amp;"'"&amp;"!c:c"))</f>
        <v>#REF!</v>
      </c>
      <c r="E2" s="2035" t="s">
        <v>2088</v>
      </c>
      <c r="F2" s="2036"/>
      <c r="G2" s="1038"/>
      <c r="H2" s="1038"/>
      <c r="I2" s="1038"/>
      <c r="J2" s="1038"/>
      <c r="K2" s="1040"/>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8"/>
      <c r="F3" s="1039"/>
      <c r="G3" s="1038"/>
      <c r="H3" s="1038"/>
      <c r="I3" s="1038"/>
      <c r="J3" s="1038"/>
      <c r="K3" s="1040"/>
      <c r="L3" s="2929"/>
      <c r="M3" s="2930"/>
      <c r="N3" s="2930"/>
      <c r="O3" s="2930"/>
      <c r="P3" s="708"/>
      <c r="Q3" s="708"/>
      <c r="R3" s="708"/>
      <c r="S3" s="708"/>
      <c r="T3" s="708"/>
      <c r="U3" s="708"/>
      <c r="V3" s="708"/>
      <c r="W3" s="708"/>
      <c r="X3" s="708"/>
      <c r="Y3" s="708"/>
      <c r="Z3" s="708"/>
      <c r="AA3" s="708"/>
      <c r="AB3" s="725"/>
      <c r="AC3" s="722"/>
    </row>
    <row r="4" spans="1:29" ht="15">
      <c r="A4" s="361" t="s">
        <v>2405</v>
      </c>
      <c r="B4" s="362"/>
      <c r="C4" s="3517" t="s">
        <v>2406</v>
      </c>
      <c r="D4" s="3518"/>
      <c r="E4" s="3519" t="s">
        <v>2407</v>
      </c>
      <c r="F4" s="3520"/>
      <c r="G4" s="3517" t="s">
        <v>2408</v>
      </c>
      <c r="H4" s="3518"/>
      <c r="I4" s="3517" t="s">
        <v>2409</v>
      </c>
      <c r="J4" s="3518"/>
      <c r="K4" s="567" t="s">
        <v>2410</v>
      </c>
      <c r="L4" s="2910"/>
      <c r="M4" s="2911"/>
      <c r="N4" s="2911"/>
      <c r="O4" s="2911"/>
      <c r="P4" s="3587" t="s">
        <v>2411</v>
      </c>
      <c r="Q4" s="3588"/>
      <c r="R4" s="3591" t="s">
        <v>2407</v>
      </c>
      <c r="S4" s="3592"/>
      <c r="T4" s="3591" t="s">
        <v>2408</v>
      </c>
      <c r="U4" s="3592"/>
      <c r="V4" s="3534" t="s">
        <v>2409</v>
      </c>
      <c r="W4" s="3534"/>
      <c r="X4" s="1507"/>
      <c r="Y4" s="3591" t="s">
        <v>2411</v>
      </c>
      <c r="Z4" s="3592"/>
      <c r="AA4" s="3586" t="s">
        <v>2407</v>
      </c>
      <c r="AB4" s="3547" t="s">
        <v>2408</v>
      </c>
      <c r="AC4" s="3586" t="s">
        <v>2409</v>
      </c>
    </row>
    <row r="5" spans="1:29" ht="15">
      <c r="A5" s="364"/>
      <c r="B5" s="365"/>
      <c r="C5" s="3543" t="s">
        <v>2302</v>
      </c>
      <c r="D5" s="3538"/>
      <c r="E5" s="3593" t="s">
        <v>2303</v>
      </c>
      <c r="F5" s="3550"/>
      <c r="G5" s="3543" t="s">
        <v>2304</v>
      </c>
      <c r="H5" s="3538"/>
      <c r="I5" s="3543" t="s">
        <v>2305</v>
      </c>
      <c r="J5" s="3538"/>
      <c r="K5" s="567"/>
      <c r="L5" s="2910"/>
      <c r="M5" s="2911"/>
      <c r="N5" s="2911"/>
      <c r="O5" s="2911"/>
      <c r="P5" s="3589"/>
      <c r="Q5" s="3524"/>
      <c r="R5" s="3529"/>
      <c r="S5" s="3530"/>
      <c r="T5" s="3529"/>
      <c r="U5" s="3530"/>
      <c r="V5" s="3534"/>
      <c r="W5" s="3534"/>
      <c r="X5" s="1507"/>
      <c r="Y5" s="3529"/>
      <c r="Z5" s="3530"/>
      <c r="AA5" s="3547"/>
      <c r="AB5" s="3547"/>
      <c r="AC5" s="3547"/>
    </row>
    <row r="6" spans="1:29" ht="15.75" thickBot="1">
      <c r="A6" s="366"/>
      <c r="B6" s="367"/>
      <c r="C6" s="3535" t="s">
        <v>2306</v>
      </c>
      <c r="D6" s="3536"/>
      <c r="E6" s="3544" t="s">
        <v>2306</v>
      </c>
      <c r="F6" s="3545"/>
      <c r="G6" s="3535" t="s">
        <v>2306</v>
      </c>
      <c r="H6" s="3536"/>
      <c r="I6" s="3535" t="s">
        <v>2306</v>
      </c>
      <c r="J6" s="3536"/>
      <c r="K6" s="567" t="s">
        <v>2307</v>
      </c>
      <c r="L6" s="2910"/>
      <c r="M6" s="2911"/>
      <c r="N6" s="2911"/>
      <c r="O6" s="2911"/>
      <c r="P6" s="3590"/>
      <c r="Q6" s="3526"/>
      <c r="R6" s="3529"/>
      <c r="S6" s="3530"/>
      <c r="T6" s="3531"/>
      <c r="U6" s="3532"/>
      <c r="V6" s="3534"/>
      <c r="W6" s="3534"/>
      <c r="X6" s="1507"/>
      <c r="Y6" s="3531"/>
      <c r="Z6" s="3532"/>
      <c r="AA6" s="3548"/>
      <c r="AB6" s="3548"/>
      <c r="AC6" s="3548"/>
    </row>
    <row r="7" spans="1:29" s="113" customFormat="1" ht="15.75" thickBot="1">
      <c r="A7" s="368" t="s">
        <v>2308</v>
      </c>
      <c r="B7" s="369"/>
      <c r="C7" s="370">
        <f>'数据-取费表'!B2</f>
        <v>44665</v>
      </c>
      <c r="D7" s="371">
        <v>100</v>
      </c>
      <c r="E7" s="372"/>
      <c r="F7" s="373">
        <f>SUMIF(46:46,YEAR(E7)&amp;"-"&amp;MONTH(E7),47:47)</f>
        <v>0</v>
      </c>
      <c r="G7" s="2127"/>
      <c r="H7" s="371">
        <f>SUMIF(46:46,YEAR(G7)&amp;"-"&amp;MONTH(G7),47:47)</f>
        <v>0</v>
      </c>
      <c r="I7" s="372"/>
      <c r="J7" s="371">
        <f>SUMIF(46:46,YEAR(I7)&amp;"-"&amp;MONTH(I7),47:47)</f>
        <v>0</v>
      </c>
      <c r="K7" s="568"/>
      <c r="L7" s="2912"/>
      <c r="M7" s="2913"/>
      <c r="N7" s="2913"/>
      <c r="O7" s="2913"/>
      <c r="P7" s="3541" t="s">
        <v>2309</v>
      </c>
      <c r="Q7" s="3542"/>
      <c r="R7" s="710" t="s">
        <v>17</v>
      </c>
      <c r="S7" s="711">
        <f t="shared" ref="S7:S14" si="0">F7</f>
        <v>0</v>
      </c>
      <c r="T7" s="710" t="s">
        <v>17</v>
      </c>
      <c r="U7" s="711">
        <f t="shared" ref="U7:U14" si="1">H7</f>
        <v>0</v>
      </c>
      <c r="V7" s="710" t="s">
        <v>17</v>
      </c>
      <c r="W7" s="711">
        <f t="shared" ref="W7:W14" si="2">J7</f>
        <v>0</v>
      </c>
      <c r="X7" s="712"/>
      <c r="Y7" s="3541" t="s">
        <v>2309</v>
      </c>
      <c r="Z7" s="3540"/>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541" t="s">
        <v>2312</v>
      </c>
      <c r="Q8" s="3540"/>
      <c r="R8" s="710" t="s">
        <v>17</v>
      </c>
      <c r="S8" s="711">
        <f t="shared" si="0"/>
        <v>0</v>
      </c>
      <c r="T8" s="710" t="s">
        <v>17</v>
      </c>
      <c r="U8" s="711">
        <f t="shared" si="1"/>
        <v>0</v>
      </c>
      <c r="V8" s="710" t="s">
        <v>17</v>
      </c>
      <c r="W8" s="711">
        <f t="shared" si="2"/>
        <v>0</v>
      </c>
      <c r="X8" s="712"/>
      <c r="Y8" s="3541" t="s">
        <v>2312</v>
      </c>
      <c r="Z8" s="3540"/>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500" t="s">
        <v>2315</v>
      </c>
      <c r="Q9" s="1495" t="str">
        <f t="shared" ref="Q9:Q14" si="6">B9</f>
        <v>用途</v>
      </c>
      <c r="R9" s="710" t="s">
        <v>17</v>
      </c>
      <c r="S9" s="711">
        <f t="shared" si="0"/>
        <v>100</v>
      </c>
      <c r="T9" s="710" t="s">
        <v>17</v>
      </c>
      <c r="U9" s="711">
        <f t="shared" si="1"/>
        <v>100</v>
      </c>
      <c r="V9" s="710" t="s">
        <v>17</v>
      </c>
      <c r="W9" s="711">
        <f t="shared" si="2"/>
        <v>100</v>
      </c>
      <c r="X9" s="712"/>
      <c r="Y9" s="3400"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500"/>
      <c r="Q10" s="1495"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500"/>
      <c r="Q11" s="1495">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500"/>
      <c r="Q12" s="1495">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7"/>
      <c r="M13" s="2911"/>
      <c r="N13" s="2911"/>
      <c r="O13" s="2969"/>
      <c r="P13" s="3500"/>
      <c r="Q13" s="1495">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
      <c r="A14" s="399" t="s">
        <v>2319</v>
      </c>
      <c r="B14" s="65" t="s">
        <v>2469</v>
      </c>
      <c r="C14" s="212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507" t="s">
        <v>2320</v>
      </c>
      <c r="Q14" s="1504" t="str">
        <f t="shared" si="6"/>
        <v>交通便捷度</v>
      </c>
      <c r="R14" s="714" t="s">
        <v>17</v>
      </c>
      <c r="S14" s="715">
        <f t="shared" si="0"/>
        <v>100</v>
      </c>
      <c r="T14" s="714" t="s">
        <v>17</v>
      </c>
      <c r="U14" s="715">
        <f t="shared" si="1"/>
        <v>100</v>
      </c>
      <c r="V14" s="714" t="s">
        <v>17</v>
      </c>
      <c r="W14" s="715">
        <f t="shared" si="2"/>
        <v>100</v>
      </c>
      <c r="X14" s="1507"/>
      <c r="Y14" s="3507" t="s">
        <v>2320</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7"/>
      <c r="M15" s="2911"/>
      <c r="N15" s="2911"/>
      <c r="O15" s="2969"/>
      <c r="P15" s="3508"/>
      <c r="Q15" s="1504"/>
      <c r="R15" s="714"/>
      <c r="S15" s="715"/>
      <c r="T15" s="714"/>
      <c r="U15" s="715"/>
      <c r="V15" s="714"/>
      <c r="W15" s="715"/>
      <c r="X15" s="1507"/>
      <c r="Y15" s="3508"/>
      <c r="Z15" s="1508"/>
      <c r="AA15" s="1505">
        <v>1</v>
      </c>
      <c r="AB15" s="1505">
        <v>1</v>
      </c>
      <c r="AC15" s="1505">
        <v>1</v>
      </c>
    </row>
    <row r="16" spans="1:29" ht="15">
      <c r="A16" s="387"/>
      <c r="B16" s="410" t="s">
        <v>2448</v>
      </c>
      <c r="C16" s="2053"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508"/>
      <c r="Q16" s="1504" t="str">
        <f>B16</f>
        <v>公共配套设施</v>
      </c>
      <c r="R16" s="714" t="s">
        <v>17</v>
      </c>
      <c r="S16" s="715">
        <f>F16</f>
        <v>100</v>
      </c>
      <c r="T16" s="714" t="s">
        <v>17</v>
      </c>
      <c r="U16" s="715">
        <f>H16</f>
        <v>100</v>
      </c>
      <c r="V16" s="714" t="s">
        <v>17</v>
      </c>
      <c r="W16" s="715">
        <f>J16</f>
        <v>100</v>
      </c>
      <c r="X16" s="1507"/>
      <c r="Y16" s="3508"/>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7"/>
      <c r="M17" s="2911"/>
      <c r="N17" s="2911"/>
      <c r="O17" s="2969"/>
      <c r="P17" s="3508"/>
      <c r="Q17" s="1504"/>
      <c r="R17" s="714"/>
      <c r="S17" s="715"/>
      <c r="T17" s="714"/>
      <c r="U17" s="715"/>
      <c r="V17" s="714"/>
      <c r="W17" s="715"/>
      <c r="X17" s="1507"/>
      <c r="Y17" s="3508"/>
      <c r="Z17" s="1508"/>
      <c r="AA17" s="1505">
        <v>1</v>
      </c>
      <c r="AB17" s="1505">
        <v>1</v>
      </c>
      <c r="AC17" s="1505">
        <v>1</v>
      </c>
    </row>
    <row r="18" spans="1:29" ht="15">
      <c r="A18" s="387"/>
      <c r="B18" s="1264" t="s">
        <v>2449</v>
      </c>
      <c r="C18" s="2053"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508"/>
      <c r="Q18" s="1504" t="str">
        <f>B18</f>
        <v>基础设施水平</v>
      </c>
      <c r="R18" s="714" t="s">
        <v>17</v>
      </c>
      <c r="S18" s="715">
        <f>F18</f>
        <v>100</v>
      </c>
      <c r="T18" s="714" t="s">
        <v>17</v>
      </c>
      <c r="U18" s="715">
        <f>H18</f>
        <v>100</v>
      </c>
      <c r="V18" s="714" t="s">
        <v>17</v>
      </c>
      <c r="W18" s="715">
        <f>J18</f>
        <v>100</v>
      </c>
      <c r="X18" s="1507"/>
      <c r="Y18" s="3508"/>
      <c r="Z18" s="1508" t="str">
        <f>Q18</f>
        <v>基础设施水平</v>
      </c>
      <c r="AA18" s="1505">
        <f t="shared" ref="AA18" si="8">D18/F18</f>
        <v>1</v>
      </c>
      <c r="AB18" s="1505">
        <f t="shared" ref="AB18" si="9">D18/H18</f>
        <v>1</v>
      </c>
      <c r="AC18" s="1505">
        <f t="shared" ref="AC18" si="10">D18/J18</f>
        <v>1</v>
      </c>
    </row>
    <row r="19" spans="1:29" ht="15">
      <c r="A19" s="387"/>
      <c r="B19" s="1264"/>
      <c r="C19" s="2054"/>
      <c r="D19" s="409"/>
      <c r="E19" s="2054"/>
      <c r="F19" s="412"/>
      <c r="G19" s="2054"/>
      <c r="H19" s="407"/>
      <c r="I19" s="406"/>
      <c r="J19" s="407"/>
      <c r="K19" s="1263"/>
      <c r="L19" s="2917"/>
      <c r="M19" s="2911"/>
      <c r="N19" s="2911"/>
      <c r="O19" s="2969"/>
      <c r="P19" s="3508"/>
      <c r="Q19" s="1504"/>
      <c r="R19" s="714"/>
      <c r="S19" s="715"/>
      <c r="T19" s="714"/>
      <c r="U19" s="715"/>
      <c r="V19" s="714"/>
      <c r="W19" s="715"/>
      <c r="X19" s="1507"/>
      <c r="Y19" s="3508"/>
      <c r="Z19" s="1508"/>
      <c r="AA19" s="1505">
        <v>1</v>
      </c>
      <c r="AB19" s="1505">
        <v>1</v>
      </c>
      <c r="AC19" s="1505">
        <v>1</v>
      </c>
    </row>
    <row r="20" spans="1:29" ht="15">
      <c r="A20" s="387"/>
      <c r="B20" s="410" t="s">
        <v>2470</v>
      </c>
      <c r="C20" s="2053"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508"/>
      <c r="Q20" s="1504" t="str">
        <f>B20</f>
        <v>自然及人文环境</v>
      </c>
      <c r="R20" s="714" t="s">
        <v>17</v>
      </c>
      <c r="S20" s="715">
        <f>F20</f>
        <v>100</v>
      </c>
      <c r="T20" s="714" t="s">
        <v>17</v>
      </c>
      <c r="U20" s="715">
        <f>H20</f>
        <v>100</v>
      </c>
      <c r="V20" s="714" t="s">
        <v>17</v>
      </c>
      <c r="W20" s="715">
        <f>J20</f>
        <v>100</v>
      </c>
      <c r="X20" s="1507"/>
      <c r="Y20" s="3508"/>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7"/>
      <c r="M21" s="2911"/>
      <c r="N21" s="2911"/>
      <c r="O21" s="2969"/>
      <c r="P21" s="3508"/>
      <c r="Q21" s="1504"/>
      <c r="R21" s="714"/>
      <c r="S21" s="715"/>
      <c r="T21" s="714"/>
      <c r="U21" s="715"/>
      <c r="V21" s="714"/>
      <c r="W21" s="715"/>
      <c r="X21" s="1507"/>
      <c r="Y21" s="3508"/>
      <c r="Z21" s="1508"/>
      <c r="AA21" s="1505">
        <v>1</v>
      </c>
      <c r="AB21" s="1505">
        <v>1</v>
      </c>
      <c r="AC21" s="1505">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508"/>
      <c r="Q22" s="1504" t="str">
        <f>B22</f>
        <v>楼层</v>
      </c>
      <c r="R22" s="714" t="s">
        <v>17</v>
      </c>
      <c r="S22" s="715">
        <f>F22</f>
        <v>100</v>
      </c>
      <c r="T22" s="714" t="s">
        <v>17</v>
      </c>
      <c r="U22" s="715">
        <f>H22</f>
        <v>100</v>
      </c>
      <c r="V22" s="714" t="s">
        <v>17</v>
      </c>
      <c r="W22" s="715">
        <f>J22</f>
        <v>100</v>
      </c>
      <c r="X22" s="1507"/>
      <c r="Y22" s="3508"/>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508"/>
      <c r="Q23" s="1504">
        <f>B23</f>
        <v>111</v>
      </c>
      <c r="R23" s="714" t="s">
        <v>17</v>
      </c>
      <c r="S23" s="715">
        <f>F23</f>
        <v>100</v>
      </c>
      <c r="T23" s="714" t="s">
        <v>17</v>
      </c>
      <c r="U23" s="715">
        <f>H23</f>
        <v>100</v>
      </c>
      <c r="V23" s="714" t="s">
        <v>17</v>
      </c>
      <c r="W23" s="715">
        <f>J23</f>
        <v>100</v>
      </c>
      <c r="X23" s="1507"/>
      <c r="Y23" s="3508"/>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508"/>
      <c r="Q24" s="1504">
        <f t="shared" ref="Q24:Q34" si="11">B24</f>
        <v>111</v>
      </c>
      <c r="R24" s="714" t="s">
        <v>17</v>
      </c>
      <c r="S24" s="715">
        <f>F24</f>
        <v>100</v>
      </c>
      <c r="T24" s="714" t="s">
        <v>17</v>
      </c>
      <c r="U24" s="715">
        <f>H24</f>
        <v>100</v>
      </c>
      <c r="V24" s="714" t="s">
        <v>17</v>
      </c>
      <c r="W24" s="715">
        <f>J24</f>
        <v>100</v>
      </c>
      <c r="X24" s="1507"/>
      <c r="Y24" s="3508"/>
      <c r="Z24" s="1508">
        <f>Q24</f>
        <v>111</v>
      </c>
      <c r="AA24" s="1505">
        <f t="shared" si="3"/>
        <v>1</v>
      </c>
      <c r="AB24" s="1505">
        <f t="shared" si="4"/>
        <v>1</v>
      </c>
      <c r="AC24" s="1505">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2"/>
      <c r="M25" s="2913"/>
      <c r="N25" s="2913"/>
      <c r="O25" s="2967"/>
      <c r="P25" s="3508"/>
      <c r="Q25" s="1495">
        <f t="shared" si="11"/>
        <v>111</v>
      </c>
      <c r="R25" s="710" t="s">
        <v>17</v>
      </c>
      <c r="S25" s="711">
        <f>F25</f>
        <v>100</v>
      </c>
      <c r="T25" s="710" t="s">
        <v>17</v>
      </c>
      <c r="U25" s="711">
        <f>H25</f>
        <v>100</v>
      </c>
      <c r="V25" s="710" t="s">
        <v>17</v>
      </c>
      <c r="W25" s="711">
        <f>J25</f>
        <v>100</v>
      </c>
      <c r="X25" s="712"/>
      <c r="Y25" s="3508"/>
      <c r="Z25" s="55">
        <f>Q25</f>
        <v>111</v>
      </c>
      <c r="AA25" s="1505">
        <f>D25/F25</f>
        <v>1</v>
      </c>
      <c r="AB25" s="1505">
        <f>D25/H25</f>
        <v>1</v>
      </c>
      <c r="AC25" s="1505">
        <f>D25/J25</f>
        <v>1</v>
      </c>
    </row>
    <row r="26" spans="1:29" ht="28.5">
      <c r="A26" s="425" t="s">
        <v>2323</v>
      </c>
      <c r="B26" s="67" t="s">
        <v>2474</v>
      </c>
      <c r="C26" s="2120"/>
      <c r="D26" s="426">
        <v>100</v>
      </c>
      <c r="E26" s="2120"/>
      <c r="F26" s="623">
        <f>SUMIF(77:77,E26,78:78)-SUMIF(77:77,C26,78:78)+100</f>
        <v>100</v>
      </c>
      <c r="G26" s="2120"/>
      <c r="H26" s="426">
        <f>SUMIF(77:77,G26,78:78)-SUMIF(77:77,C26,78:78)+100</f>
        <v>100</v>
      </c>
      <c r="I26" s="2120"/>
      <c r="J26" s="426">
        <f>SUMIF(77:77,I26,78:78)-SUMIF(77:77,C26,78:78)+100</f>
        <v>100</v>
      </c>
      <c r="K26" s="569"/>
      <c r="L26" s="2917"/>
      <c r="M26" s="2911"/>
      <c r="N26" s="2911"/>
      <c r="O26" s="2969"/>
      <c r="P26" s="3594" t="s">
        <v>2325</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512" t="s">
        <v>2325</v>
      </c>
      <c r="Z26" s="1508" t="str">
        <f t="shared" ref="Z26:Z34" si="15">Q26</f>
        <v>公共部分装修</v>
      </c>
      <c r="AA26" s="1505">
        <f t="shared" si="3"/>
        <v>1</v>
      </c>
      <c r="AB26" s="1505">
        <f t="shared" si="4"/>
        <v>1</v>
      </c>
      <c r="AC26" s="1505">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512"/>
      <c r="Q27" s="716" t="str">
        <f t="shared" si="11"/>
        <v>成新率</v>
      </c>
      <c r="R27" s="717" t="s">
        <v>17</v>
      </c>
      <c r="S27" s="718" t="e">
        <f t="shared" si="12"/>
        <v>#N/A</v>
      </c>
      <c r="T27" s="717" t="s">
        <v>17</v>
      </c>
      <c r="U27" s="718" t="e">
        <f t="shared" si="13"/>
        <v>#N/A</v>
      </c>
      <c r="V27" s="717" t="s">
        <v>17</v>
      </c>
      <c r="W27" s="718" t="e">
        <f t="shared" si="14"/>
        <v>#N/A</v>
      </c>
      <c r="X27" s="719"/>
      <c r="Y27" s="3512"/>
      <c r="Z27" s="720" t="str">
        <f t="shared" si="15"/>
        <v>成新率</v>
      </c>
      <c r="AA27" s="1505" t="e">
        <f t="shared" si="3"/>
        <v>#N/A</v>
      </c>
      <c r="AB27" s="1505" t="e">
        <f t="shared" si="4"/>
        <v>#N/A</v>
      </c>
      <c r="AC27" s="1505"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512"/>
      <c r="Q28" s="1504" t="str">
        <f t="shared" si="11"/>
        <v>物业等级</v>
      </c>
      <c r="R28" s="714" t="s">
        <v>17</v>
      </c>
      <c r="S28" s="715">
        <f t="shared" si="12"/>
        <v>100</v>
      </c>
      <c r="T28" s="714" t="s">
        <v>17</v>
      </c>
      <c r="U28" s="715">
        <f t="shared" si="13"/>
        <v>100</v>
      </c>
      <c r="V28" s="714" t="s">
        <v>17</v>
      </c>
      <c r="W28" s="715">
        <f t="shared" si="14"/>
        <v>100</v>
      </c>
      <c r="X28" s="1507"/>
      <c r="Y28" s="3512"/>
      <c r="Z28" s="1508" t="str">
        <f t="shared" si="15"/>
        <v>物业等级</v>
      </c>
      <c r="AA28" s="1505">
        <f t="shared" si="3"/>
        <v>1</v>
      </c>
      <c r="AB28" s="1505">
        <f t="shared" si="4"/>
        <v>1</v>
      </c>
      <c r="AC28" s="1505">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512"/>
      <c r="Q29" s="1504" t="str">
        <f t="shared" si="11"/>
        <v>有无电梯</v>
      </c>
      <c r="R29" s="714" t="s">
        <v>17</v>
      </c>
      <c r="S29" s="715">
        <f t="shared" si="12"/>
        <v>100</v>
      </c>
      <c r="T29" s="714" t="s">
        <v>17</v>
      </c>
      <c r="U29" s="715">
        <f t="shared" si="13"/>
        <v>100</v>
      </c>
      <c r="V29" s="714" t="s">
        <v>17</v>
      </c>
      <c r="W29" s="715">
        <f t="shared" si="14"/>
        <v>100</v>
      </c>
      <c r="X29" s="1507"/>
      <c r="Y29" s="3512"/>
      <c r="Z29" s="1508" t="str">
        <f t="shared" si="15"/>
        <v>有无电梯</v>
      </c>
      <c r="AA29" s="1505">
        <f t="shared" si="3"/>
        <v>1</v>
      </c>
      <c r="AB29" s="1505">
        <f t="shared" si="4"/>
        <v>1</v>
      </c>
      <c r="AC29" s="1505">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512"/>
      <c r="Q30" s="1504" t="str">
        <f t="shared" si="11"/>
        <v>建筑面积</v>
      </c>
      <c r="R30" s="714" t="s">
        <v>17</v>
      </c>
      <c r="S30" s="715" t="e">
        <f t="shared" si="12"/>
        <v>#N/A</v>
      </c>
      <c r="T30" s="714" t="s">
        <v>17</v>
      </c>
      <c r="U30" s="715" t="e">
        <f t="shared" si="13"/>
        <v>#N/A</v>
      </c>
      <c r="V30" s="714" t="s">
        <v>17</v>
      </c>
      <c r="W30" s="715" t="e">
        <f t="shared" si="14"/>
        <v>#N/A</v>
      </c>
      <c r="X30" s="1507"/>
      <c r="Y30" s="3512"/>
      <c r="Z30" s="1508" t="str">
        <f t="shared" si="15"/>
        <v>建筑面积</v>
      </c>
      <c r="AA30" s="1505" t="e">
        <f t="shared" si="3"/>
        <v>#N/A</v>
      </c>
      <c r="AB30" s="1505" t="e">
        <f t="shared" si="4"/>
        <v>#N/A</v>
      </c>
      <c r="AC30" s="1505"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512"/>
      <c r="Q31" s="1495" t="str">
        <f t="shared" si="11"/>
        <v>是否封闭</v>
      </c>
      <c r="R31" s="710" t="s">
        <v>17</v>
      </c>
      <c r="S31" s="711">
        <f t="shared" si="12"/>
        <v>100</v>
      </c>
      <c r="T31" s="710" t="s">
        <v>17</v>
      </c>
      <c r="U31" s="711">
        <f t="shared" si="13"/>
        <v>100</v>
      </c>
      <c r="V31" s="710" t="s">
        <v>17</v>
      </c>
      <c r="W31" s="711">
        <f t="shared" si="14"/>
        <v>100</v>
      </c>
      <c r="X31" s="712"/>
      <c r="Y31" s="3512"/>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512" t="s">
        <v>2325</v>
      </c>
      <c r="Q32" s="1504">
        <f t="shared" si="11"/>
        <v>111</v>
      </c>
      <c r="R32" s="714" t="s">
        <v>17</v>
      </c>
      <c r="S32" s="715">
        <f t="shared" si="12"/>
        <v>100</v>
      </c>
      <c r="T32" s="714" t="s">
        <v>17</v>
      </c>
      <c r="U32" s="715">
        <f t="shared" si="13"/>
        <v>100</v>
      </c>
      <c r="V32" s="714" t="s">
        <v>17</v>
      </c>
      <c r="W32" s="715">
        <f t="shared" si="14"/>
        <v>100</v>
      </c>
      <c r="X32" s="1507"/>
      <c r="Y32" s="3512" t="s">
        <v>2325</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512"/>
      <c r="Q33" s="1504">
        <f t="shared" si="11"/>
        <v>111</v>
      </c>
      <c r="R33" s="714" t="s">
        <v>17</v>
      </c>
      <c r="S33" s="715">
        <f t="shared" si="12"/>
        <v>100</v>
      </c>
      <c r="T33" s="714" t="s">
        <v>17</v>
      </c>
      <c r="U33" s="715">
        <f t="shared" si="13"/>
        <v>100</v>
      </c>
      <c r="V33" s="714" t="s">
        <v>17</v>
      </c>
      <c r="W33" s="715">
        <f t="shared" si="14"/>
        <v>100</v>
      </c>
      <c r="X33" s="1507"/>
      <c r="Y33" s="3512"/>
      <c r="Z33" s="1508">
        <f t="shared" si="15"/>
        <v>111</v>
      </c>
      <c r="AA33" s="1505">
        <f t="shared" si="3"/>
        <v>1</v>
      </c>
      <c r="AB33" s="1505">
        <f t="shared" si="4"/>
        <v>1</v>
      </c>
      <c r="AC33" s="1505">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7"/>
      <c r="M34" s="2911"/>
      <c r="N34" s="2911"/>
      <c r="O34" s="2969"/>
      <c r="P34" s="3512"/>
      <c r="Q34" s="1504">
        <f t="shared" si="11"/>
        <v>111</v>
      </c>
      <c r="R34" s="714" t="s">
        <v>17</v>
      </c>
      <c r="S34" s="715">
        <f t="shared" si="12"/>
        <v>100</v>
      </c>
      <c r="T34" s="714" t="s">
        <v>17</v>
      </c>
      <c r="U34" s="715">
        <f t="shared" si="13"/>
        <v>100</v>
      </c>
      <c r="V34" s="714" t="s">
        <v>17</v>
      </c>
      <c r="W34" s="715">
        <f t="shared" si="14"/>
        <v>100</v>
      </c>
      <c r="X34" s="1507"/>
      <c r="Y34" s="3512"/>
      <c r="Z34" s="1508">
        <f t="shared" si="15"/>
        <v>111</v>
      </c>
      <c r="AA34" s="1505">
        <f t="shared" si="3"/>
        <v>1</v>
      </c>
      <c r="AB34" s="1505">
        <f t="shared" si="4"/>
        <v>1</v>
      </c>
      <c r="AC34" s="1505">
        <f t="shared" si="5"/>
        <v>1</v>
      </c>
    </row>
    <row r="35" spans="1:30" ht="15">
      <c r="A35" s="438" t="s">
        <v>2337</v>
      </c>
      <c r="B35" s="439"/>
      <c r="C35" s="1286" t="s">
        <v>1</v>
      </c>
      <c r="D35" s="1287"/>
      <c r="E35" s="1288"/>
      <c r="F35" s="1289"/>
      <c r="G35" s="1290"/>
      <c r="H35" s="1291"/>
      <c r="I35" s="1288"/>
      <c r="J35" s="1291"/>
      <c r="K35" s="723"/>
      <c r="L35" s="2919"/>
      <c r="M35" s="2920"/>
      <c r="N35" s="2911"/>
      <c r="O35" s="2920"/>
      <c r="P35" s="3500" t="str">
        <f>A35</f>
        <v>成交单价（元/平方米）</v>
      </c>
      <c r="Q35" s="3500"/>
      <c r="R35" s="3501">
        <f>E35</f>
        <v>0</v>
      </c>
      <c r="S35" s="3501"/>
      <c r="T35" s="3501">
        <f>G35</f>
        <v>0</v>
      </c>
      <c r="U35" s="3501"/>
      <c r="V35" s="3501">
        <f>I35</f>
        <v>0</v>
      </c>
      <c r="W35" s="3501"/>
      <c r="X35" s="699"/>
      <c r="Y35" s="721"/>
      <c r="Z35" s="699"/>
      <c r="AA35" s="699"/>
      <c r="AB35" s="699"/>
      <c r="AC35" s="699"/>
    </row>
    <row r="36" spans="1:30" ht="15.75" thickBot="1">
      <c r="A36" s="445" t="s">
        <v>2429</v>
      </c>
      <c r="B36" s="446"/>
      <c r="C36" s="1292" t="e">
        <f>R37</f>
        <v>#DIV/0!</v>
      </c>
      <c r="D36" s="2505" t="s">
        <v>2819</v>
      </c>
      <c r="E36" s="1293" t="e">
        <f>R36</f>
        <v>#DIV/0!</v>
      </c>
      <c r="F36" s="2506"/>
      <c r="G36" s="1292" t="e">
        <f>T36</f>
        <v>#DIV/0!</v>
      </c>
      <c r="H36" s="2506"/>
      <c r="I36" s="1293" t="e">
        <f>V36</f>
        <v>#DIV/0!</v>
      </c>
      <c r="J36" s="2506"/>
      <c r="K36" s="2508">
        <f>F36+H36+J36</f>
        <v>0</v>
      </c>
      <c r="L36" s="2919"/>
      <c r="M36" s="2920"/>
      <c r="N36" s="2911"/>
      <c r="O36" s="2920"/>
      <c r="P36" s="3500" t="str">
        <f>A36</f>
        <v>比较价值（元/平方米）</v>
      </c>
      <c r="Q36" s="35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699"/>
      <c r="Y36" s="699"/>
      <c r="Z36" s="699"/>
      <c r="AA36" s="699"/>
      <c r="AB36" s="699"/>
      <c r="AC36" s="699"/>
    </row>
    <row r="37" spans="1:30" ht="15.75" thickBot="1">
      <c r="A37" s="449" t="s">
        <v>2430</v>
      </c>
      <c r="B37" s="450"/>
      <c r="C37" s="1295" t="e">
        <f>R37</f>
        <v>#DIV/0!</v>
      </c>
      <c r="D37" s="1295"/>
      <c r="E37" s="1295"/>
      <c r="F37" s="1295"/>
      <c r="G37" s="1295"/>
      <c r="H37" s="1295"/>
      <c r="I37" s="1295"/>
      <c r="J37" s="1295"/>
      <c r="K37" s="724"/>
      <c r="L37" s="2919"/>
      <c r="M37" s="2920"/>
      <c r="N37" s="2920"/>
      <c r="O37" s="2920"/>
      <c r="P37" s="3583" t="str">
        <f>A37</f>
        <v>估价对象XX用房的比较价值（楼面单价，元/平方米）</v>
      </c>
      <c r="Q37" s="3584"/>
      <c r="R37" s="3595" t="e">
        <f>IF(F1="售价",ROUND(IF(D36="简单平均",AVERAGE(R36:W36),R36*F36+T36*H36+V36*J36),0),ROUND(IF(D36="简单平均",AVERAGE(R36:V36),R36*F36+T36*H36+V36*J36),1))</f>
        <v>#DIV/0!</v>
      </c>
      <c r="S37" s="3595"/>
      <c r="T37" s="3595"/>
      <c r="U37" s="3595"/>
      <c r="V37" s="3595"/>
      <c r="W37" s="3595"/>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6" t="str">
        <f>YEAR(C7)&amp;"-"&amp;MONTH(C7)</f>
        <v>2022-4</v>
      </c>
      <c r="D46" s="1317">
        <f>EDATE(C46,-1)</f>
        <v>44621</v>
      </c>
      <c r="E46" s="1317">
        <f t="shared" ref="E46:O46" si="16">EDATE(D46,-1)</f>
        <v>44593</v>
      </c>
      <c r="F46" s="1317">
        <f t="shared" si="16"/>
        <v>44562</v>
      </c>
      <c r="G46" s="1317">
        <f t="shared" si="16"/>
        <v>44531</v>
      </c>
      <c r="H46" s="1317">
        <f t="shared" si="16"/>
        <v>44501</v>
      </c>
      <c r="I46" s="1317">
        <f t="shared" si="16"/>
        <v>44470</v>
      </c>
      <c r="J46" s="1317">
        <f t="shared" si="16"/>
        <v>44440</v>
      </c>
      <c r="K46" s="1317">
        <f t="shared" si="16"/>
        <v>44409</v>
      </c>
      <c r="L46" s="1317">
        <f t="shared" si="16"/>
        <v>44378</v>
      </c>
      <c r="M46" s="1317">
        <f t="shared" si="16"/>
        <v>44348</v>
      </c>
      <c r="N46" s="1317">
        <f t="shared" si="16"/>
        <v>44317</v>
      </c>
      <c r="O46" s="1317">
        <f t="shared" si="16"/>
        <v>44287</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5">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2"/>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6"/>
      <c r="B98" s="1066"/>
      <c r="C98" s="1066"/>
      <c r="D98" s="1066"/>
      <c r="E98" s="1066"/>
      <c r="F98" s="1066"/>
      <c r="G98" s="1066"/>
      <c r="H98" s="1066"/>
      <c r="I98" s="1066"/>
      <c r="J98" s="1066"/>
      <c r="K98" s="1067"/>
      <c r="L98" s="1068"/>
      <c r="M98" s="1066"/>
      <c r="N98" s="2920"/>
      <c r="O98" s="2920"/>
      <c r="P98" s="2920"/>
      <c r="Q98" s="2920"/>
      <c r="R98" s="2920"/>
      <c r="S98" s="2920"/>
      <c r="T98" s="2920"/>
      <c r="U98" s="2920"/>
      <c r="V98" s="2920"/>
      <c r="W98" s="2920"/>
      <c r="X98" s="2920"/>
      <c r="Y98" s="2920"/>
      <c r="Z98" s="2920"/>
      <c r="AA98" s="2920"/>
      <c r="AB98" s="2920"/>
      <c r="AC98" s="2920"/>
      <c r="AD98" s="2920"/>
    </row>
    <row r="99" spans="1:30">
      <c r="A99" s="1066"/>
      <c r="B99" s="1066"/>
      <c r="C99" s="1066"/>
      <c r="D99" s="1066"/>
      <c r="E99" s="1066"/>
      <c r="F99" s="1066"/>
      <c r="G99" s="1066"/>
      <c r="H99" s="1066"/>
      <c r="I99" s="1066"/>
      <c r="J99" s="1066"/>
      <c r="K99" s="1067"/>
      <c r="L99" s="1068"/>
      <c r="M99" s="1066"/>
      <c r="N99" s="2920"/>
      <c r="O99" s="2920"/>
      <c r="P99" s="2920"/>
      <c r="Q99" s="2920"/>
      <c r="R99" s="2920"/>
      <c r="S99" s="2920"/>
      <c r="T99" s="2920"/>
      <c r="U99" s="2920"/>
      <c r="V99" s="2920"/>
      <c r="W99" s="2920"/>
      <c r="X99" s="2920"/>
      <c r="Y99" s="2920"/>
      <c r="Z99" s="2920"/>
      <c r="AA99" s="2920"/>
      <c r="AB99" s="2920"/>
      <c r="AC99" s="2920"/>
      <c r="AD99" s="2920"/>
    </row>
    <row r="100" spans="1:30">
      <c r="A100" s="1066"/>
      <c r="B100" s="1066"/>
      <c r="C100" s="1066"/>
      <c r="D100" s="1066"/>
      <c r="E100" s="1066"/>
      <c r="F100" s="1066"/>
      <c r="G100" s="1066"/>
      <c r="H100" s="1066"/>
      <c r="I100" s="1066"/>
      <c r="J100" s="1066"/>
      <c r="K100" s="1067"/>
      <c r="L100" s="1068"/>
      <c r="M100" s="1066"/>
      <c r="N100" s="2920"/>
      <c r="O100" s="2920"/>
      <c r="P100" s="2920"/>
      <c r="Q100" s="2920"/>
      <c r="R100" s="2920"/>
      <c r="S100" s="2920"/>
      <c r="T100" s="2920"/>
      <c r="U100" s="2920"/>
      <c r="V100" s="2920"/>
      <c r="W100" s="2920"/>
      <c r="X100" s="2920"/>
      <c r="Y100" s="2920"/>
      <c r="Z100" s="2920"/>
      <c r="AA100" s="2920"/>
      <c r="AB100" s="2920"/>
      <c r="AC100" s="2920"/>
      <c r="AD100" s="2920"/>
    </row>
    <row r="101" spans="1:30">
      <c r="A101" s="1066"/>
      <c r="B101" s="1066"/>
      <c r="C101" s="1066"/>
      <c r="D101" s="1066"/>
      <c r="E101" s="1066"/>
      <c r="F101" s="1066"/>
      <c r="G101" s="1066"/>
      <c r="H101" s="1066"/>
      <c r="I101" s="1066"/>
      <c r="J101" s="1066"/>
      <c r="K101" s="1067"/>
      <c r="L101" s="1068"/>
      <c r="M101" s="1066"/>
      <c r="N101" s="2920"/>
      <c r="O101" s="2920"/>
      <c r="P101" s="2920"/>
      <c r="Q101" s="2920"/>
      <c r="R101" s="2920"/>
      <c r="S101" s="2920"/>
      <c r="T101" s="2920"/>
      <c r="U101" s="2920"/>
      <c r="V101" s="2920"/>
      <c r="W101" s="2920"/>
      <c r="X101" s="2920"/>
      <c r="Y101" s="2920"/>
      <c r="Z101" s="2920"/>
      <c r="AA101" s="2920"/>
      <c r="AB101" s="2920"/>
      <c r="AC101" s="2920"/>
      <c r="AD101" s="2920"/>
    </row>
    <row r="102" spans="1:30">
      <c r="A102" s="1066"/>
      <c r="B102" s="1066"/>
      <c r="C102" s="1066"/>
      <c r="D102" s="1066"/>
      <c r="E102" s="1066"/>
      <c r="F102" s="1066"/>
      <c r="G102" s="1066"/>
      <c r="H102" s="1066"/>
      <c r="I102" s="1066"/>
      <c r="J102" s="1066"/>
      <c r="K102" s="1067"/>
      <c r="L102" s="1068"/>
      <c r="M102" s="1066"/>
      <c r="N102" s="2920"/>
      <c r="O102" s="2920"/>
      <c r="P102" s="2920"/>
      <c r="Q102" s="2920"/>
      <c r="R102" s="2920"/>
      <c r="S102" s="2920"/>
      <c r="T102" s="2920"/>
      <c r="U102" s="2920"/>
      <c r="V102" s="2920"/>
      <c r="W102" s="2920"/>
      <c r="X102" s="2920"/>
      <c r="Y102" s="2920"/>
      <c r="Z102" s="2920"/>
      <c r="AA102" s="2920"/>
      <c r="AB102" s="2920"/>
      <c r="AC102" s="2920"/>
      <c r="AD102" s="2920"/>
    </row>
    <row r="103" spans="1:30">
      <c r="A103" s="1066"/>
      <c r="B103" s="1066"/>
      <c r="C103" s="1066"/>
      <c r="D103" s="1066"/>
      <c r="E103" s="1066"/>
      <c r="F103" s="1066"/>
      <c r="G103" s="1066"/>
      <c r="H103" s="1066"/>
      <c r="I103" s="1066"/>
      <c r="J103" s="1066"/>
      <c r="K103" s="1067"/>
      <c r="L103" s="1068"/>
      <c r="M103" s="1066"/>
      <c r="N103" s="1066"/>
      <c r="O103" s="1066"/>
      <c r="P103" s="2920"/>
      <c r="Q103" s="2920"/>
      <c r="R103" s="2920"/>
      <c r="S103" s="2920"/>
      <c r="T103" s="2920"/>
      <c r="U103" s="2920"/>
      <c r="V103" s="2920"/>
      <c r="W103" s="2920"/>
      <c r="X103" s="2920"/>
      <c r="Y103" s="2920"/>
      <c r="Z103" s="2920"/>
      <c r="AA103" s="2920"/>
      <c r="AB103" s="2920"/>
      <c r="AC103" s="2920"/>
      <c r="AD103" s="2920"/>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C2" xr:uid="{00000000-0002-0000-2700-00000F000000}">
      <formula1>"需扣减承租人权益,——"</formula1>
    </dataValidation>
    <dataValidation type="list" allowBlank="1" showInputMessage="1" showErrorMessage="1" sqref="F2" xr:uid="{00000000-0002-0000-2700-000010000000}">
      <formula1>估价方法</formula1>
    </dataValidation>
    <dataValidation type="list" allowBlank="1" showInputMessage="1" showErrorMessage="1" sqref="D36"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F7" sqref="C7:Q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8"/>
      <c r="D2" s="1038"/>
      <c r="E2" s="1038"/>
      <c r="F2" s="1039"/>
      <c r="G2" s="1038"/>
      <c r="H2" s="1038"/>
      <c r="I2" s="1038"/>
      <c r="J2" s="1038"/>
      <c r="K2" s="1040"/>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5"/>
      <c r="E3" s="1038"/>
      <c r="F3" s="1039"/>
      <c r="G3" s="1038"/>
      <c r="H3" s="1038"/>
      <c r="I3" s="1038"/>
      <c r="J3" s="1038"/>
      <c r="K3" s="1040"/>
      <c r="L3" s="2929"/>
      <c r="M3" s="2930"/>
      <c r="N3" s="2930"/>
      <c r="O3" s="2930"/>
      <c r="P3" s="708"/>
      <c r="Q3" s="708"/>
      <c r="R3" s="708"/>
      <c r="S3" s="708"/>
      <c r="T3" s="708"/>
      <c r="U3" s="708"/>
      <c r="V3" s="708"/>
      <c r="W3" s="708"/>
      <c r="X3" s="708"/>
      <c r="Y3" s="708"/>
      <c r="Z3" s="708"/>
      <c r="AA3" s="708"/>
      <c r="AB3" s="725"/>
      <c r="AC3" s="722"/>
    </row>
    <row r="4" spans="1:29" ht="15">
      <c r="A4" s="361" t="s">
        <v>2405</v>
      </c>
      <c r="B4" s="362"/>
      <c r="C4" s="3517" t="s">
        <v>2406</v>
      </c>
      <c r="D4" s="3518"/>
      <c r="E4" s="3519" t="s">
        <v>2407</v>
      </c>
      <c r="F4" s="3520"/>
      <c r="G4" s="3517" t="s">
        <v>2408</v>
      </c>
      <c r="H4" s="3518"/>
      <c r="I4" s="3517" t="s">
        <v>2409</v>
      </c>
      <c r="J4" s="3518"/>
      <c r="K4" s="567" t="s">
        <v>2410</v>
      </c>
      <c r="L4" s="2910"/>
      <c r="M4" s="2911"/>
      <c r="N4" s="2911"/>
      <c r="O4" s="2911"/>
      <c r="P4" s="3587" t="s">
        <v>2411</v>
      </c>
      <c r="Q4" s="3588"/>
      <c r="R4" s="3591" t="s">
        <v>2407</v>
      </c>
      <c r="S4" s="3592"/>
      <c r="T4" s="3591" t="s">
        <v>2408</v>
      </c>
      <c r="U4" s="3592"/>
      <c r="V4" s="3534" t="s">
        <v>2409</v>
      </c>
      <c r="W4" s="3534"/>
      <c r="X4" s="1507"/>
      <c r="Y4" s="3591" t="s">
        <v>2411</v>
      </c>
      <c r="Z4" s="3592"/>
      <c r="AA4" s="3586" t="s">
        <v>2407</v>
      </c>
      <c r="AB4" s="3547" t="s">
        <v>2408</v>
      </c>
      <c r="AC4" s="3586" t="s">
        <v>2409</v>
      </c>
    </row>
    <row r="5" spans="1:29" ht="15">
      <c r="A5" s="364"/>
      <c r="B5" s="365"/>
      <c r="C5" s="3543" t="s">
        <v>2302</v>
      </c>
      <c r="D5" s="3538"/>
      <c r="E5" s="3593" t="s">
        <v>2303</v>
      </c>
      <c r="F5" s="3550"/>
      <c r="G5" s="3543" t="s">
        <v>2304</v>
      </c>
      <c r="H5" s="3538"/>
      <c r="I5" s="3543" t="s">
        <v>2305</v>
      </c>
      <c r="J5" s="3538"/>
      <c r="K5" s="567"/>
      <c r="L5" s="2910"/>
      <c r="M5" s="2911"/>
      <c r="N5" s="2911"/>
      <c r="O5" s="2911"/>
      <c r="P5" s="3589"/>
      <c r="Q5" s="3524"/>
      <c r="R5" s="3529"/>
      <c r="S5" s="3530"/>
      <c r="T5" s="3529"/>
      <c r="U5" s="3530"/>
      <c r="V5" s="3534"/>
      <c r="W5" s="3534"/>
      <c r="X5" s="1507"/>
      <c r="Y5" s="3529"/>
      <c r="Z5" s="3530"/>
      <c r="AA5" s="3547"/>
      <c r="AB5" s="3547"/>
      <c r="AC5" s="3547"/>
    </row>
    <row r="6" spans="1:29" ht="15.75" thickBot="1">
      <c r="A6" s="366"/>
      <c r="B6" s="367"/>
      <c r="C6" s="3598" t="s">
        <v>2556</v>
      </c>
      <c r="D6" s="3599"/>
      <c r="E6" s="3600" t="s">
        <v>2556</v>
      </c>
      <c r="F6" s="3601"/>
      <c r="G6" s="3598" t="s">
        <v>2556</v>
      </c>
      <c r="H6" s="3599"/>
      <c r="I6" s="3598" t="s">
        <v>2556</v>
      </c>
      <c r="J6" s="3599"/>
      <c r="K6" s="567" t="s">
        <v>2307</v>
      </c>
      <c r="L6" s="2910"/>
      <c r="M6" s="2911"/>
      <c r="N6" s="2911"/>
      <c r="O6" s="2911"/>
      <c r="P6" s="3590"/>
      <c r="Q6" s="3526"/>
      <c r="R6" s="3529"/>
      <c r="S6" s="3530"/>
      <c r="T6" s="3531"/>
      <c r="U6" s="3532"/>
      <c r="V6" s="3534"/>
      <c r="W6" s="3534"/>
      <c r="X6" s="1507"/>
      <c r="Y6" s="3531"/>
      <c r="Z6" s="3532"/>
      <c r="AA6" s="3548"/>
      <c r="AB6" s="3548"/>
      <c r="AC6" s="3548"/>
    </row>
    <row r="7" spans="1:29" s="113" customFormat="1" ht="15.75" thickBot="1">
      <c r="A7" s="368" t="s">
        <v>2308</v>
      </c>
      <c r="B7" s="369"/>
      <c r="C7" s="370">
        <f>'数据-取费表'!B2</f>
        <v>44665</v>
      </c>
      <c r="D7" s="371">
        <v>100</v>
      </c>
      <c r="E7" s="372"/>
      <c r="F7" s="373">
        <f>SUMIF(65:65,YEAR(E7)&amp;"-"&amp;INT((MONTH(E7)+2)/3),66:66)</f>
        <v>0</v>
      </c>
      <c r="G7" s="2127"/>
      <c r="H7" s="371">
        <f>SUMIF(65:65,YEAR(G7)&amp;"-"&amp;INT((MONTH(G7)+2)/3),66:66)</f>
        <v>0</v>
      </c>
      <c r="I7" s="2127"/>
      <c r="J7" s="371">
        <f>SUMIF(65:65,YEAR(I7)&amp;"-"&amp;INT((MONTH(I7)+2)/3),66:66)</f>
        <v>0</v>
      </c>
      <c r="K7" s="568"/>
      <c r="L7" s="2912"/>
      <c r="M7" s="2913"/>
      <c r="N7" s="2913"/>
      <c r="O7" s="2913"/>
      <c r="P7" s="3541" t="s">
        <v>2309</v>
      </c>
      <c r="Q7" s="3542"/>
      <c r="R7" s="710" t="s">
        <v>17</v>
      </c>
      <c r="S7" s="711">
        <f t="shared" ref="S7:S15" si="0">F7</f>
        <v>0</v>
      </c>
      <c r="T7" s="710" t="s">
        <v>17</v>
      </c>
      <c r="U7" s="711">
        <f t="shared" ref="U7:U15" si="1">H7</f>
        <v>0</v>
      </c>
      <c r="V7" s="710" t="s">
        <v>17</v>
      </c>
      <c r="W7" s="711">
        <f t="shared" ref="W7:W15" si="2">J7</f>
        <v>0</v>
      </c>
      <c r="X7" s="712"/>
      <c r="Y7" s="3541" t="s">
        <v>2309</v>
      </c>
      <c r="Z7" s="3540"/>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541" t="s">
        <v>2312</v>
      </c>
      <c r="Q8" s="3540"/>
      <c r="R8" s="710" t="s">
        <v>17</v>
      </c>
      <c r="S8" s="711">
        <f t="shared" si="0"/>
        <v>0</v>
      </c>
      <c r="T8" s="710" t="s">
        <v>17</v>
      </c>
      <c r="U8" s="711">
        <f t="shared" si="1"/>
        <v>0</v>
      </c>
      <c r="V8" s="710" t="s">
        <v>17</v>
      </c>
      <c r="W8" s="711">
        <f t="shared" si="2"/>
        <v>0</v>
      </c>
      <c r="X8" s="712"/>
      <c r="Y8" s="3541" t="s">
        <v>2312</v>
      </c>
      <c r="Z8" s="3540"/>
      <c r="AA8" s="713" t="e">
        <f t="shared" ref="AA8:AA40" si="3">D8/F8</f>
        <v>#DIV/0!</v>
      </c>
      <c r="AB8" s="713" t="e">
        <f t="shared" ref="AB8:AB40" si="4">D8/H8</f>
        <v>#DIV/0!</v>
      </c>
      <c r="AC8" s="713" t="e">
        <f t="shared" ref="AC8:AC40" si="5">D8/J8</f>
        <v>#DIV/0!</v>
      </c>
    </row>
    <row r="9" spans="1:29" s="113" customFormat="1">
      <c r="A9" s="375" t="s">
        <v>2313</v>
      </c>
      <c r="B9" s="67" t="s">
        <v>2314</v>
      </c>
      <c r="C9" s="2130"/>
      <c r="D9" s="131">
        <v>100</v>
      </c>
      <c r="E9" s="2130"/>
      <c r="F9" s="131">
        <f>SUMIF(70:70,E9,71:71)-SUMIF(70:70,C9,71:71)+100</f>
        <v>100</v>
      </c>
      <c r="G9" s="2130"/>
      <c r="H9" s="131">
        <f>SUMIF(70:70,G9,71:71)-SUMIF(70:70,C9,71:71)+100</f>
        <v>100</v>
      </c>
      <c r="I9" s="2130"/>
      <c r="J9" s="131">
        <f>SUMIF(70:70,I9,71:71)-SUMIF(70:70,C9,71:71)+100</f>
        <v>100</v>
      </c>
      <c r="K9" s="568"/>
      <c r="L9" s="2912"/>
      <c r="M9" s="2913"/>
      <c r="N9" s="2913"/>
      <c r="O9" s="2967"/>
      <c r="P9" s="3500" t="s">
        <v>2315</v>
      </c>
      <c r="Q9" s="1495"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111</v>
      </c>
      <c r="G10" s="391"/>
      <c r="H10" s="132">
        <f>ROUND(100/'数据-取费表'!G16,0)</f>
        <v>111</v>
      </c>
      <c r="I10" s="391"/>
      <c r="J10" s="132">
        <f>ROUND(100/'数据-取费表'!G16,0)</f>
        <v>111</v>
      </c>
      <c r="K10" s="628"/>
      <c r="L10" s="2914"/>
      <c r="M10" s="2915"/>
      <c r="N10" s="2915"/>
      <c r="O10" s="2968"/>
      <c r="P10" s="3500"/>
      <c r="Q10" s="1495" t="str">
        <f t="shared" si="6"/>
        <v>土地使用年限（年）</v>
      </c>
      <c r="R10" s="710" t="s">
        <v>17</v>
      </c>
      <c r="S10" s="711">
        <f t="shared" si="0"/>
        <v>111</v>
      </c>
      <c r="T10" s="710" t="s">
        <v>17</v>
      </c>
      <c r="U10" s="711">
        <f t="shared" si="1"/>
        <v>111</v>
      </c>
      <c r="V10" s="710" t="s">
        <v>17</v>
      </c>
      <c r="W10" s="711">
        <f t="shared" si="2"/>
        <v>111</v>
      </c>
      <c r="X10" s="712"/>
      <c r="Y10" s="3400"/>
      <c r="Z10" s="55" t="str">
        <f t="shared" si="7"/>
        <v>土地使用年限（年）</v>
      </c>
      <c r="AA10" s="713">
        <f t="shared" si="3"/>
        <v>0.90090090090090091</v>
      </c>
      <c r="AB10" s="713">
        <f t="shared" si="4"/>
        <v>0.90090090090090091</v>
      </c>
      <c r="AC10" s="713">
        <f t="shared" si="5"/>
        <v>0.90090090090090091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500"/>
      <c r="Q11" s="1495"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500"/>
      <c r="Q12" s="1495">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500"/>
      <c r="Q13" s="1495">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500"/>
      <c r="Q14" s="1495">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2319</v>
      </c>
      <c r="B15" s="585" t="s">
        <v>2557</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507" t="s">
        <v>2320</v>
      </c>
      <c r="Q15" s="1504" t="str">
        <f t="shared" si="6"/>
        <v>产业集聚程度</v>
      </c>
      <c r="R15" s="714" t="s">
        <v>17</v>
      </c>
      <c r="S15" s="715">
        <f t="shared" si="0"/>
        <v>100</v>
      </c>
      <c r="T15" s="714" t="s">
        <v>17</v>
      </c>
      <c r="U15" s="715">
        <f t="shared" si="1"/>
        <v>100</v>
      </c>
      <c r="V15" s="714" t="s">
        <v>17</v>
      </c>
      <c r="W15" s="715">
        <f t="shared" si="2"/>
        <v>100</v>
      </c>
      <c r="X15" s="1507"/>
      <c r="Y15" s="3507" t="s">
        <v>2320</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7"/>
      <c r="M16" s="2911"/>
      <c r="N16" s="2911"/>
      <c r="O16" s="2969"/>
      <c r="P16" s="3508"/>
      <c r="Q16" s="1504"/>
      <c r="R16" s="714"/>
      <c r="S16" s="715"/>
      <c r="T16" s="714"/>
      <c r="U16" s="715"/>
      <c r="V16" s="714"/>
      <c r="W16" s="715"/>
      <c r="X16" s="1507"/>
      <c r="Y16" s="3508"/>
      <c r="Z16" s="1508"/>
      <c r="AA16" s="1505">
        <v>1</v>
      </c>
      <c r="AB16" s="1505">
        <v>1</v>
      </c>
      <c r="AC16" s="1505">
        <v>1</v>
      </c>
    </row>
    <row r="17" spans="1:29" ht="85.5">
      <c r="A17" s="387"/>
      <c r="B17" s="587" t="s">
        <v>2469</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508"/>
      <c r="Q17" s="1504" t="str">
        <f>B17</f>
        <v>交通便捷度</v>
      </c>
      <c r="R17" s="714" t="s">
        <v>17</v>
      </c>
      <c r="S17" s="715">
        <f>F17</f>
        <v>100</v>
      </c>
      <c r="T17" s="714" t="s">
        <v>17</v>
      </c>
      <c r="U17" s="715">
        <f>H17</f>
        <v>100</v>
      </c>
      <c r="V17" s="714" t="s">
        <v>17</v>
      </c>
      <c r="W17" s="715">
        <f>J17</f>
        <v>100</v>
      </c>
      <c r="X17" s="1507"/>
      <c r="Y17" s="3508"/>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7"/>
      <c r="M18" s="2911"/>
      <c r="N18" s="2911"/>
      <c r="O18" s="2969"/>
      <c r="P18" s="3508"/>
      <c r="Q18" s="1504"/>
      <c r="R18" s="714"/>
      <c r="S18" s="715"/>
      <c r="T18" s="714"/>
      <c r="U18" s="715"/>
      <c r="V18" s="714"/>
      <c r="W18" s="715"/>
      <c r="X18" s="1507"/>
      <c r="Y18" s="3508"/>
      <c r="Z18" s="1508"/>
      <c r="AA18" s="1505">
        <v>1</v>
      </c>
      <c r="AB18" s="1505">
        <v>1</v>
      </c>
      <c r="AC18" s="1505">
        <v>1</v>
      </c>
    </row>
    <row r="19" spans="1:29" ht="15">
      <c r="A19" s="387"/>
      <c r="B19" s="587" t="s">
        <v>2508</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508"/>
      <c r="Q19" s="1504" t="str">
        <f t="shared" ref="Q19:Q33" si="8">B19</f>
        <v>区域土地利用方向</v>
      </c>
      <c r="R19" s="714" t="s">
        <v>17</v>
      </c>
      <c r="S19" s="715">
        <f>F19</f>
        <v>100</v>
      </c>
      <c r="T19" s="714" t="s">
        <v>17</v>
      </c>
      <c r="U19" s="715">
        <f>H19</f>
        <v>100</v>
      </c>
      <c r="V19" s="714" t="s">
        <v>17</v>
      </c>
      <c r="W19" s="715">
        <f>J19</f>
        <v>100</v>
      </c>
      <c r="X19" s="1507"/>
      <c r="Y19" s="3508"/>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50"/>
      <c r="L20" s="2917"/>
      <c r="M20" s="2911"/>
      <c r="N20" s="2911"/>
      <c r="O20" s="2969"/>
      <c r="P20" s="3508"/>
      <c r="Q20" s="1504"/>
      <c r="R20" s="714"/>
      <c r="S20" s="715"/>
      <c r="T20" s="714"/>
      <c r="U20" s="715"/>
      <c r="V20" s="714"/>
      <c r="W20" s="715"/>
      <c r="X20" s="1507"/>
      <c r="Y20" s="3508"/>
      <c r="Z20" s="1508"/>
      <c r="AA20" s="1505"/>
      <c r="AB20" s="1505"/>
      <c r="AC20" s="1505"/>
    </row>
    <row r="21" spans="1:29" ht="71.25">
      <c r="A21" s="364"/>
      <c r="B21" s="587" t="s">
        <v>2558</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508"/>
      <c r="Q21" s="1504" t="str">
        <f t="shared" si="8"/>
        <v>环境状况</v>
      </c>
      <c r="R21" s="714" t="s">
        <v>17</v>
      </c>
      <c r="S21" s="715">
        <f>F21</f>
        <v>100</v>
      </c>
      <c r="T21" s="714" t="s">
        <v>17</v>
      </c>
      <c r="U21" s="715">
        <f>H21</f>
        <v>100</v>
      </c>
      <c r="V21" s="714" t="s">
        <v>17</v>
      </c>
      <c r="W21" s="715">
        <f>J21</f>
        <v>100</v>
      </c>
      <c r="X21" s="1507"/>
      <c r="Y21" s="3508"/>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7"/>
      <c r="M22" s="2911"/>
      <c r="N22" s="2911"/>
      <c r="O22" s="2969"/>
      <c r="P22" s="3508"/>
      <c r="Q22" s="1504"/>
      <c r="R22" s="714"/>
      <c r="S22" s="715"/>
      <c r="T22" s="714"/>
      <c r="U22" s="715"/>
      <c r="V22" s="714"/>
      <c r="W22" s="715"/>
      <c r="X22" s="1507"/>
      <c r="Y22" s="3508"/>
      <c r="Z22" s="1508"/>
      <c r="AA22" s="1505">
        <v>1</v>
      </c>
      <c r="AB22" s="1505">
        <v>1</v>
      </c>
      <c r="AC22" s="1505">
        <v>1</v>
      </c>
    </row>
    <row r="23" spans="1:29" s="113" customFormat="1" ht="42.75">
      <c r="A23" s="605"/>
      <c r="B23" s="589" t="s">
        <v>2414</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508"/>
      <c r="Q23" s="1495" t="str">
        <f t="shared" si="8"/>
        <v>公共配套设施</v>
      </c>
      <c r="R23" s="710" t="s">
        <v>17</v>
      </c>
      <c r="S23" s="711">
        <f>F23</f>
        <v>100</v>
      </c>
      <c r="T23" s="710" t="s">
        <v>17</v>
      </c>
      <c r="U23" s="711">
        <f>H23</f>
        <v>100</v>
      </c>
      <c r="V23" s="710" t="s">
        <v>17</v>
      </c>
      <c r="W23" s="711">
        <f>J23</f>
        <v>100</v>
      </c>
      <c r="X23" s="712"/>
      <c r="Y23" s="3508"/>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2"/>
      <c r="M24" s="2913"/>
      <c r="N24" s="2913"/>
      <c r="O24" s="2967"/>
      <c r="P24" s="3508"/>
      <c r="Q24" s="1495"/>
      <c r="R24" s="710"/>
      <c r="S24" s="711"/>
      <c r="T24" s="710"/>
      <c r="U24" s="711"/>
      <c r="V24" s="710"/>
      <c r="W24" s="711"/>
      <c r="X24" s="712"/>
      <c r="Y24" s="3508"/>
      <c r="Z24" s="55"/>
      <c r="AA24" s="713">
        <v>1</v>
      </c>
      <c r="AB24" s="713">
        <v>1</v>
      </c>
      <c r="AC24" s="713">
        <v>1</v>
      </c>
    </row>
    <row r="25" spans="1:29" s="113" customFormat="1" ht="28.5">
      <c r="A25" s="605"/>
      <c r="B25" s="589" t="s">
        <v>2415</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508"/>
      <c r="Q25" s="1495" t="str">
        <f t="shared" ref="Q25" si="9">B25</f>
        <v>基础设施水平</v>
      </c>
      <c r="R25" s="710" t="s">
        <v>17</v>
      </c>
      <c r="S25" s="711">
        <f>F25</f>
        <v>100</v>
      </c>
      <c r="T25" s="710" t="s">
        <v>17</v>
      </c>
      <c r="U25" s="711">
        <f>H25</f>
        <v>100</v>
      </c>
      <c r="V25" s="710" t="s">
        <v>17</v>
      </c>
      <c r="W25" s="711">
        <f>J25</f>
        <v>100</v>
      </c>
      <c r="X25" s="712"/>
      <c r="Y25" s="3508"/>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2"/>
      <c r="M26" s="2913"/>
      <c r="N26" s="2913"/>
      <c r="O26" s="2967"/>
      <c r="P26" s="3508"/>
      <c r="Q26" s="1495"/>
      <c r="R26" s="710"/>
      <c r="S26" s="711"/>
      <c r="T26" s="710"/>
      <c r="U26" s="711"/>
      <c r="V26" s="710"/>
      <c r="W26" s="711"/>
      <c r="X26" s="712"/>
      <c r="Y26" s="3508"/>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508"/>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508"/>
      <c r="Z27" s="1508" t="str">
        <f t="shared" ref="Z27:Z40" si="13">Q27</f>
        <v>临街状况</v>
      </c>
      <c r="AA27" s="1505">
        <f t="shared" si="3"/>
        <v>1</v>
      </c>
      <c r="AB27" s="1505">
        <f t="shared" si="4"/>
        <v>1</v>
      </c>
      <c r="AC27" s="1505">
        <f t="shared" si="5"/>
        <v>1</v>
      </c>
    </row>
    <row r="28" spans="1:29" ht="27">
      <c r="A28" s="387"/>
      <c r="B28" s="589" t="s">
        <v>2451</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508"/>
      <c r="Q28" s="1504" t="str">
        <f t="shared" si="8"/>
        <v>毗邻道路的类型与等级</v>
      </c>
      <c r="R28" s="714" t="s">
        <v>17</v>
      </c>
      <c r="S28" s="715">
        <f t="shared" si="10"/>
        <v>100</v>
      </c>
      <c r="T28" s="714" t="s">
        <v>17</v>
      </c>
      <c r="U28" s="715">
        <f t="shared" si="11"/>
        <v>100</v>
      </c>
      <c r="V28" s="714" t="s">
        <v>17</v>
      </c>
      <c r="W28" s="715">
        <f t="shared" si="12"/>
        <v>100</v>
      </c>
      <c r="X28" s="1507"/>
      <c r="Y28" s="3508"/>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7"/>
      <c r="M29" s="2911"/>
      <c r="N29" s="2911"/>
      <c r="O29" s="2969"/>
      <c r="P29" s="3508"/>
      <c r="Q29" s="1504"/>
      <c r="R29" s="714"/>
      <c r="S29" s="715"/>
      <c r="T29" s="714"/>
      <c r="U29" s="715"/>
      <c r="V29" s="714"/>
      <c r="W29" s="715"/>
      <c r="X29" s="1507"/>
      <c r="Y29" s="3508"/>
      <c r="Z29" s="1508"/>
      <c r="AA29" s="1505">
        <v>1</v>
      </c>
      <c r="AB29" s="1505">
        <v>1</v>
      </c>
      <c r="AC29" s="1505">
        <v>1</v>
      </c>
    </row>
    <row r="30" spans="1:29" ht="15">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508"/>
      <c r="Q30" s="1504" t="str">
        <f t="shared" si="8"/>
        <v>土地级别</v>
      </c>
      <c r="R30" s="714" t="s">
        <v>17</v>
      </c>
      <c r="S30" s="715">
        <f t="shared" si="10"/>
        <v>100</v>
      </c>
      <c r="T30" s="714" t="s">
        <v>17</v>
      </c>
      <c r="U30" s="715">
        <f t="shared" si="11"/>
        <v>100</v>
      </c>
      <c r="V30" s="714" t="s">
        <v>17</v>
      </c>
      <c r="W30" s="715">
        <f t="shared" si="12"/>
        <v>100</v>
      </c>
      <c r="X30" s="1507"/>
      <c r="Y30" s="3508"/>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508"/>
      <c r="Q31" s="1504">
        <f t="shared" si="8"/>
        <v>111</v>
      </c>
      <c r="R31" s="714" t="s">
        <v>17</v>
      </c>
      <c r="S31" s="715">
        <f t="shared" si="10"/>
        <v>100</v>
      </c>
      <c r="T31" s="714" t="s">
        <v>17</v>
      </c>
      <c r="U31" s="715">
        <f t="shared" si="11"/>
        <v>100</v>
      </c>
      <c r="V31" s="714" t="s">
        <v>17</v>
      </c>
      <c r="W31" s="715">
        <f t="shared" si="12"/>
        <v>100</v>
      </c>
      <c r="X31" s="1507"/>
      <c r="Y31" s="3508"/>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594" t="s">
        <v>2325</v>
      </c>
      <c r="Q32" s="1504">
        <f t="shared" si="8"/>
        <v>111</v>
      </c>
      <c r="R32" s="714" t="s">
        <v>17</v>
      </c>
      <c r="S32" s="715">
        <f t="shared" si="10"/>
        <v>100</v>
      </c>
      <c r="T32" s="714" t="s">
        <v>17</v>
      </c>
      <c r="U32" s="715">
        <f t="shared" si="11"/>
        <v>100</v>
      </c>
      <c r="V32" s="714" t="s">
        <v>17</v>
      </c>
      <c r="W32" s="715">
        <f t="shared" si="12"/>
        <v>100</v>
      </c>
      <c r="X32" s="1507"/>
      <c r="Y32" s="3512" t="s">
        <v>2325</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512"/>
      <c r="Q33" s="1504">
        <f t="shared" si="8"/>
        <v>111</v>
      </c>
      <c r="R33" s="717" t="s">
        <v>17</v>
      </c>
      <c r="S33" s="718">
        <f t="shared" si="10"/>
        <v>100</v>
      </c>
      <c r="T33" s="717" t="s">
        <v>17</v>
      </c>
      <c r="U33" s="718">
        <f t="shared" si="11"/>
        <v>100</v>
      </c>
      <c r="V33" s="717" t="s">
        <v>17</v>
      </c>
      <c r="W33" s="718">
        <f t="shared" si="12"/>
        <v>100</v>
      </c>
      <c r="X33" s="719"/>
      <c r="Y33" s="3512"/>
      <c r="Z33" s="720">
        <f t="shared" si="13"/>
        <v>111</v>
      </c>
      <c r="AA33" s="1505">
        <f t="shared" si="3"/>
        <v>1</v>
      </c>
      <c r="AB33" s="1505">
        <f t="shared" si="4"/>
        <v>1</v>
      </c>
      <c r="AC33" s="1505">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512"/>
      <c r="Q34" s="1504" t="str">
        <f>B34</f>
        <v>宗地面积</v>
      </c>
      <c r="R34" s="714" t="s">
        <v>17</v>
      </c>
      <c r="S34" s="715" t="e">
        <f t="shared" si="10"/>
        <v>#N/A</v>
      </c>
      <c r="T34" s="714" t="s">
        <v>17</v>
      </c>
      <c r="U34" s="715" t="e">
        <f t="shared" si="11"/>
        <v>#N/A</v>
      </c>
      <c r="V34" s="714" t="s">
        <v>17</v>
      </c>
      <c r="W34" s="715" t="e">
        <f t="shared" si="12"/>
        <v>#N/A</v>
      </c>
      <c r="X34" s="1507"/>
      <c r="Y34" s="3512"/>
      <c r="Z34" s="1508" t="str">
        <f t="shared" si="13"/>
        <v>宗地面积</v>
      </c>
      <c r="AA34" s="1505" t="e">
        <f t="shared" si="3"/>
        <v>#N/A</v>
      </c>
      <c r="AB34" s="1505" t="e">
        <f t="shared" si="4"/>
        <v>#N/A</v>
      </c>
      <c r="AC34" s="1505" t="e">
        <f t="shared" si="5"/>
        <v>#N/A</v>
      </c>
    </row>
    <row r="35" spans="1:31" ht="15">
      <c r="A35" s="431"/>
      <c r="B35" s="381" t="s">
        <v>2512</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7"/>
      <c r="M35" s="2911"/>
      <c r="N35" s="2911"/>
      <c r="O35" s="2969"/>
      <c r="P35" s="3512"/>
      <c r="Q35" s="1504" t="str">
        <f t="shared" ref="Q35:Q40" si="14">B35</f>
        <v>宗地形状</v>
      </c>
      <c r="R35" s="714" t="s">
        <v>17</v>
      </c>
      <c r="S35" s="715">
        <f t="shared" si="10"/>
        <v>100</v>
      </c>
      <c r="T35" s="714" t="s">
        <v>17</v>
      </c>
      <c r="U35" s="715">
        <f t="shared" si="11"/>
        <v>100</v>
      </c>
      <c r="V35" s="714" t="s">
        <v>17</v>
      </c>
      <c r="W35" s="715">
        <f t="shared" si="12"/>
        <v>100</v>
      </c>
      <c r="X35" s="1507"/>
      <c r="Y35" s="3512"/>
      <c r="Z35" s="1508" t="str">
        <f t="shared" si="13"/>
        <v>宗地形状</v>
      </c>
      <c r="AA35" s="1505">
        <f t="shared" si="3"/>
        <v>1</v>
      </c>
      <c r="AB35" s="1505">
        <f t="shared" si="4"/>
        <v>1</v>
      </c>
      <c r="AC35" s="1505">
        <f t="shared" si="5"/>
        <v>1</v>
      </c>
    </row>
    <row r="36" spans="1:31" s="113" customFormat="1" ht="15">
      <c r="A36" s="432"/>
      <c r="B36" s="381" t="s">
        <v>2514</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2"/>
      <c r="M36" s="2913"/>
      <c r="N36" s="2913"/>
      <c r="O36" s="2967"/>
      <c r="P36" s="3512"/>
      <c r="Q36" s="1504" t="str">
        <f t="shared" si="14"/>
        <v>宗地开发程度</v>
      </c>
      <c r="R36" s="710" t="s">
        <v>17</v>
      </c>
      <c r="S36" s="711">
        <f t="shared" si="10"/>
        <v>100</v>
      </c>
      <c r="T36" s="710" t="s">
        <v>17</v>
      </c>
      <c r="U36" s="711">
        <f t="shared" si="11"/>
        <v>100</v>
      </c>
      <c r="V36" s="710" t="s">
        <v>17</v>
      </c>
      <c r="W36" s="711">
        <f t="shared" si="12"/>
        <v>100</v>
      </c>
      <c r="X36" s="712"/>
      <c r="Y36" s="3512"/>
      <c r="Z36" s="55" t="str">
        <f t="shared" si="13"/>
        <v>宗地开发程度</v>
      </c>
      <c r="AA36" s="713">
        <f t="shared" si="3"/>
        <v>1</v>
      </c>
      <c r="AB36" s="713">
        <f t="shared" si="4"/>
        <v>1</v>
      </c>
      <c r="AC36" s="713">
        <f t="shared" si="5"/>
        <v>1</v>
      </c>
    </row>
    <row r="37" spans="1:31" ht="15">
      <c r="A37" s="431"/>
      <c r="B37" s="381" t="s">
        <v>2515</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7"/>
      <c r="M37" s="2911"/>
      <c r="N37" s="2911"/>
      <c r="O37" s="2969"/>
      <c r="P37" s="3512" t="s">
        <v>2325</v>
      </c>
      <c r="Q37" s="1504" t="str">
        <f t="shared" si="14"/>
        <v>工程地质条件</v>
      </c>
      <c r="R37" s="714" t="s">
        <v>17</v>
      </c>
      <c r="S37" s="715">
        <f t="shared" si="10"/>
        <v>100</v>
      </c>
      <c r="T37" s="714" t="s">
        <v>17</v>
      </c>
      <c r="U37" s="715">
        <f t="shared" si="11"/>
        <v>100</v>
      </c>
      <c r="V37" s="714" t="s">
        <v>17</v>
      </c>
      <c r="W37" s="715">
        <f t="shared" si="12"/>
        <v>100</v>
      </c>
      <c r="X37" s="1507"/>
      <c r="Y37" s="3512" t="s">
        <v>2325</v>
      </c>
      <c r="Z37" s="1508" t="str">
        <f t="shared" si="13"/>
        <v>工程地质条件</v>
      </c>
      <c r="AA37" s="1505">
        <f t="shared" si="3"/>
        <v>1</v>
      </c>
      <c r="AB37" s="1505">
        <f t="shared" si="4"/>
        <v>1</v>
      </c>
      <c r="AC37" s="1505">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512"/>
      <c r="Q38" s="1504">
        <f t="shared" si="14"/>
        <v>111</v>
      </c>
      <c r="R38" s="714" t="s">
        <v>17</v>
      </c>
      <c r="S38" s="715">
        <f t="shared" si="10"/>
        <v>100</v>
      </c>
      <c r="T38" s="714" t="s">
        <v>17</v>
      </c>
      <c r="U38" s="715">
        <f t="shared" si="11"/>
        <v>100</v>
      </c>
      <c r="V38" s="714" t="s">
        <v>17</v>
      </c>
      <c r="W38" s="715">
        <f t="shared" si="12"/>
        <v>100</v>
      </c>
      <c r="X38" s="1507"/>
      <c r="Y38" s="3512"/>
      <c r="Z38" s="1508">
        <f t="shared" si="13"/>
        <v>111</v>
      </c>
      <c r="AA38" s="1505">
        <f t="shared" si="3"/>
        <v>1</v>
      </c>
      <c r="AB38" s="1505">
        <f t="shared" si="4"/>
        <v>1</v>
      </c>
      <c r="AC38" s="1505">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512"/>
      <c r="Q39" s="1504">
        <f t="shared" si="14"/>
        <v>111</v>
      </c>
      <c r="R39" s="714" t="s">
        <v>17</v>
      </c>
      <c r="S39" s="715">
        <f t="shared" si="10"/>
        <v>100</v>
      </c>
      <c r="T39" s="714" t="s">
        <v>17</v>
      </c>
      <c r="U39" s="715">
        <f t="shared" si="11"/>
        <v>100</v>
      </c>
      <c r="V39" s="714" t="s">
        <v>17</v>
      </c>
      <c r="W39" s="715">
        <f t="shared" si="12"/>
        <v>100</v>
      </c>
      <c r="X39" s="1507"/>
      <c r="Y39" s="3512"/>
      <c r="Z39" s="1508">
        <f t="shared" si="13"/>
        <v>111</v>
      </c>
      <c r="AA39" s="1505">
        <f t="shared" si="3"/>
        <v>1</v>
      </c>
      <c r="AB39" s="1505">
        <f t="shared" si="4"/>
        <v>1</v>
      </c>
      <c r="AC39" s="1505">
        <f t="shared" si="5"/>
        <v>1</v>
      </c>
    </row>
    <row r="40" spans="1:31" s="430" customFormat="1" ht="15.75" thickBot="1">
      <c r="A40" s="427"/>
      <c r="B40" s="1267">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512"/>
      <c r="Q40" s="1504">
        <f t="shared" si="14"/>
        <v>111</v>
      </c>
      <c r="R40" s="717" t="s">
        <v>17</v>
      </c>
      <c r="S40" s="718">
        <f t="shared" si="10"/>
        <v>100</v>
      </c>
      <c r="T40" s="717" t="s">
        <v>17</v>
      </c>
      <c r="U40" s="718">
        <f t="shared" si="11"/>
        <v>100</v>
      </c>
      <c r="V40" s="717" t="s">
        <v>17</v>
      </c>
      <c r="W40" s="718">
        <f t="shared" si="12"/>
        <v>100</v>
      </c>
      <c r="X40" s="719"/>
      <c r="Y40" s="3512"/>
      <c r="Z40" s="720">
        <f t="shared" si="13"/>
        <v>111</v>
      </c>
      <c r="AA40" s="1505">
        <f t="shared" si="3"/>
        <v>1</v>
      </c>
      <c r="AB40" s="1505">
        <f t="shared" si="4"/>
        <v>1</v>
      </c>
      <c r="AC40" s="1505">
        <f t="shared" si="5"/>
        <v>1</v>
      </c>
    </row>
    <row r="41" spans="1:31" ht="15">
      <c r="A41" s="438" t="s">
        <v>2480</v>
      </c>
      <c r="B41" s="2135" t="s">
        <v>2559</v>
      </c>
      <c r="C41" s="638" t="s">
        <v>1</v>
      </c>
      <c r="D41" s="440"/>
      <c r="E41" s="441"/>
      <c r="F41" s="442"/>
      <c r="G41" s="443"/>
      <c r="H41" s="444"/>
      <c r="I41" s="441"/>
      <c r="J41" s="444"/>
      <c r="K41" s="723"/>
      <c r="L41" s="2919"/>
      <c r="M41" s="2911"/>
      <c r="N41" s="2911"/>
      <c r="O41" s="2920"/>
      <c r="P41" s="3500" t="str">
        <f>A41</f>
        <v>成交单价</v>
      </c>
      <c r="Q41" s="3500"/>
      <c r="R41" s="3534">
        <f>E41</f>
        <v>0</v>
      </c>
      <c r="S41" s="3534"/>
      <c r="T41" s="3534">
        <f>G41</f>
        <v>0</v>
      </c>
      <c r="U41" s="3534"/>
      <c r="V41" s="3534">
        <f>I41</f>
        <v>0</v>
      </c>
      <c r="W41" s="3534"/>
      <c r="X41" s="699"/>
      <c r="Y41" s="721"/>
      <c r="Z41" s="699"/>
      <c r="AA41" s="699"/>
      <c r="AB41" s="699"/>
      <c r="AC41" s="699"/>
    </row>
    <row r="42" spans="1:31" ht="15.75" thickBot="1">
      <c r="A42" s="445" t="s">
        <v>2429</v>
      </c>
      <c r="B42" s="639"/>
      <c r="C42" s="448" t="e">
        <f>R43</f>
        <v>#DIV/0!</v>
      </c>
      <c r="D42" s="2505" t="s">
        <v>2819</v>
      </c>
      <c r="E42" s="448" t="e">
        <f>R42</f>
        <v>#DIV/0!</v>
      </c>
      <c r="F42" s="2506"/>
      <c r="G42" s="447" t="e">
        <f>T42</f>
        <v>#DIV/0!</v>
      </c>
      <c r="H42" s="2506"/>
      <c r="I42" s="448" t="e">
        <f>V42</f>
        <v>#DIV/0!</v>
      </c>
      <c r="J42" s="2506"/>
      <c r="K42" s="2508">
        <f>F42+H42+J42</f>
        <v>0</v>
      </c>
      <c r="L42" s="2919"/>
      <c r="M42" s="2911"/>
      <c r="N42" s="2911"/>
      <c r="O42" s="2920"/>
      <c r="P42" s="3500" t="str">
        <f>A42</f>
        <v>比较价值（元/平方米）</v>
      </c>
      <c r="Q42" s="3500"/>
      <c r="R42" s="3603" t="e">
        <f>ROUND(PRODUCT(R41,AA7:AA40),0)</f>
        <v>#DIV/0!</v>
      </c>
      <c r="S42" s="3603"/>
      <c r="T42" s="3603" t="e">
        <f>ROUND(PRODUCT(T41,AB7:AB40),0)</f>
        <v>#DIV/0!</v>
      </c>
      <c r="U42" s="3603"/>
      <c r="V42" s="3603" t="e">
        <f>ROUND(PRODUCT(V41,AC7:AC40),0)</f>
        <v>#DIV/0!</v>
      </c>
      <c r="W42" s="3603"/>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19"/>
      <c r="M43" s="2911"/>
      <c r="N43" s="2911"/>
      <c r="O43" s="2920"/>
      <c r="P43" s="3583" t="str">
        <f>A43</f>
        <v>估价对象XX用房的比较价值（楼面单价，元/平方米）</v>
      </c>
      <c r="Q43" s="3584"/>
      <c r="R43" s="3602" t="e">
        <f>ROUND(IF(D42="简单平均",AVERAGE(R42:W42),R42*F42+T42*H42+V42*J42),0)</f>
        <v>#DIV/0!</v>
      </c>
      <c r="S43" s="3602"/>
      <c r="T43" s="3602"/>
      <c r="U43" s="3602"/>
      <c r="V43" s="3602"/>
      <c r="W43" s="3602"/>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6" t="s">
        <v>2520</v>
      </c>
      <c r="D50" s="2137" t="s">
        <v>2521</v>
      </c>
      <c r="E50" s="642" t="s">
        <v>2522</v>
      </c>
      <c r="F50" s="643" t="s">
        <v>2523</v>
      </c>
      <c r="G50" s="3517" t="s">
        <v>2524</v>
      </c>
      <c r="H50" s="3596"/>
      <c r="I50" s="1508" t="s">
        <v>2560</v>
      </c>
      <c r="J50" s="1508">
        <f>项目基本情况!F35</f>
        <v>0</v>
      </c>
      <c r="K50" s="2139"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4">
        <v>1</v>
      </c>
      <c r="E51" s="646">
        <f>'数据-汇总表'!E8+'数据-汇总表'!E9</f>
        <v>56521.430000000008</v>
      </c>
      <c r="F51" s="647" t="e">
        <f t="shared" ref="F51:F60" si="15">ROUND(B51*E51/10000,0)</f>
        <v>#DIV/0!</v>
      </c>
      <c r="G51" s="3499"/>
      <c r="H51" s="3500"/>
      <c r="I51" s="878">
        <v>1</v>
      </c>
      <c r="J51" s="878">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v>
      </c>
      <c r="D52" s="1075">
        <v>0.25</v>
      </c>
      <c r="E52" s="650"/>
      <c r="F52" s="647" t="e">
        <f t="shared" si="15"/>
        <v>#DIV/0!</v>
      </c>
      <c r="G52" s="3597" t="s">
        <v>2529</v>
      </c>
      <c r="H52" s="1017">
        <f>项目基本情况!B37</f>
        <v>0</v>
      </c>
      <c r="I52" s="878">
        <f>SUMIF(修正!A45:A56,H52,修正!B45:B56)</f>
        <v>0</v>
      </c>
      <c r="J52" s="879"/>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v>
      </c>
      <c r="D53" s="1075">
        <v>0.25</v>
      </c>
      <c r="E53" s="650"/>
      <c r="F53" s="647" t="e">
        <f t="shared" si="15"/>
        <v>#DIV/0!</v>
      </c>
      <c r="G53" s="3597"/>
      <c r="H53" s="1017">
        <f>项目基本情况!B37</f>
        <v>0</v>
      </c>
      <c r="I53" s="878">
        <f>SUMIF(修正!A45:A56,H53,修正!C45:C56)</f>
        <v>0</v>
      </c>
      <c r="J53" s="879"/>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v>
      </c>
      <c r="D54" s="1075">
        <v>0.25</v>
      </c>
      <c r="E54" s="650"/>
      <c r="F54" s="647" t="e">
        <f t="shared" si="15"/>
        <v>#DIV/0!</v>
      </c>
      <c r="G54" s="3597"/>
      <c r="H54" s="1017">
        <f>项目基本情况!B37</f>
        <v>0</v>
      </c>
      <c r="I54" s="878">
        <f>SUMIF(修正!A45:A56,H54,修正!D45:D56)</f>
        <v>0</v>
      </c>
      <c r="J54" s="879"/>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v>
      </c>
      <c r="D55" s="1075">
        <v>0.25</v>
      </c>
      <c r="E55" s="650"/>
      <c r="F55" s="647" t="e">
        <f t="shared" si="15"/>
        <v>#DIV/0!</v>
      </c>
      <c r="G55" s="3597"/>
      <c r="H55" s="1017">
        <f>项目基本情况!B37</f>
        <v>0</v>
      </c>
      <c r="I55" s="878">
        <f>SUMIF(修正!A45:A56,H55,修正!E45:E56)</f>
        <v>0</v>
      </c>
      <c r="J55" s="879"/>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0.3</v>
      </c>
      <c r="D56" s="1075">
        <v>0.25</v>
      </c>
      <c r="E56" s="223">
        <f>'数据-汇总表'!E11</f>
        <v>3284.7900000000004</v>
      </c>
      <c r="F56" s="647" t="e">
        <f t="shared" si="15"/>
        <v>#DIV/0!</v>
      </c>
      <c r="G56" s="2140" t="s">
        <v>2534</v>
      </c>
      <c r="H56" s="1017" t="str">
        <f>项目基本情况!C37</f>
        <v>二级</v>
      </c>
      <c r="I56" s="878">
        <f>SUMIF(修正!A45:A56,H56,修正!F45:F56)</f>
        <v>0.3</v>
      </c>
      <c r="J56" s="879"/>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0.3</v>
      </c>
      <c r="D57" s="1075">
        <v>0.25</v>
      </c>
      <c r="E57" s="223">
        <f>'数据-汇总表'!E12</f>
        <v>0</v>
      </c>
      <c r="F57" s="647" t="e">
        <f t="shared" si="15"/>
        <v>#DIV/0!</v>
      </c>
      <c r="G57" s="1022" t="s">
        <v>2536</v>
      </c>
      <c r="H57" s="1017" t="str">
        <f>IF(G57="商业",项目基本情况!B37,IF(G57="办公",项目基本情况!C37,IF(G57="住宅",项目基本情况!D37,项目基本情况!E37)))</f>
        <v>二级</v>
      </c>
      <c r="I57" s="878">
        <f>SUMIF(修正!A45:A56,H57,修正!G45:G56)</f>
        <v>0.3</v>
      </c>
      <c r="J57" s="879"/>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5">
        <v>0.25</v>
      </c>
      <c r="E58" s="223">
        <f>'数据-汇总表'!E13</f>
        <v>0</v>
      </c>
      <c r="F58" s="647" t="e">
        <f t="shared" si="15"/>
        <v>#DIV/0!</v>
      </c>
      <c r="G58" s="1022" t="s">
        <v>2538</v>
      </c>
      <c r="H58" s="1017">
        <f>IF(G58="商业",项目基本情况!B37,IF(G58="办公",项目基本情况!C37,IF(G58="住宅",项目基本情况!D37,项目基本情况!E37)))</f>
        <v>0</v>
      </c>
      <c r="I58" s="878">
        <f>SUMIF(修正!A45:A56,H58,修正!H45:H56)</f>
        <v>0</v>
      </c>
      <c r="J58" s="879"/>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v>
      </c>
      <c r="D59" s="1075">
        <v>0.25</v>
      </c>
      <c r="E59" s="223">
        <f>'数据-汇总表'!E14</f>
        <v>0</v>
      </c>
      <c r="F59" s="647" t="e">
        <f t="shared" si="15"/>
        <v>#DIV/0!</v>
      </c>
      <c r="G59" s="2140" t="s">
        <v>2529</v>
      </c>
      <c r="H59" s="1017">
        <f>项目基本情况!B37</f>
        <v>0</v>
      </c>
      <c r="I59" s="878">
        <f>SUMIF(修正!A45:A56,H59,修正!H45:H56)</f>
        <v>0</v>
      </c>
      <c r="J59" s="879"/>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t="e">
        <f t="shared" si="17"/>
        <v>#DIV/0!</v>
      </c>
      <c r="C60" s="176">
        <f t="shared" si="16"/>
        <v>0.25</v>
      </c>
      <c r="D60" s="1075">
        <v>0.25</v>
      </c>
      <c r="E60" s="223">
        <f>'数据-汇总表'!E15</f>
        <v>10390.25</v>
      </c>
      <c r="F60" s="647" t="e">
        <f t="shared" si="15"/>
        <v>#DIV/0!</v>
      </c>
      <c r="G60" s="2141" t="s">
        <v>2534</v>
      </c>
      <c r="H60" s="1027" t="str">
        <f>项目基本情况!C37</f>
        <v>二级</v>
      </c>
      <c r="I60" s="878">
        <f>SUMIF(修正!A45:A56,H60,修正!H45:H56)</f>
        <v>0.25</v>
      </c>
      <c r="J60" s="879"/>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9552.52</v>
      </c>
      <c r="F61" s="653" t="e">
        <f>IF(B41="楼面地价",SUM(F51:F60),ROUND(C43*E61/10000,0))</f>
        <v>#DIV/0!</v>
      </c>
      <c r="G61" s="1069"/>
      <c r="H61" s="1069"/>
      <c r="I61" s="1069"/>
      <c r="J61" s="1069"/>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7"/>
      <c r="B62" s="1059"/>
      <c r="C62" s="1061"/>
      <c r="D62" s="1057"/>
      <c r="E62" s="1057"/>
      <c r="F62" s="1057"/>
      <c r="G62" s="1057"/>
      <c r="H62" s="1057"/>
      <c r="I62" s="1057"/>
      <c r="J62" s="1057"/>
      <c r="K62" s="1018"/>
      <c r="L62" s="1019"/>
      <c r="M62" s="1057"/>
      <c r="N62" s="1057"/>
      <c r="O62" s="1057"/>
      <c r="P62" s="2920"/>
      <c r="Q62" s="2920"/>
      <c r="R62" s="2920"/>
      <c r="S62" s="2920"/>
      <c r="T62" s="2920"/>
      <c r="U62" s="2920"/>
      <c r="V62" s="2920"/>
      <c r="W62" s="2920"/>
      <c r="X62" s="2920"/>
      <c r="Y62" s="2920"/>
      <c r="Z62" s="2920"/>
      <c r="AA62" s="2920"/>
      <c r="AB62" s="2920"/>
      <c r="AC62" s="2920"/>
      <c r="AD62" s="2920"/>
      <c r="AE62" s="2920"/>
    </row>
    <row r="63" spans="1:31">
      <c r="A63" s="1057"/>
      <c r="B63" s="1059"/>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70"/>
      <c r="P64" s="2964"/>
      <c r="Q64" s="2934"/>
      <c r="R64" s="2920"/>
      <c r="S64" s="2920"/>
      <c r="T64" s="2920"/>
      <c r="U64" s="2920"/>
      <c r="V64" s="2920"/>
      <c r="W64" s="2920"/>
      <c r="X64" s="2920"/>
      <c r="Y64" s="2920"/>
      <c r="Z64" s="2920"/>
      <c r="AA64" s="2920"/>
      <c r="AB64" s="2920"/>
      <c r="AC64" s="2920"/>
      <c r="AD64" s="2920"/>
      <c r="AE64" s="2920"/>
    </row>
    <row r="65" spans="1:31" s="465" customFormat="1" ht="15">
      <c r="A65" s="2142" t="s">
        <v>2542</v>
      </c>
      <c r="B65" s="1240"/>
      <c r="C65" s="1314" t="str">
        <f>YEAR(C63)&amp;"-"&amp;ROUNDUP(MONTH(C63)/3,0)</f>
        <v>2022-2</v>
      </c>
      <c r="D65" s="1314" t="str">
        <f t="shared" ref="D65:O65" si="19">YEAR(D63)&amp;"-"&amp;ROUNDUP(MONTH(D63)/3,0)</f>
        <v>2022-1</v>
      </c>
      <c r="E65" s="1314" t="str">
        <f t="shared" si="19"/>
        <v>2021-4</v>
      </c>
      <c r="F65" s="1314" t="str">
        <f t="shared" si="19"/>
        <v>2021-3</v>
      </c>
      <c r="G65" s="1314" t="str">
        <f t="shared" si="19"/>
        <v>2021-2</v>
      </c>
      <c r="H65" s="1314" t="str">
        <f t="shared" si="19"/>
        <v>2021-1</v>
      </c>
      <c r="I65" s="1314" t="str">
        <f t="shared" si="19"/>
        <v>2020-4</v>
      </c>
      <c r="J65" s="1314" t="str">
        <f t="shared" si="19"/>
        <v>2020-3</v>
      </c>
      <c r="K65" s="1314" t="str">
        <f t="shared" si="19"/>
        <v>2020-2</v>
      </c>
      <c r="L65" s="1314" t="str">
        <f t="shared" si="19"/>
        <v>2020-1</v>
      </c>
      <c r="M65" s="1314" t="str">
        <f t="shared" si="19"/>
        <v>2019-4</v>
      </c>
      <c r="N65" s="1314" t="str">
        <f t="shared" si="19"/>
        <v>2019-3</v>
      </c>
      <c r="O65" s="1314" t="str">
        <f t="shared" si="19"/>
        <v>2019-2</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7" t="s">
        <v>2561</v>
      </c>
      <c r="B66" s="294" t="str">
        <f>"北京市平均增长率"&amp;TEXT(基准地价修正!P24,"0.00%")</f>
        <v>北京市平均增长率0.00%</v>
      </c>
      <c r="C66" s="560">
        <v>100</v>
      </c>
      <c r="D66" s="552"/>
      <c r="E66" s="552"/>
      <c r="F66" s="552"/>
      <c r="G66" s="552"/>
      <c r="H66" s="552"/>
      <c r="I66" s="552"/>
      <c r="J66" s="552"/>
      <c r="K66" s="552"/>
      <c r="L66" s="552"/>
      <c r="M66" s="1310"/>
      <c r="N66" s="1310"/>
      <c r="O66" s="1312"/>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2544</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2545</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4" t="s">
        <v>2323</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2551</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2553</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2554</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51" priority="18" stopIfTrue="1" operator="containsText" text="超过">
      <formula>NOT(ISERROR(SEARCH("超过",F46)))</formula>
    </cfRule>
  </conditionalFormatting>
  <conditionalFormatting sqref="J48">
    <cfRule type="containsText" dxfId="50" priority="17" stopIfTrue="1" operator="containsText" text="超过">
      <formula>NOT(ISERROR(SEARCH("超过",J48)))</formula>
    </cfRule>
  </conditionalFormatting>
  <conditionalFormatting sqref="H48">
    <cfRule type="containsText" dxfId="49" priority="16" stopIfTrue="1" operator="containsText" text="超过">
      <formula>NOT(ISERROR(SEARCH("超过",H48)))</formula>
    </cfRule>
  </conditionalFormatting>
  <conditionalFormatting sqref="F48">
    <cfRule type="containsText" dxfId="48" priority="15" stopIfTrue="1" operator="containsText" text="超过">
      <formula>NOT(ISERROR(SEARCH("超过",F48)))</formula>
    </cfRule>
  </conditionalFormatting>
  <conditionalFormatting sqref="F47 H47 J47">
    <cfRule type="containsText" dxfId="47" priority="14" stopIfTrue="1" operator="containsText" text="超过">
      <formula>NOT(ISERROR(SEARCH("超过",F47)))</formula>
    </cfRule>
  </conditionalFormatting>
  <conditionalFormatting sqref="E46">
    <cfRule type="expression" dxfId="46" priority="13" stopIfTrue="1">
      <formula>$F$46="超过30%"</formula>
    </cfRule>
  </conditionalFormatting>
  <conditionalFormatting sqref="G48">
    <cfRule type="expression" dxfId="45" priority="12" stopIfTrue="1">
      <formula>$H$48="超过30%"</formula>
    </cfRule>
  </conditionalFormatting>
  <conditionalFormatting sqref="E48">
    <cfRule type="expression" dxfId="44" priority="10" stopIfTrue="1">
      <formula>$F$48="超过30%"</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E47">
    <cfRule type="expression" dxfId="38" priority="53" stopIfTrue="1">
      <formula>#REF!+$F$47="超过20%"</formula>
    </cfRule>
  </conditionalFormatting>
  <conditionalFormatting sqref="F42">
    <cfRule type="expression" dxfId="37" priority="4">
      <formula>$D$42="简单平均"</formula>
    </cfRule>
  </conditionalFormatting>
  <conditionalFormatting sqref="H42">
    <cfRule type="expression" dxfId="36" priority="3">
      <formula>$D$42="简单平均"</formula>
    </cfRule>
  </conditionalFormatting>
  <conditionalFormatting sqref="J42">
    <cfRule type="expression" dxfId="35" priority="2">
      <formula>$D$42="简单平均"</formula>
    </cfRule>
  </conditionalFormatting>
  <conditionalFormatting sqref="F7:F40 H7:H40 J7:J40">
    <cfRule type="cellIs" dxfId="34"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zoomScale="70" zoomScaleNormal="80" zoomScaleSheetLayoutView="70" workbookViewId="0">
      <selection activeCell="F7" sqref="C7:Q46"/>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3" customWidth="1"/>
    <col min="33" max="36" width="9.375" style="2217" customWidth="1"/>
    <col min="37" max="38" width="9.375" style="2151" customWidth="1"/>
    <col min="39" max="16384" width="12" style="2151"/>
  </cols>
  <sheetData>
    <row r="1" spans="1:36" ht="28.5">
      <c r="A1" s="202" t="s">
        <v>2563</v>
      </c>
      <c r="B1" s="203"/>
      <c r="C1" s="207" t="s">
        <v>2564</v>
      </c>
      <c r="D1" s="348">
        <f>SUM(D29:D30,D33:D39)</f>
        <v>0</v>
      </c>
      <c r="E1" s="2148"/>
      <c r="F1" s="2148"/>
      <c r="G1" s="2148"/>
      <c r="H1" s="2148"/>
      <c r="I1" s="2148"/>
      <c r="J1" s="2148"/>
      <c r="K1" s="1251"/>
      <c r="L1" s="2149" t="s">
        <v>2565</v>
      </c>
      <c r="M1" s="993">
        <f>SUMPRODUCT((区片价!B5:B9=I2)*(区片价!C3:F3=E2)*(区片价!C5:F9))</f>
        <v>0</v>
      </c>
      <c r="N1" s="996">
        <f>SUMPRODUCT((因素修正幅度!B5:B9=I2)*(因素修正幅度!C3:F3=E2)*(因素修正幅度!C5:F9))</f>
        <v>0</v>
      </c>
      <c r="O1" s="2150"/>
      <c r="P1" s="2150"/>
      <c r="Q1" s="1251"/>
      <c r="R1" s="1344" t="s">
        <v>2566</v>
      </c>
      <c r="S1" s="1344" t="s">
        <v>2567</v>
      </c>
      <c r="T1" s="1344" t="s">
        <v>2568</v>
      </c>
      <c r="U1" s="1344" t="s">
        <v>2569</v>
      </c>
      <c r="V1" s="1344" t="s">
        <v>2570</v>
      </c>
      <c r="W1" s="1348"/>
      <c r="X1" s="1348"/>
      <c r="Y1" s="1348"/>
      <c r="Z1" s="1348"/>
      <c r="AA1" s="1348"/>
      <c r="AB1" s="1348"/>
      <c r="AC1" s="1349"/>
      <c r="AD1" s="1350"/>
      <c r="AE1" s="1350"/>
      <c r="AF1" s="1350"/>
      <c r="AG1" s="1350"/>
      <c r="AH1" s="1350"/>
      <c r="AI1" s="1350"/>
      <c r="AJ1" s="1351"/>
    </row>
    <row r="2" spans="1:36" ht="15.75">
      <c r="A2" s="207" t="s">
        <v>2571</v>
      </c>
      <c r="B2" s="210" t="e">
        <f>C26</f>
        <v>#DIV/0!</v>
      </c>
      <c r="C2" s="2152" t="s">
        <v>2572</v>
      </c>
      <c r="D2" s="2153" t="s">
        <v>2573</v>
      </c>
      <c r="E2" s="2154"/>
      <c r="F2" s="2153" t="s">
        <v>2574</v>
      </c>
      <c r="G2" s="2155">
        <f>IF(E2="商业",项目基本情况!B37,IF(E2="办公",项目基本情况!C37,IF(E2="住宅",项目基本情况!D37,项目基本情况!E37)))</f>
        <v>0</v>
      </c>
      <c r="H2" s="2153" t="s">
        <v>2575</v>
      </c>
      <c r="I2" s="2155">
        <f>IF(E2="商业",项目基本情况!B38,IF(E2="办公",项目基本情况!C38,IF(E2="住宅",项目基本情况!D38,项目基本情况!E38)))</f>
        <v>0</v>
      </c>
      <c r="J2" s="2156"/>
      <c r="K2" s="1251"/>
      <c r="L2" s="2157" t="s">
        <v>2576</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2577</v>
      </c>
      <c r="B3" s="210" t="e">
        <f>ROUND(B2*10000/D1,0)</f>
        <v>#DIV/0!</v>
      </c>
      <c r="C3" s="2152" t="s">
        <v>2578</v>
      </c>
      <c r="D3" s="2153" t="s">
        <v>2579</v>
      </c>
      <c r="E3" s="2158"/>
      <c r="F3" s="2159" t="s">
        <v>2580</v>
      </c>
      <c r="G3" s="854">
        <f>IF(F3="宗地容积率",'数据-汇总表'!I4,IF(F3="估价对象容积率",'数据-汇总表'!I6,'数据-汇总表'!I7))</f>
        <v>5.15</v>
      </c>
      <c r="H3" s="175" t="s">
        <v>2581</v>
      </c>
      <c r="I3" s="880"/>
      <c r="J3" s="2156" t="s">
        <v>2582</v>
      </c>
      <c r="K3" s="1251"/>
      <c r="L3" s="2157"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607"/>
      <c r="B4" s="3608"/>
      <c r="C4" s="3608"/>
      <c r="D4" s="3609"/>
      <c r="E4" s="3609"/>
      <c r="F4" s="3609"/>
      <c r="G4" s="3609"/>
      <c r="H4" s="3609"/>
      <c r="I4" s="3609"/>
      <c r="J4" s="3610"/>
      <c r="K4" s="1251"/>
      <c r="L4" s="2157"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2585</v>
      </c>
      <c r="C5" s="855" t="e">
        <f>ROUND(IF(E2="商业",C6*C7+C16,(IF(E2="住宅",C6*C12+C16,C6+C16))),0)</f>
        <v>#DIV/0!</v>
      </c>
      <c r="D5" s="1491" t="e">
        <f>ROUND(C6+C16,0)</f>
        <v>#DIV/0!</v>
      </c>
      <c r="E5" s="1491"/>
      <c r="F5" s="2162"/>
      <c r="G5" s="2163"/>
      <c r="H5" s="2163"/>
      <c r="I5" s="2163"/>
      <c r="J5" s="2164"/>
      <c r="K5" s="2165"/>
      <c r="L5" s="2157"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2587</v>
      </c>
      <c r="B6" s="2171" t="s">
        <v>2588</v>
      </c>
      <c r="C6" s="856">
        <f>SUMIF(L1:L12,G2,M1:M12)</f>
        <v>0</v>
      </c>
      <c r="D6" s="2172" t="s">
        <v>2589</v>
      </c>
      <c r="E6" s="2173"/>
      <c r="F6" s="2173"/>
      <c r="G6" s="2174"/>
      <c r="H6" s="2174"/>
      <c r="I6" s="2174"/>
      <c r="J6" s="2175"/>
      <c r="K6" s="1536"/>
      <c r="L6" s="2157"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611" t="str">
        <f>IF(E2="商业",IF(C8="不临58条商业街","",2),"")</f>
        <v/>
      </c>
      <c r="B7" s="2176" t="s">
        <v>2591</v>
      </c>
      <c r="C7" s="857" t="e">
        <f>IF(C8="不临58条商业街",1,ROUND(1+(1.6*E8+1.2*E9+0.8*E10+0.4*E11)*C9,4))</f>
        <v>#DIV/0!</v>
      </c>
      <c r="D7" s="2177" t="s">
        <v>2592</v>
      </c>
      <c r="E7" s="881"/>
      <c r="F7" s="2178"/>
      <c r="G7" s="2179"/>
      <c r="H7" s="2179"/>
      <c r="I7" s="2179"/>
      <c r="J7" s="2180"/>
      <c r="K7" s="1536"/>
      <c r="L7" s="2157"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2594</v>
      </c>
      <c r="X7" s="1346">
        <f>G2</f>
        <v>0</v>
      </c>
      <c r="Y7" s="1346" t="s">
        <v>2595</v>
      </c>
      <c r="Z7" s="1347">
        <f>G3</f>
        <v>5.15</v>
      </c>
      <c r="AA7" s="1348"/>
      <c r="AB7" s="1348"/>
      <c r="AC7" s="1349"/>
      <c r="AD7" s="1350"/>
      <c r="AE7" s="1350"/>
      <c r="AF7" s="1350"/>
      <c r="AG7" s="1350"/>
      <c r="AH7" s="1350"/>
      <c r="AI7" s="1350"/>
      <c r="AJ7" s="1351"/>
    </row>
    <row r="8" spans="1:36" ht="15">
      <c r="A8" s="3612"/>
      <c r="B8" s="175" t="s">
        <v>2596</v>
      </c>
      <c r="C8" s="2181"/>
      <c r="D8" s="858" t="s">
        <v>139</v>
      </c>
      <c r="E8" s="859" t="e">
        <f>ROUND(C11/E7,4)</f>
        <v>#DIV/0!</v>
      </c>
      <c r="F8" s="2182" t="s">
        <v>2597</v>
      </c>
      <c r="G8" s="2183"/>
      <c r="H8" s="2183"/>
      <c r="I8" s="2183"/>
      <c r="J8" s="2184"/>
      <c r="K8" s="1251"/>
      <c r="L8" s="2157"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604" t="s">
        <v>2599</v>
      </c>
      <c r="X8" s="3605"/>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612"/>
      <c r="B9" s="175" t="s">
        <v>2612</v>
      </c>
      <c r="C9" s="860">
        <f>SUMIF(修正!C59:C119,C8,修正!E59:E119)</f>
        <v>0</v>
      </c>
      <c r="D9" s="176" t="s">
        <v>140</v>
      </c>
      <c r="E9" s="176" t="e">
        <f>ROUND(C11/E7,4)</f>
        <v>#DIV/0!</v>
      </c>
      <c r="F9" s="2182" t="s">
        <v>2613</v>
      </c>
      <c r="G9" s="2183"/>
      <c r="H9" s="2183"/>
      <c r="I9" s="2183"/>
      <c r="J9" s="2184"/>
      <c r="K9" s="1251"/>
      <c r="L9" s="2157"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606"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612"/>
      <c r="B10" s="175" t="s">
        <v>2617</v>
      </c>
      <c r="C10" s="176">
        <f>SUMIF(修正!C59:C119,C8,修正!F59:F119)</f>
        <v>0</v>
      </c>
      <c r="D10" s="176" t="s">
        <v>141</v>
      </c>
      <c r="E10" s="176" t="e">
        <f>ROUND(C11/E7,4)</f>
        <v>#DIV/0!</v>
      </c>
      <c r="F10" s="2182" t="s">
        <v>2618</v>
      </c>
      <c r="G10" s="2183"/>
      <c r="H10" s="2183"/>
      <c r="I10" s="2183"/>
      <c r="J10" s="2184"/>
      <c r="K10" s="1251"/>
      <c r="L10" s="2157" t="s">
        <v>2619</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606"/>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612"/>
      <c r="B11" s="2185" t="s">
        <v>2620</v>
      </c>
      <c r="C11" s="861">
        <f>C10/4</f>
        <v>0</v>
      </c>
      <c r="D11" s="861" t="s">
        <v>142</v>
      </c>
      <c r="E11" s="861" t="e">
        <f>ROUND(C11/E7,4)</f>
        <v>#DIV/0!</v>
      </c>
      <c r="F11" s="2186" t="s">
        <v>2621</v>
      </c>
      <c r="G11" s="2187"/>
      <c r="H11" s="2187"/>
      <c r="I11" s="2187"/>
      <c r="J11" s="2188"/>
      <c r="K11" s="1251"/>
      <c r="L11" s="2157"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606" t="s">
        <v>2623</v>
      </c>
      <c r="X11" s="1356" t="s">
        <v>2624</v>
      </c>
      <c r="Y11" s="1357">
        <f>$G$3</f>
        <v>5.15</v>
      </c>
      <c r="Z11" s="1357">
        <f t="shared" ref="Z11:AJ11" si="3">$G$3</f>
        <v>5.15</v>
      </c>
      <c r="AA11" s="1357">
        <f t="shared" si="3"/>
        <v>5.15</v>
      </c>
      <c r="AB11" s="1357">
        <f t="shared" si="3"/>
        <v>5.15</v>
      </c>
      <c r="AC11" s="1357">
        <f t="shared" si="3"/>
        <v>5.15</v>
      </c>
      <c r="AD11" s="1357">
        <f t="shared" si="3"/>
        <v>5.15</v>
      </c>
      <c r="AE11" s="1357">
        <f t="shared" si="3"/>
        <v>5.15</v>
      </c>
      <c r="AF11" s="1357">
        <f t="shared" si="3"/>
        <v>5.15</v>
      </c>
      <c r="AG11" s="1357">
        <f t="shared" si="3"/>
        <v>5.15</v>
      </c>
      <c r="AH11" s="1357">
        <f t="shared" si="3"/>
        <v>5.15</v>
      </c>
      <c r="AI11" s="1357">
        <f t="shared" si="3"/>
        <v>5.15</v>
      </c>
      <c r="AJ11" s="1357">
        <f t="shared" si="3"/>
        <v>5.15</v>
      </c>
    </row>
    <row r="12" spans="1:36" ht="25.5" thickBot="1">
      <c r="A12" s="3611" t="s">
        <v>2625</v>
      </c>
      <c r="B12" s="2189" t="s">
        <v>2626</v>
      </c>
      <c r="C12" s="857">
        <f>ROUND(C15*D15*E15*F15*G15*H15*I15*J15,4)</f>
        <v>1</v>
      </c>
      <c r="D12" s="2190" t="s">
        <v>2627</v>
      </c>
      <c r="E12" s="2191"/>
      <c r="F12" s="2191"/>
      <c r="G12" s="2192"/>
      <c r="H12" s="2192"/>
      <c r="I12" s="2192"/>
      <c r="J12" s="2193"/>
      <c r="K12" s="1251"/>
      <c r="L12" s="2194"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606"/>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613"/>
      <c r="B13" s="2195" t="s">
        <v>2630</v>
      </c>
      <c r="C13" s="2196" t="s">
        <v>2631</v>
      </c>
      <c r="D13" s="1502" t="s">
        <v>2632</v>
      </c>
      <c r="E13" s="1502" t="s">
        <v>2633</v>
      </c>
      <c r="F13" s="30" t="s">
        <v>2634</v>
      </c>
      <c r="G13" s="2197" t="s">
        <v>2635</v>
      </c>
      <c r="H13" s="2197" t="s">
        <v>2635</v>
      </c>
      <c r="I13" s="2197" t="s">
        <v>2635</v>
      </c>
      <c r="J13" s="2198" t="s">
        <v>2635</v>
      </c>
      <c r="K13" s="1251"/>
      <c r="L13" s="1251"/>
      <c r="M13" s="1251"/>
      <c r="N13" s="1251"/>
      <c r="O13" s="1251"/>
      <c r="P13" s="1251"/>
      <c r="Q13" s="1251"/>
      <c r="R13" s="1344">
        <v>12</v>
      </c>
      <c r="S13" s="1345"/>
      <c r="T13" s="1344" t="e">
        <f t="shared" si="0"/>
        <v>#DIV/0!</v>
      </c>
      <c r="U13" s="1345"/>
      <c r="V13" s="1344" t="e">
        <f t="shared" si="1"/>
        <v>#DIV/0!</v>
      </c>
      <c r="W13" s="3606"/>
      <c r="X13" s="1358"/>
      <c r="Y13" s="1355">
        <f>(-0.163*(Y12^2)-0.59*Y12+7617)*(10^(-4))/Y11</f>
        <v>0.14790291262135921</v>
      </c>
      <c r="Z13" s="1355">
        <f t="shared" ref="Z13:AJ13" si="5">(-0.163*(Z12^2)-0.59*Z12+7617)*(10^(-4))/Z11</f>
        <v>0.14790291262135921</v>
      </c>
      <c r="AA13" s="1355">
        <f t="shared" si="5"/>
        <v>0.14790291262135921</v>
      </c>
      <c r="AB13" s="1355">
        <f t="shared" si="5"/>
        <v>0.14790291262135921</v>
      </c>
      <c r="AC13" s="1355">
        <f t="shared" si="5"/>
        <v>0.14790291262135921</v>
      </c>
      <c r="AD13" s="1355">
        <f t="shared" si="5"/>
        <v>0.14790291262135921</v>
      </c>
      <c r="AE13" s="1355">
        <f t="shared" si="5"/>
        <v>0.14790291262135921</v>
      </c>
      <c r="AF13" s="1355">
        <f t="shared" si="5"/>
        <v>0.14790291262135921</v>
      </c>
      <c r="AG13" s="1355">
        <f t="shared" si="5"/>
        <v>0.14790291262135921</v>
      </c>
      <c r="AH13" s="1355">
        <f t="shared" si="5"/>
        <v>0.14790291262135921</v>
      </c>
      <c r="AI13" s="1355">
        <f t="shared" si="5"/>
        <v>0.14790291262135921</v>
      </c>
      <c r="AJ13" s="1355">
        <f t="shared" si="5"/>
        <v>0.14790291262135921</v>
      </c>
    </row>
    <row r="14" spans="1:36" ht="15">
      <c r="A14" s="3613"/>
      <c r="B14" s="2199"/>
      <c r="C14" s="2200"/>
      <c r="D14" s="2201"/>
      <c r="E14" s="2201"/>
      <c r="F14" s="2202"/>
      <c r="G14" s="2203" t="s">
        <v>2636</v>
      </c>
      <c r="H14" s="2204"/>
      <c r="I14" s="2205"/>
      <c r="J14" s="2206"/>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6"/>
      <c r="AE14" s="2986"/>
      <c r="AF14" s="2986"/>
      <c r="AG14" s="2986"/>
      <c r="AH14" s="2986"/>
      <c r="AI14" s="2986"/>
      <c r="AJ14" s="2987"/>
    </row>
    <row r="15" spans="1:36" ht="15.75" thickBot="1">
      <c r="A15" s="3614"/>
      <c r="B15" s="2207" t="s">
        <v>2637</v>
      </c>
      <c r="C15" s="193">
        <f>IF(C14="有",1.1,1)</f>
        <v>1</v>
      </c>
      <c r="D15" s="193">
        <f>IF(D14="有",1.1,1)</f>
        <v>1</v>
      </c>
      <c r="E15" s="193">
        <f>IF(E14="有",1.1,1)</f>
        <v>1</v>
      </c>
      <c r="F15" s="193">
        <f>IF(F14="500米范围内",1.2,IF(F14="500-1000米",1.1,1))</f>
        <v>1</v>
      </c>
      <c r="G15" s="882">
        <v>1</v>
      </c>
      <c r="H15" s="882">
        <v>1</v>
      </c>
      <c r="I15" s="882">
        <v>1</v>
      </c>
      <c r="J15" s="883">
        <v>1</v>
      </c>
      <c r="K15" s="1251"/>
      <c r="L15" s="2150"/>
      <c r="M15" s="2150"/>
      <c r="N15" s="2150"/>
      <c r="O15" s="2150"/>
      <c r="P15" s="2150"/>
      <c r="Q15" s="1251"/>
      <c r="R15" s="1344">
        <v>14</v>
      </c>
      <c r="S15" s="1345"/>
      <c r="T15" s="1344" t="e">
        <f t="shared" si="0"/>
        <v>#DIV/0!</v>
      </c>
      <c r="U15" s="1345"/>
      <c r="V15" s="1344" t="e">
        <f t="shared" si="1"/>
        <v>#DIV/0!</v>
      </c>
      <c r="W15" s="1348"/>
      <c r="X15" s="1348"/>
      <c r="Y15" s="1348"/>
      <c r="Z15" s="1348"/>
      <c r="AA15" s="1348"/>
      <c r="AB15" s="1348"/>
      <c r="AC15" s="1349"/>
      <c r="AD15" s="2986"/>
      <c r="AE15" s="2986"/>
      <c r="AF15" s="2986"/>
      <c r="AG15" s="2986"/>
      <c r="AH15" s="2986"/>
      <c r="AI15" s="2986"/>
      <c r="AJ15" s="2987"/>
    </row>
    <row r="16" spans="1:36" ht="24.6" customHeight="1">
      <c r="A16" s="3611" t="s">
        <v>2642</v>
      </c>
      <c r="B16" s="2176" t="s">
        <v>2643</v>
      </c>
      <c r="C16" s="2338" t="e">
        <f>ROUND(IF(F17="与级别开发程度一致",0,(G17-E17)/C17),0)</f>
        <v>#DIV/0!</v>
      </c>
      <c r="D16" s="3627" t="s">
        <v>2647</v>
      </c>
      <c r="E16" s="3628"/>
      <c r="F16" s="3627" t="s">
        <v>2644</v>
      </c>
      <c r="G16" s="3628"/>
      <c r="H16" s="2208"/>
      <c r="I16" s="2208"/>
      <c r="J16" s="2342"/>
      <c r="K16" s="2208"/>
      <c r="L16" s="2208"/>
      <c r="M16" s="2208"/>
      <c r="N16" s="2208"/>
      <c r="O16" s="2209"/>
      <c r="P16" s="2150"/>
      <c r="Q16" s="1251"/>
      <c r="R16" s="1344">
        <v>15</v>
      </c>
      <c r="S16" s="1345"/>
      <c r="T16" s="1344" t="e">
        <f t="shared" si="0"/>
        <v>#DIV/0!</v>
      </c>
      <c r="U16" s="1345"/>
      <c r="V16" s="1344" t="e">
        <f t="shared" si="1"/>
        <v>#DIV/0!</v>
      </c>
      <c r="W16" s="1348"/>
      <c r="X16" s="1348"/>
      <c r="Y16" s="1348"/>
      <c r="Z16" s="1348"/>
      <c r="AA16" s="1348"/>
      <c r="AB16" s="1348"/>
      <c r="AC16" s="1349"/>
      <c r="AD16" s="2986"/>
      <c r="AE16" s="2986"/>
      <c r="AF16" s="2986"/>
      <c r="AG16" s="2986"/>
      <c r="AH16" s="2986"/>
      <c r="AI16" s="2986"/>
      <c r="AJ16" s="2987"/>
    </row>
    <row r="17" spans="1:37" ht="13.5" thickBot="1">
      <c r="A17" s="3615"/>
      <c r="B17" s="2349" t="s">
        <v>2646</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1"/>
      <c r="R17" s="1251"/>
      <c r="S17" s="1251"/>
      <c r="T17" s="1251"/>
      <c r="U17" s="1251"/>
      <c r="V17" s="1251"/>
      <c r="W17" s="1251"/>
      <c r="X17" s="1251"/>
      <c r="Y17" s="1251"/>
      <c r="Z17" s="1252"/>
      <c r="AA17" s="1252"/>
      <c r="AB17" s="1252"/>
      <c r="AC17" s="1252"/>
      <c r="AD17" s="1252"/>
      <c r="AE17" s="1251"/>
      <c r="AF17" s="1251"/>
      <c r="AG17" s="2150"/>
      <c r="AH17" s="2150"/>
      <c r="AI17" s="2150"/>
      <c r="AJ17" s="2150"/>
    </row>
    <row r="18" spans="1:37" s="2169" customFormat="1" ht="15.75" thickBot="1">
      <c r="A18" s="2343" t="s">
        <v>808</v>
      </c>
      <c r="B18" s="2344" t="s">
        <v>2649</v>
      </c>
      <c r="C18" s="2345">
        <f>SUMIF(修正!C18:C39,E3,修正!E18:E39)</f>
        <v>0</v>
      </c>
      <c r="D18" s="2346"/>
      <c r="E18" s="2347"/>
      <c r="F18" s="2347"/>
      <c r="G18" s="2347"/>
      <c r="H18" s="2347"/>
      <c r="I18" s="2347"/>
      <c r="J18" s="2348"/>
      <c r="K18" s="1258"/>
      <c r="L18" s="2985"/>
      <c r="M18" s="2985"/>
      <c r="N18" s="2985"/>
      <c r="O18" s="1256"/>
      <c r="P18" s="1256"/>
      <c r="Q18" s="1257"/>
      <c r="R18" s="1257"/>
      <c r="S18" s="1257"/>
      <c r="T18" s="1252"/>
      <c r="U18" s="1252"/>
      <c r="V18" s="1252"/>
      <c r="W18" s="1251"/>
      <c r="X18" s="1251"/>
      <c r="Y18" s="1251"/>
      <c r="Z18" s="1258"/>
      <c r="AA18" s="1258"/>
      <c r="AB18" s="1258"/>
      <c r="AC18" s="1258"/>
      <c r="AD18" s="1258"/>
      <c r="AE18" s="1252"/>
      <c r="AF18" s="1252"/>
      <c r="AG18" s="2307"/>
      <c r="AH18" s="2307"/>
      <c r="AI18" s="2307"/>
      <c r="AJ18" s="2985"/>
    </row>
    <row r="19" spans="1:37" s="2169" customFormat="1" ht="27.75" thickBot="1">
      <c r="A19" s="2213" t="s">
        <v>809</v>
      </c>
      <c r="B19" s="2214" t="s">
        <v>2650</v>
      </c>
      <c r="C19" s="862" t="e">
        <f>ROUND(IF(H19="按公示增长率计算",SUMPRODUCT((地价!A3:A37=YEAR(G19)&amp;"-"&amp;ROUNDUP(MONTH(G19)/3,0))*(地价!X2:AB2=E2)*(地价!X3:AB37)),IF(H19="地价指数",M20/M19,(1+I19)^O19)),4)</f>
        <v>#VALUE!</v>
      </c>
      <c r="D19" s="2218" t="s">
        <v>2651</v>
      </c>
      <c r="E19" s="863">
        <v>41640</v>
      </c>
      <c r="F19" s="2218" t="s">
        <v>2652</v>
      </c>
      <c r="G19" s="864">
        <f>'数据-取费表'!B2</f>
        <v>44665</v>
      </c>
      <c r="H19" s="2219"/>
      <c r="I19" s="865" t="str">
        <f>IF(H19="季度增幅（自定义）",SUMIF(N21:N24,E2,O21:O24),"")</f>
        <v/>
      </c>
      <c r="J19" s="2216"/>
      <c r="K19" s="1258"/>
      <c r="L19" s="2220" t="s">
        <v>2653</v>
      </c>
      <c r="M19" s="1466">
        <f>ROUND(SUMIF(地价!B2:F2,E2,地价!B37:F37),0)</f>
        <v>0</v>
      </c>
      <c r="N19" s="2221" t="s">
        <v>2654</v>
      </c>
      <c r="O19" s="866">
        <f>ROUNDDOWN(DATEDIF(E19,G19,"M")/3,0)</f>
        <v>33</v>
      </c>
      <c r="P19" s="1255"/>
      <c r="Q19" s="1257"/>
      <c r="R19" s="1257"/>
      <c r="S19" s="1257"/>
      <c r="T19" s="1252"/>
      <c r="U19" s="1252"/>
      <c r="V19" s="1252"/>
      <c r="W19" s="1251"/>
      <c r="X19" s="1251"/>
      <c r="Y19" s="1251"/>
      <c r="Z19" s="1258"/>
      <c r="AA19" s="1258"/>
      <c r="AB19" s="1258"/>
      <c r="AC19" s="1258"/>
      <c r="AD19" s="1258"/>
      <c r="AE19" s="1258"/>
      <c r="AF19" s="1257"/>
      <c r="AG19" s="2988"/>
      <c r="AH19" s="2307"/>
      <c r="AI19" s="2989"/>
      <c r="AJ19" s="2989"/>
      <c r="AK19" s="2222"/>
    </row>
    <row r="20" spans="1:37" s="2169" customFormat="1" ht="27.75" thickBot="1">
      <c r="A20" s="2223" t="s">
        <v>810</v>
      </c>
      <c r="B20" s="2224" t="s">
        <v>2655</v>
      </c>
      <c r="C20" s="867" t="e">
        <f>ROUND(POWER(1+G20,J20-I20)*(POWER(1+G20,I20)-1)/(POWER(1+G20,J20)-1),4)</f>
        <v>#DIV/0!</v>
      </c>
      <c r="D20" s="2225" t="s">
        <v>2656</v>
      </c>
      <c r="E20" s="1473">
        <f>存贷款利率!E20/100</f>
        <v>4.3499999999999997E-2</v>
      </c>
      <c r="F20" s="2225" t="s">
        <v>2648</v>
      </c>
      <c r="G20" s="872">
        <f>SUMIF(M26:P26,E2,M28:P28)</f>
        <v>0</v>
      </c>
      <c r="H20" s="2225" t="s">
        <v>2657</v>
      </c>
      <c r="I20" s="873" t="e">
        <f>SUMIF('数据-取费表'!C6:C15,E2,'数据-取费表'!F6:F15)/COUNTIF('数据-取费表'!C6:C15,E2)</f>
        <v>#DIV/0!</v>
      </c>
      <c r="J20" s="874">
        <f>IF(E2="住宅",70,IF(E2="商业",40,50))</f>
        <v>50</v>
      </c>
      <c r="K20" s="1258"/>
      <c r="L20" s="2226" t="s">
        <v>2658</v>
      </c>
      <c r="M20" s="1467">
        <f>ROUND(SUMPRODUCT((地价!A4:A37=YEAR(G19)&amp;"-"&amp;ROUNDUP(MONTH(G19)/3,0))*(地价!B2:F2=E2)*(地价!B4:F37)),0)</f>
        <v>0</v>
      </c>
      <c r="N20" s="2227" t="s">
        <v>2659</v>
      </c>
      <c r="O20" s="2228" t="s">
        <v>2660</v>
      </c>
      <c r="P20" s="2229" t="s">
        <v>2661</v>
      </c>
      <c r="Q20" s="2985"/>
      <c r="R20" s="1257"/>
      <c r="S20" s="1257"/>
      <c r="T20" s="1252"/>
      <c r="U20" s="1252"/>
      <c r="V20" s="1252"/>
      <c r="W20" s="1251"/>
      <c r="X20" s="1251"/>
      <c r="Y20" s="1251"/>
      <c r="Z20" s="1258"/>
      <c r="AA20" s="1258"/>
      <c r="AB20" s="1258"/>
      <c r="AC20" s="1258"/>
      <c r="AD20" s="1258"/>
      <c r="AE20" s="1258"/>
      <c r="AF20" s="1258"/>
      <c r="AG20" s="2985"/>
      <c r="AH20" s="2985"/>
      <c r="AI20" s="2985"/>
      <c r="AJ20" s="2985"/>
    </row>
    <row r="21" spans="1:37" s="2169" customFormat="1" ht="15">
      <c r="A21" s="2230" t="s">
        <v>811</v>
      </c>
      <c r="B21" s="2231" t="s">
        <v>2662</v>
      </c>
      <c r="C21" s="875">
        <f>IF(B21="容积率修正",IF(G3&lt;=10,D22,J22),C23)</f>
        <v>0</v>
      </c>
      <c r="D21" s="2232"/>
      <c r="E21" s="2232"/>
      <c r="F21" s="2232"/>
      <c r="G21" s="2232"/>
      <c r="H21" s="2232"/>
      <c r="I21" s="2232"/>
      <c r="J21" s="2233"/>
      <c r="K21" s="1258"/>
      <c r="L21" s="2985"/>
      <c r="M21" s="2985"/>
      <c r="N21" s="2234" t="s">
        <v>2663</v>
      </c>
      <c r="O21" s="1305"/>
      <c r="P21" s="1306">
        <f>SUMPRODUCT((地价!A3:A37=YEAR(G19)&amp;"-"&amp;ROUNDUP(MONTH(G19)/3,0))*(地价!AD2:AH2=N21)*(地价!AD3:AH37))</f>
        <v>0</v>
      </c>
      <c r="Q21" s="2985"/>
      <c r="R21" s="1257"/>
      <c r="S21" s="1257"/>
      <c r="T21" s="1252"/>
      <c r="U21" s="1252"/>
      <c r="V21" s="1252"/>
      <c r="W21" s="1251"/>
      <c r="X21" s="1251"/>
      <c r="Y21" s="1251"/>
      <c r="Z21" s="1258"/>
      <c r="AA21" s="1258"/>
      <c r="AB21" s="1258"/>
      <c r="AC21" s="1258"/>
      <c r="AD21" s="1258"/>
      <c r="AE21" s="1258"/>
      <c r="AF21" s="1258"/>
      <c r="AG21" s="2985"/>
      <c r="AH21" s="2985"/>
      <c r="AI21" s="2985"/>
      <c r="AJ21" s="2985"/>
    </row>
    <row r="22" spans="1:37" s="2169" customFormat="1" ht="14.25">
      <c r="A22" s="2108" t="s">
        <v>2664</v>
      </c>
      <c r="B22" s="2235" t="s">
        <v>2665</v>
      </c>
      <c r="C22" s="1504" t="s">
        <v>2666</v>
      </c>
      <c r="D22" s="1504">
        <f>IF(E22=G22,F22,IF(G3&lt;=10,ROUND(F22+(H22-F22)*(G3-E22)/(G22-E22),4),"——"))</f>
        <v>0</v>
      </c>
      <c r="E22" s="854">
        <f>ROUNDDOWN(G3,1)</f>
        <v>5.0999999999999996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5.1999999999999993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5"/>
      <c r="M22" s="2985"/>
      <c r="N22" s="2234" t="s">
        <v>2667</v>
      </c>
      <c r="O22" s="1305"/>
      <c r="P22" s="1306">
        <f>SUMPRODUCT((地价!A3:A37=YEAR(G19)&amp;"-"&amp;ROUNDUP(MONTH(G19)/3,0))*(地价!AD2:AH2=N22)*(地价!AD3:AH37))</f>
        <v>0</v>
      </c>
      <c r="Q22" s="2985"/>
      <c r="R22" s="1257"/>
      <c r="S22" s="1257"/>
      <c r="T22" s="1252"/>
      <c r="U22" s="1252"/>
      <c r="V22" s="1252"/>
      <c r="W22" s="1251"/>
      <c r="X22" s="1251"/>
      <c r="Y22" s="1251"/>
      <c r="Z22" s="1258"/>
      <c r="AA22" s="1258"/>
      <c r="AB22" s="1258"/>
      <c r="AC22" s="1258"/>
      <c r="AD22" s="1258"/>
      <c r="AE22" s="1258"/>
      <c r="AF22" s="1258"/>
      <c r="AG22" s="2985"/>
      <c r="AH22" s="2985"/>
      <c r="AI22" s="2985"/>
      <c r="AJ22" s="2985"/>
    </row>
    <row r="23" spans="1:37" ht="27.75" thickBot="1">
      <c r="A23" s="2108" t="s">
        <v>2668</v>
      </c>
      <c r="B23" s="2236" t="s">
        <v>2669</v>
      </c>
      <c r="C23" s="949">
        <f>ROUND(IF(G3&gt;1,IF(I3&lt;7,SUMPRODUCT((B93:B98=I3)*(C92:N92=G2)*(C93:N98)),SUMIF(C92:N92,G2,C100:N100)),IF(I3&lt;7,SUMPRODUCT((B102:B107=I3)*(C92:N92=G2)*(C102:N107)),SUMIF(C92:N92,G2,C109:N109))),4)</f>
        <v>0</v>
      </c>
      <c r="D23" s="2204"/>
      <c r="E23" s="2204"/>
      <c r="F23" s="2237"/>
      <c r="G23" s="2238"/>
      <c r="H23" s="2239"/>
      <c r="I23" s="2240"/>
      <c r="J23" s="2241"/>
      <c r="K23" s="1251"/>
      <c r="L23" s="2150"/>
      <c r="M23" s="2150"/>
      <c r="N23" s="2234" t="s">
        <v>2670</v>
      </c>
      <c r="O23" s="1305"/>
      <c r="P23" s="1306">
        <f>SUMPRODUCT((地价!A3:A37=YEAR(G19)&amp;"-"&amp;ROUNDUP(MONTH(G19)/3,0))*(地价!AD2:AH2=N23)*(地价!AD3:AH37))</f>
        <v>0</v>
      </c>
      <c r="Q23" s="2150"/>
      <c r="R23" s="1257"/>
      <c r="S23" s="1257"/>
      <c r="T23" s="1252"/>
      <c r="U23" s="1252"/>
      <c r="V23" s="1252"/>
      <c r="W23" s="1251"/>
      <c r="X23" s="1251"/>
      <c r="Y23" s="1251"/>
      <c r="Z23" s="1258"/>
      <c r="AA23" s="1258"/>
      <c r="AB23" s="1258"/>
      <c r="AC23" s="1258"/>
      <c r="AD23" s="1258"/>
      <c r="AE23" s="1252"/>
      <c r="AF23" s="1252"/>
      <c r="AG23" s="2307"/>
      <c r="AH23" s="2307"/>
      <c r="AI23" s="2307"/>
      <c r="AJ23" s="2307"/>
      <c r="AK23" s="2217"/>
    </row>
    <row r="24" spans="1:37" s="2169" customFormat="1" ht="15.75" thickBot="1">
      <c r="A24" s="2223" t="s">
        <v>812</v>
      </c>
      <c r="B24" s="2214" t="s">
        <v>2671</v>
      </c>
      <c r="C24" s="862">
        <f>SUMIF(A45:A88,E2,B45:B88)</f>
        <v>0</v>
      </c>
      <c r="D24" s="2215"/>
      <c r="E24" s="2242"/>
      <c r="F24" s="2242"/>
      <c r="G24" s="2242"/>
      <c r="H24" s="2242"/>
      <c r="I24" s="2242"/>
      <c r="J24" s="2243"/>
      <c r="K24" s="1258"/>
      <c r="L24" s="2985"/>
      <c r="M24" s="2985"/>
      <c r="N24" s="2244" t="s">
        <v>2672</v>
      </c>
      <c r="O24" s="1307"/>
      <c r="P24" s="1308">
        <f>SUMPRODUCT((地价!A3:A37=YEAR(G19)&amp;"-"&amp;ROUNDUP(MONTH(G19)/3,0))*(地价!AD2:AH2=N24)*(地价!AD3:AH37))</f>
        <v>0</v>
      </c>
      <c r="Q24" s="2985"/>
      <c r="R24" s="1257"/>
      <c r="S24" s="1257"/>
      <c r="T24" s="1252"/>
      <c r="U24" s="1252"/>
      <c r="V24" s="1252"/>
      <c r="W24" s="1251"/>
      <c r="X24" s="1251"/>
      <c r="Y24" s="1251"/>
      <c r="Z24" s="1258"/>
      <c r="AA24" s="1258"/>
      <c r="AB24" s="1258"/>
      <c r="AC24" s="1258"/>
      <c r="AD24" s="1258"/>
      <c r="AE24" s="1258"/>
      <c r="AF24" s="1258"/>
      <c r="AG24" s="2985"/>
      <c r="AH24" s="2985"/>
      <c r="AI24" s="2985"/>
      <c r="AJ24" s="2985"/>
    </row>
    <row r="25" spans="1:37" ht="15.75" thickBot="1">
      <c r="A25" s="2223" t="s">
        <v>813</v>
      </c>
      <c r="B25" s="2245" t="s">
        <v>2673</v>
      </c>
      <c r="C25" s="868"/>
      <c r="D25" s="2179"/>
      <c r="E25" s="2179"/>
      <c r="F25" s="2246"/>
      <c r="G25" s="2179"/>
      <c r="H25" s="2179"/>
      <c r="I25" s="2179"/>
      <c r="J25" s="2180"/>
      <c r="K25" s="1251"/>
      <c r="L25" s="2150"/>
      <c r="M25" s="2150"/>
      <c r="N25" s="2980" t="s">
        <v>2674</v>
      </c>
      <c r="O25" s="2981"/>
      <c r="P25" s="2982">
        <f>SUMPRODUCT((地价!A3:A37=YEAR(G19)&amp;"-"&amp;ROUNDUP(MONTH(G19)/3,0))*(地价!AD2:AH2=N25)*(地价!AD3:AH37))</f>
        <v>0</v>
      </c>
      <c r="Q25" s="2150"/>
      <c r="R25" s="1257"/>
      <c r="S25" s="1257"/>
      <c r="T25" s="1252"/>
      <c r="U25" s="1252"/>
      <c r="V25" s="1252"/>
      <c r="W25" s="1251"/>
      <c r="X25" s="1251"/>
      <c r="Y25" s="1251"/>
      <c r="Z25" s="1258"/>
      <c r="AA25" s="1258"/>
      <c r="AB25" s="1258"/>
      <c r="AC25" s="1258"/>
      <c r="AD25" s="1258"/>
      <c r="AE25" s="1252"/>
      <c r="AF25" s="1252"/>
      <c r="AG25" s="2307"/>
      <c r="AH25" s="2307"/>
      <c r="AI25" s="2307"/>
      <c r="AJ25" s="2307"/>
    </row>
    <row r="26" spans="1:37" ht="15">
      <c r="A26" s="2247"/>
      <c r="B26" s="2235" t="s">
        <v>2675</v>
      </c>
      <c r="C26" s="2509" t="e">
        <f>IF(B21="容积率修正",E29+SUM(E33:E39),SUM(V2:V16)+SUM(E33:E39))</f>
        <v>#DIV/0!</v>
      </c>
      <c r="D26" s="2248"/>
      <c r="E26" s="2204"/>
      <c r="F26" s="2249"/>
      <c r="G26" s="2204"/>
      <c r="H26" s="2204"/>
      <c r="I26" s="2204"/>
      <c r="J26" s="2250"/>
      <c r="K26" s="1251"/>
      <c r="L26" s="2983" t="s">
        <v>2573</v>
      </c>
      <c r="M26" s="2177" t="s">
        <v>2638</v>
      </c>
      <c r="N26" s="2177" t="s">
        <v>2639</v>
      </c>
      <c r="O26" s="2177" t="s">
        <v>2640</v>
      </c>
      <c r="P26" s="2984" t="s">
        <v>2641</v>
      </c>
      <c r="Q26" s="2150"/>
      <c r="R26" s="1257"/>
      <c r="S26" s="1257"/>
      <c r="T26" s="1252"/>
      <c r="U26" s="1252"/>
      <c r="V26" s="1252"/>
      <c r="W26" s="1251"/>
      <c r="X26" s="1251"/>
      <c r="Y26" s="1251"/>
      <c r="Z26" s="1258"/>
      <c r="AA26" s="1258"/>
      <c r="AB26" s="1258"/>
      <c r="AC26" s="1258"/>
      <c r="AD26" s="1258"/>
      <c r="AE26" s="1252"/>
      <c r="AF26" s="1252"/>
      <c r="AG26" s="2307"/>
      <c r="AH26" s="2307"/>
      <c r="AI26" s="2307"/>
      <c r="AJ26" s="2307"/>
    </row>
    <row r="27" spans="1:37" ht="15.75" thickBot="1">
      <c r="A27" s="2247"/>
      <c r="B27" s="2251" t="s">
        <v>2676</v>
      </c>
      <c r="C27" s="869" t="e">
        <f>E30+SUM(I33:I39)</f>
        <v>#DIV/0!</v>
      </c>
      <c r="D27" s="2252"/>
      <c r="E27" s="2253"/>
      <c r="F27" s="2254"/>
      <c r="G27" s="2253"/>
      <c r="H27" s="2253"/>
      <c r="I27" s="2253"/>
      <c r="J27" s="2255"/>
      <c r="K27" s="1251"/>
      <c r="L27" s="2210"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7"/>
      <c r="AH27" s="2307"/>
      <c r="AI27" s="2307"/>
      <c r="AJ27" s="2307"/>
    </row>
    <row r="28" spans="1:37" ht="15.75" thickBot="1">
      <c r="A28" s="2256"/>
      <c r="B28" s="2257" t="s">
        <v>2677</v>
      </c>
      <c r="C28" s="2258" t="s">
        <v>2678</v>
      </c>
      <c r="D28" s="2258" t="s">
        <v>2679</v>
      </c>
      <c r="E28" s="2259" t="s">
        <v>2680</v>
      </c>
      <c r="F28" s="2260"/>
      <c r="G28" s="2192"/>
      <c r="H28" s="2192"/>
      <c r="I28" s="2192"/>
      <c r="J28" s="2193"/>
      <c r="K28" s="1251"/>
      <c r="L28" s="2211" t="s">
        <v>2648</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7"/>
      <c r="AH28" s="2307"/>
      <c r="AI28" s="2307"/>
      <c r="AJ28" s="2307"/>
    </row>
    <row r="29" spans="1:37" ht="22.5" customHeight="1">
      <c r="A29" s="2261"/>
      <c r="B29" s="2262" t="s">
        <v>2681</v>
      </c>
      <c r="C29" s="180" t="e">
        <f>ROUND(C5*C18*C19*C20*C21*C24,0)</f>
        <v>#DIV/0!</v>
      </c>
      <c r="D29" s="2263"/>
      <c r="E29" s="878" t="e">
        <f>ROUND(C29*D29/10000,0)</f>
        <v>#DIV/0!</v>
      </c>
      <c r="F29" s="2264" t="s">
        <v>2682</v>
      </c>
      <c r="G29" s="2265"/>
      <c r="H29" s="2265"/>
      <c r="I29" s="2265"/>
      <c r="J29" s="2266"/>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0"/>
      <c r="AH29" s="2150"/>
      <c r="AI29" s="2150"/>
      <c r="AJ29" s="2150"/>
    </row>
    <row r="30" spans="1:37" ht="25.5" thickBot="1">
      <c r="A30" s="2267"/>
      <c r="B30" s="2268" t="s">
        <v>2683</v>
      </c>
      <c r="C30" s="193" t="e">
        <f>ROUND(IF(E2="工业",C29*M39,C29*M38),0)</f>
        <v>#DIV/0!</v>
      </c>
      <c r="D30" s="2269"/>
      <c r="E30" s="878" t="e">
        <f>ROUND(C30*D30/10000,0)</f>
        <v>#DIV/0!</v>
      </c>
      <c r="F30" s="2270" t="s">
        <v>2684</v>
      </c>
      <c r="G30" s="2271"/>
      <c r="H30" s="2271"/>
      <c r="I30" s="2271"/>
      <c r="J30" s="2272"/>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0"/>
      <c r="AH30" s="2150"/>
      <c r="AI30" s="2150"/>
      <c r="AJ30" s="2150"/>
    </row>
    <row r="31" spans="1:37" ht="14.25">
      <c r="A31" s="2273"/>
      <c r="B31" s="2274" t="s">
        <v>2685</v>
      </c>
      <c r="C31" s="2275" t="s">
        <v>2686</v>
      </c>
      <c r="D31" s="2192"/>
      <c r="E31" s="2275"/>
      <c r="F31" s="2275"/>
      <c r="G31" s="2190" t="s">
        <v>2687</v>
      </c>
      <c r="H31" s="2192"/>
      <c r="I31" s="2276"/>
      <c r="J31" s="2193"/>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0"/>
      <c r="AH31" s="2150"/>
      <c r="AI31" s="2150"/>
      <c r="AJ31" s="2150"/>
    </row>
    <row r="32" spans="1:37" ht="24">
      <c r="A32" s="2261"/>
      <c r="B32" s="2277"/>
      <c r="C32" s="458" t="s">
        <v>2678</v>
      </c>
      <c r="D32" s="455" t="s">
        <v>2679</v>
      </c>
      <c r="E32" s="455" t="s">
        <v>2680</v>
      </c>
      <c r="F32" s="348" t="s">
        <v>2688</v>
      </c>
      <c r="G32" s="2278" t="s">
        <v>2678</v>
      </c>
      <c r="H32" s="2278" t="s">
        <v>2679</v>
      </c>
      <c r="I32" s="2278"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0"/>
      <c r="AH32" s="2150"/>
      <c r="AI32" s="2150"/>
      <c r="AJ32" s="2150"/>
    </row>
    <row r="33" spans="1:37" ht="36" customHeight="1">
      <c r="A33" s="3624"/>
      <c r="B33" s="2279" t="s">
        <v>2689</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629" t="s">
        <v>2989</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7"/>
      <c r="AH33" s="2307"/>
      <c r="AI33" s="2307"/>
      <c r="AJ33" s="2307"/>
    </row>
    <row r="34" spans="1:37" ht="14.25">
      <c r="A34" s="3625"/>
      <c r="B34" s="2196" t="s">
        <v>2690</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2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7"/>
      <c r="AH34" s="2307"/>
      <c r="AI34" s="2307"/>
      <c r="AJ34" s="2307"/>
    </row>
    <row r="35" spans="1:37">
      <c r="A35" s="3625"/>
      <c r="B35" s="2196" t="s">
        <v>2691</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62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7"/>
      <c r="AH35" s="2307"/>
      <c r="AI35" s="2307"/>
      <c r="AJ35" s="2307"/>
    </row>
    <row r="36" spans="1:37" ht="13.5" thickBot="1">
      <c r="A36" s="3626"/>
      <c r="B36" s="2196" t="s">
        <v>2692</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626"/>
      <c r="K36" s="1251"/>
      <c r="L36" s="2150"/>
      <c r="M36" s="2150"/>
      <c r="N36" s="1251"/>
      <c r="O36" s="1251"/>
      <c r="P36" s="1251"/>
      <c r="Q36" s="1251"/>
      <c r="R36" s="1251"/>
      <c r="S36" s="1251"/>
      <c r="T36" s="1251"/>
      <c r="U36" s="1251"/>
      <c r="V36" s="1251"/>
      <c r="W36" s="1251"/>
      <c r="X36" s="1251"/>
      <c r="Y36" s="1251"/>
      <c r="Z36" s="1252"/>
      <c r="AA36" s="1252"/>
      <c r="AB36" s="1252"/>
      <c r="AC36" s="1252"/>
      <c r="AD36" s="1252"/>
      <c r="AE36" s="1252"/>
      <c r="AF36" s="1252"/>
      <c r="AG36" s="2307"/>
      <c r="AH36" s="2307"/>
      <c r="AI36" s="2307"/>
      <c r="AJ36" s="2307"/>
    </row>
    <row r="37" spans="1:37">
      <c r="A37" s="2281"/>
      <c r="B37" s="2196" t="s">
        <v>2693</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1"/>
      <c r="L37" s="2282" t="s">
        <v>2694</v>
      </c>
      <c r="M37" s="2283"/>
      <c r="N37" s="1251"/>
      <c r="O37" s="1251"/>
      <c r="P37" s="1251"/>
      <c r="Q37" s="1251"/>
      <c r="R37" s="1251"/>
      <c r="S37" s="1251"/>
      <c r="T37" s="1251"/>
      <c r="U37" s="1251"/>
      <c r="V37" s="1251"/>
      <c r="W37" s="1251"/>
      <c r="X37" s="1251"/>
      <c r="Y37" s="1251"/>
      <c r="Z37" s="1252"/>
      <c r="AA37" s="1252"/>
      <c r="AB37" s="1252"/>
      <c r="AC37" s="1252"/>
      <c r="AD37" s="1252"/>
      <c r="AE37" s="1252"/>
      <c r="AF37" s="1252"/>
      <c r="AG37" s="2307"/>
      <c r="AH37" s="2307"/>
      <c r="AI37" s="2307"/>
      <c r="AJ37" s="2307"/>
    </row>
    <row r="38" spans="1:37">
      <c r="A38" s="2281"/>
      <c r="B38" s="2196" t="s">
        <v>2695</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1"/>
      <c r="L38" s="1573" t="s">
        <v>2696</v>
      </c>
      <c r="M38" s="2284">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7"/>
      <c r="B39" s="2285" t="s">
        <v>2697</v>
      </c>
      <c r="C39" s="193" t="e">
        <f>ROUND(D5*C19*C41*C24*F39,0)</f>
        <v>#DIV/0!</v>
      </c>
      <c r="D39" s="2269"/>
      <c r="E39" s="193" t="e">
        <f t="shared" si="7"/>
        <v>#DIV/0!</v>
      </c>
      <c r="F39" s="870">
        <f>SUMIF(修正!A45:A56,G2,修正!H45:H56)</f>
        <v>0</v>
      </c>
      <c r="G39" s="193" t="e">
        <f>ROUND(IF(E2="工业",C39*$M$39,C39*$M$38),0)</f>
        <v>#DIV/0!</v>
      </c>
      <c r="H39" s="193">
        <f t="shared" si="8"/>
        <v>0</v>
      </c>
      <c r="I39" s="193" t="e">
        <f t="shared" si="9"/>
        <v>#DIV/0!</v>
      </c>
      <c r="J39" s="2286"/>
      <c r="K39" s="1251"/>
      <c r="L39" s="2287" t="s">
        <v>2641</v>
      </c>
      <c r="M39" s="2288">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7" t="s">
        <v>2802</v>
      </c>
      <c r="C41" s="348" t="e">
        <f>ROUND(POWER(1+E41,H41-G41)*(POWER(1+E41,G41)-1)/(POWER(1+E41,H41)-1),4)</f>
        <v>#DIV/0!</v>
      </c>
      <c r="D41" s="176" t="s">
        <v>2648</v>
      </c>
      <c r="E41" s="2336">
        <f>G20</f>
        <v>0</v>
      </c>
      <c r="F41" s="176" t="s">
        <v>2657</v>
      </c>
      <c r="G41" s="189"/>
      <c r="H41" s="176">
        <v>50</v>
      </c>
      <c r="Z41" s="1252"/>
      <c r="AA41" s="1252"/>
      <c r="AB41" s="1252"/>
      <c r="AC41" s="1252"/>
      <c r="AD41" s="1252"/>
      <c r="AE41" s="1252"/>
      <c r="AF41" s="1252"/>
      <c r="AG41" s="1252"/>
      <c r="AH41" s="1252"/>
      <c r="AI41" s="1252"/>
      <c r="AJ41" s="1252"/>
    </row>
    <row r="42" spans="1:37" s="1251" customFormat="1">
      <c r="A42" s="1252"/>
      <c r="B42" s="2289"/>
      <c r="Z42" s="1252"/>
      <c r="AA42" s="1252"/>
      <c r="AB42" s="1252"/>
      <c r="AC42" s="1252"/>
      <c r="AD42" s="1252"/>
      <c r="AE42" s="1252"/>
      <c r="AF42" s="1252"/>
      <c r="AG42" s="1252"/>
      <c r="AH42" s="1252"/>
      <c r="AI42" s="1252"/>
      <c r="AJ42" s="1252"/>
    </row>
    <row r="43" spans="1:37" s="1251" customFormat="1">
      <c r="A43" s="1252"/>
      <c r="B43" s="2289"/>
      <c r="Z43" s="1252"/>
      <c r="AA43" s="1252"/>
      <c r="AB43" s="1252"/>
      <c r="AC43" s="1252"/>
      <c r="AD43" s="1252"/>
      <c r="AE43" s="1252"/>
      <c r="AF43" s="1252"/>
      <c r="AG43" s="1252"/>
      <c r="AH43" s="1252"/>
      <c r="AI43" s="1252"/>
      <c r="AJ43" s="1252"/>
    </row>
    <row r="44" spans="1:37" s="1251" customFormat="1">
      <c r="A44" s="1252"/>
      <c r="B44" s="2289"/>
      <c r="Z44" s="1252"/>
      <c r="AA44" s="1252"/>
      <c r="AB44" s="1252"/>
      <c r="AC44" s="1252"/>
      <c r="AD44" s="1252"/>
      <c r="AE44" s="1252"/>
      <c r="AF44" s="1252"/>
      <c r="AG44" s="1252"/>
      <c r="AH44" s="1252"/>
      <c r="AI44" s="1252"/>
      <c r="AJ44" s="1252"/>
    </row>
    <row r="45" spans="1:37" s="1251" customFormat="1" ht="15.75" thickBot="1">
      <c r="A45" s="2290" t="s">
        <v>2698</v>
      </c>
      <c r="B45" s="2291"/>
      <c r="C45" s="7"/>
      <c r="D45" s="7"/>
      <c r="E45" s="7"/>
      <c r="F45" s="6"/>
      <c r="G45" s="6"/>
      <c r="H45" s="6"/>
      <c r="I45" s="1974"/>
      <c r="J45" s="1974"/>
      <c r="K45" s="1974"/>
      <c r="L45" s="1974"/>
      <c r="M45" s="1974"/>
      <c r="Z45" s="1252"/>
      <c r="AA45" s="1252"/>
      <c r="AB45" s="1252"/>
      <c r="AC45" s="1252"/>
      <c r="AD45" s="1252"/>
      <c r="AE45" s="1252"/>
      <c r="AF45" s="1252"/>
      <c r="AG45" s="1252"/>
      <c r="AH45" s="1252"/>
      <c r="AI45" s="1252"/>
      <c r="AJ45" s="1252"/>
    </row>
    <row r="46" spans="1:37" s="1251" customFormat="1" ht="15">
      <c r="A46" s="2292" t="s">
        <v>2699</v>
      </c>
      <c r="B46" s="2293">
        <f>1+E48</f>
        <v>1</v>
      </c>
      <c r="C46" s="2294"/>
      <c r="D46" s="752"/>
      <c r="E46" s="753"/>
      <c r="F46" s="2295"/>
      <c r="G46" s="6"/>
      <c r="H46" s="7"/>
      <c r="I46" s="1974"/>
      <c r="J46" s="1974"/>
      <c r="K46" s="1974"/>
      <c r="L46" s="1974"/>
      <c r="M46" s="1974"/>
      <c r="Z46" s="1252"/>
      <c r="AA46" s="1252"/>
      <c r="AB46" s="1252"/>
      <c r="AC46" s="1252"/>
      <c r="AD46" s="1252"/>
      <c r="AE46" s="1252"/>
      <c r="AF46" s="1252"/>
      <c r="AG46" s="1252"/>
      <c r="AH46" s="1252"/>
      <c r="AI46" s="1252"/>
      <c r="AJ46" s="1252"/>
    </row>
    <row r="47" spans="1:37" s="1251" customFormat="1" ht="24.75">
      <c r="A47" s="2296" t="s">
        <v>2700</v>
      </c>
      <c r="B47" s="1503" t="s">
        <v>2701</v>
      </c>
      <c r="C47" s="1503" t="s">
        <v>2702</v>
      </c>
      <c r="D47" s="1503" t="s">
        <v>2703</v>
      </c>
      <c r="E47" s="757" t="s">
        <v>2704</v>
      </c>
      <c r="F47" s="2297" t="s">
        <v>2705</v>
      </c>
      <c r="G47" s="1503" t="s">
        <v>754</v>
      </c>
      <c r="H47" s="2298" t="s">
        <v>2706</v>
      </c>
      <c r="I47" s="1503" t="s">
        <v>2707</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24.75">
      <c r="A48" s="2296" t="s">
        <v>2708</v>
      </c>
      <c r="B48" s="2299">
        <f>估价对象房地状况!C4</f>
        <v>0</v>
      </c>
      <c r="C48" s="2201"/>
      <c r="D48" s="1195">
        <f t="shared" ref="D48:D56" si="10">SUMIF($J$47:$N$47,C48,J48:N48)</f>
        <v>0</v>
      </c>
      <c r="E48" s="759">
        <f>ROUND(SUM(D48:D56),4)</f>
        <v>0</v>
      </c>
      <c r="F48" s="1967"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14.25">
      <c r="A49" s="2296" t="s">
        <v>2709</v>
      </c>
      <c r="B49" s="2300" t="str">
        <f>估价对象房地状况!C18</f>
        <v>较好</v>
      </c>
      <c r="C49" s="2201"/>
      <c r="D49" s="1195">
        <f t="shared" si="10"/>
        <v>0</v>
      </c>
      <c r="E49" s="760"/>
      <c r="F49" s="1967"/>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6" t="s">
        <v>2710</v>
      </c>
      <c r="B50" s="2300">
        <f>估价对象房地状况!C19</f>
        <v>0</v>
      </c>
      <c r="C50" s="2201"/>
      <c r="D50" s="1195">
        <f t="shared" si="10"/>
        <v>0</v>
      </c>
      <c r="E50" s="760"/>
      <c r="F50" s="1967"/>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6" t="s">
        <v>2711</v>
      </c>
      <c r="B51" s="2301" t="s">
        <v>2712</v>
      </c>
      <c r="C51" s="2201"/>
      <c r="D51" s="1195">
        <f t="shared" si="10"/>
        <v>0</v>
      </c>
      <c r="E51" s="760"/>
      <c r="F51" s="1967"/>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6" t="s">
        <v>2713</v>
      </c>
      <c r="B52" s="2300" t="str">
        <f>估价对象房地状况!C24</f>
        <v>次干道</v>
      </c>
      <c r="C52" s="2201"/>
      <c r="D52" s="1195">
        <f t="shared" si="10"/>
        <v>0</v>
      </c>
      <c r="E52" s="760"/>
      <c r="F52" s="1967"/>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6" t="s">
        <v>2714</v>
      </c>
      <c r="B53" s="2302" t="s">
        <v>2715</v>
      </c>
      <c r="C53" s="2201"/>
      <c r="D53" s="1195">
        <f t="shared" si="10"/>
        <v>0</v>
      </c>
      <c r="E53" s="760"/>
      <c r="F53" s="1967"/>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
      <c r="A54" s="2303" t="s">
        <v>2716</v>
      </c>
      <c r="B54" s="1464" t="str">
        <f>估价对象房地状况!C21</f>
        <v>好</v>
      </c>
      <c r="C54" s="2201"/>
      <c r="D54" s="1195">
        <f t="shared" si="10"/>
        <v>0</v>
      </c>
      <c r="E54" s="760"/>
      <c r="F54" s="1967"/>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c r="A55" s="2303" t="s">
        <v>2717</v>
      </c>
      <c r="B55" s="2300" t="str">
        <f>估价对象房地状况!C22</f>
        <v>七通</v>
      </c>
      <c r="C55" s="2201"/>
      <c r="D55" s="1195">
        <f t="shared" si="10"/>
        <v>0</v>
      </c>
      <c r="E55" s="760"/>
      <c r="F55" s="1967"/>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24.75" thickBot="1">
      <c r="A56" s="2304" t="s">
        <v>2718</v>
      </c>
      <c r="B56" s="2305" t="str">
        <f>估价对象房地状况!C20</f>
        <v>较好</v>
      </c>
      <c r="C56" s="2201"/>
      <c r="D56" s="1195">
        <f t="shared" si="10"/>
        <v>0</v>
      </c>
      <c r="E56" s="763"/>
      <c r="F56" s="1967"/>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2" t="s">
        <v>2719</v>
      </c>
      <c r="B57" s="2293">
        <f>1+E59</f>
        <v>1</v>
      </c>
      <c r="C57" s="752"/>
      <c r="D57" s="752"/>
      <c r="E57" s="753"/>
      <c r="F57" s="2295"/>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6" t="s">
        <v>2700</v>
      </c>
      <c r="B58" s="1503"/>
      <c r="C58" s="1503" t="s">
        <v>2702</v>
      </c>
      <c r="D58" s="1503" t="s">
        <v>2703</v>
      </c>
      <c r="E58" s="757" t="s">
        <v>2704</v>
      </c>
      <c r="F58" s="2297" t="s">
        <v>2720</v>
      </c>
      <c r="G58" s="1503" t="s">
        <v>754</v>
      </c>
      <c r="H58" s="2298" t="s">
        <v>2706</v>
      </c>
      <c r="I58" s="1503" t="s">
        <v>2707</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24">
      <c r="A59" s="2296" t="s">
        <v>2721</v>
      </c>
      <c r="B59" s="2299" t="str">
        <f>估价对象房地状况!C17</f>
        <v>好</v>
      </c>
      <c r="C59" s="2201"/>
      <c r="D59" s="1195">
        <f t="shared" ref="D59:D67" si="15">SUMIF($J$58:$N$58,C59,J59:N59)</f>
        <v>0</v>
      </c>
      <c r="E59" s="759">
        <f>ROUND(SUM(D59:D67),4)</f>
        <v>0</v>
      </c>
      <c r="F59" s="1967"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14.25">
      <c r="A60" s="2296" t="s">
        <v>2709</v>
      </c>
      <c r="B60" s="2300" t="str">
        <f>估价对象房地状况!C18</f>
        <v>较好</v>
      </c>
      <c r="C60" s="2201"/>
      <c r="D60" s="1195">
        <f t="shared" si="15"/>
        <v>0</v>
      </c>
      <c r="E60" s="760"/>
      <c r="F60" s="1967"/>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6" t="s">
        <v>2710</v>
      </c>
      <c r="B61" s="2300">
        <f>估价对象房地状况!C19</f>
        <v>0</v>
      </c>
      <c r="C61" s="2201"/>
      <c r="D61" s="1195">
        <f t="shared" si="15"/>
        <v>0</v>
      </c>
      <c r="E61" s="760"/>
      <c r="F61" s="1967"/>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6" t="s">
        <v>2711</v>
      </c>
      <c r="B62" s="2301" t="s">
        <v>2712</v>
      </c>
      <c r="C62" s="2201"/>
      <c r="D62" s="1195">
        <f t="shared" si="15"/>
        <v>0</v>
      </c>
      <c r="E62" s="760"/>
      <c r="F62" s="1967"/>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6" t="s">
        <v>2713</v>
      </c>
      <c r="B63" s="2300" t="str">
        <f>估价对象房地状况!C24</f>
        <v>次干道</v>
      </c>
      <c r="C63" s="2201"/>
      <c r="D63" s="1195">
        <f t="shared" si="15"/>
        <v>0</v>
      </c>
      <c r="E63" s="760"/>
      <c r="F63" s="1967"/>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6" t="s">
        <v>2714</v>
      </c>
      <c r="B64" s="2302" t="s">
        <v>2715</v>
      </c>
      <c r="C64" s="2201"/>
      <c r="D64" s="1195">
        <f t="shared" si="15"/>
        <v>0</v>
      </c>
      <c r="E64" s="760"/>
      <c r="F64" s="1967"/>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4">
      <c r="A65" s="2296" t="s">
        <v>2716</v>
      </c>
      <c r="B65" s="1464" t="str">
        <f>估价对象房地状况!C21</f>
        <v>好</v>
      </c>
      <c r="C65" s="2201"/>
      <c r="D65" s="1195">
        <f t="shared" si="15"/>
        <v>0</v>
      </c>
      <c r="E65" s="760"/>
      <c r="F65" s="1967"/>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4">
      <c r="A66" s="2296" t="s">
        <v>2717</v>
      </c>
      <c r="B66" s="1464" t="str">
        <f>估价对象房地状况!C22</f>
        <v>七通</v>
      </c>
      <c r="C66" s="2201"/>
      <c r="D66" s="1195">
        <f t="shared" si="15"/>
        <v>0</v>
      </c>
      <c r="E66" s="760"/>
      <c r="F66" s="1967"/>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24.75" thickBot="1">
      <c r="A67" s="2304" t="s">
        <v>2718</v>
      </c>
      <c r="B67" s="2306" t="str">
        <f>估价对象房地状况!C20</f>
        <v>较好</v>
      </c>
      <c r="C67" s="2201"/>
      <c r="D67" s="1195">
        <f t="shared" si="15"/>
        <v>0</v>
      </c>
      <c r="E67" s="763"/>
      <c r="F67" s="1967"/>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2" t="s">
        <v>2722</v>
      </c>
      <c r="B68" s="2293">
        <f>1+E70</f>
        <v>1</v>
      </c>
      <c r="C68" s="752"/>
      <c r="D68" s="752"/>
      <c r="E68" s="753"/>
      <c r="F68" s="2295"/>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6" t="s">
        <v>2700</v>
      </c>
      <c r="B69" s="1503"/>
      <c r="C69" s="1503" t="s">
        <v>2702</v>
      </c>
      <c r="D69" s="1503" t="s">
        <v>2703</v>
      </c>
      <c r="E69" s="757" t="s">
        <v>2704</v>
      </c>
      <c r="F69" s="2297" t="s">
        <v>2720</v>
      </c>
      <c r="G69" s="1503" t="s">
        <v>754</v>
      </c>
      <c r="H69" s="2298" t="s">
        <v>2706</v>
      </c>
      <c r="I69" s="1503" t="s">
        <v>2707</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24">
      <c r="A70" s="2296" t="s">
        <v>2723</v>
      </c>
      <c r="B70" s="2299">
        <f>估价对象房地状况!C15</f>
        <v>0</v>
      </c>
      <c r="C70" s="2201"/>
      <c r="D70" s="1195">
        <f t="shared" ref="D70:D78" si="20">SUMIF($J$69:$N$69,C70,J70:N70)</f>
        <v>0</v>
      </c>
      <c r="E70" s="759">
        <f>ROUND(SUM(D70:D78),4)</f>
        <v>0</v>
      </c>
      <c r="F70" s="1967"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14.25">
      <c r="A71" s="2296" t="s">
        <v>2709</v>
      </c>
      <c r="B71" s="2300" t="str">
        <f>估价对象房地状况!C18</f>
        <v>较好</v>
      </c>
      <c r="C71" s="2201"/>
      <c r="D71" s="1195">
        <f t="shared" si="20"/>
        <v>0</v>
      </c>
      <c r="E71" s="764"/>
      <c r="F71" s="1967"/>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6" t="s">
        <v>2710</v>
      </c>
      <c r="B72" s="2300">
        <f>估价对象房地状况!C19</f>
        <v>0</v>
      </c>
      <c r="C72" s="2201"/>
      <c r="D72" s="1195">
        <f t="shared" si="20"/>
        <v>0</v>
      </c>
      <c r="E72" s="764"/>
      <c r="F72" s="1967"/>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6" t="s">
        <v>2724</v>
      </c>
      <c r="B73" s="2300" t="str">
        <f>估价对象房地状况!C24</f>
        <v>次干道</v>
      </c>
      <c r="C73" s="2201"/>
      <c r="D73" s="1195">
        <f t="shared" si="20"/>
        <v>0</v>
      </c>
      <c r="E73" s="764"/>
      <c r="F73" s="1967"/>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4">
      <c r="A74" s="2296" t="s">
        <v>2716</v>
      </c>
      <c r="B74" s="1464" t="str">
        <f>估价对象房地状况!C21</f>
        <v>好</v>
      </c>
      <c r="C74" s="2201"/>
      <c r="D74" s="1195">
        <f t="shared" si="20"/>
        <v>0</v>
      </c>
      <c r="E74" s="764"/>
      <c r="F74" s="1967"/>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4">
      <c r="A75" s="2296" t="s">
        <v>2717</v>
      </c>
      <c r="B75" s="1464" t="str">
        <f>估价对象房地状况!C22</f>
        <v>七通</v>
      </c>
      <c r="C75" s="2201"/>
      <c r="D75" s="1195">
        <f t="shared" si="20"/>
        <v>0</v>
      </c>
      <c r="E75" s="764"/>
      <c r="F75" s="1967"/>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0" customFormat="1" ht="24">
      <c r="A76" s="2296" t="s">
        <v>2714</v>
      </c>
      <c r="B76" s="2302" t="s">
        <v>2715</v>
      </c>
      <c r="C76" s="2201"/>
      <c r="D76" s="1195">
        <f t="shared" si="20"/>
        <v>0</v>
      </c>
      <c r="E76" s="764"/>
      <c r="F76" s="1967"/>
      <c r="G76" s="1193"/>
      <c r="H76" s="1197" t="str">
        <f t="shared" si="21"/>
        <v>——</v>
      </c>
      <c r="I76" s="758">
        <v>0.05</v>
      </c>
      <c r="J76" s="1194">
        <f t="shared" si="22"/>
        <v>0</v>
      </c>
      <c r="K76" s="1194">
        <f t="shared" si="23"/>
        <v>0</v>
      </c>
      <c r="L76" s="1194">
        <v>0</v>
      </c>
      <c r="M76" s="1194">
        <f t="shared" si="24"/>
        <v>0</v>
      </c>
      <c r="N76" s="1194">
        <f t="shared" si="24"/>
        <v>0</v>
      </c>
      <c r="AA76" s="2307"/>
      <c r="AB76" s="1252"/>
      <c r="AC76" s="1252"/>
      <c r="AD76" s="1252"/>
      <c r="AE76" s="1252"/>
      <c r="AF76" s="1252"/>
      <c r="AG76" s="1252"/>
      <c r="AH76" s="2307"/>
      <c r="AI76" s="2307"/>
      <c r="AJ76" s="2307"/>
      <c r="AK76" s="2307"/>
    </row>
    <row r="77" spans="1:37" ht="24">
      <c r="A77" s="2296" t="s">
        <v>2718</v>
      </c>
      <c r="B77" s="2299" t="str">
        <f>估价对象房地状况!C20</f>
        <v>较好</v>
      </c>
      <c r="C77" s="2201"/>
      <c r="D77" s="1195">
        <f t="shared" si="20"/>
        <v>0</v>
      </c>
      <c r="E77" s="764"/>
      <c r="F77" s="1967"/>
      <c r="G77" s="1193"/>
      <c r="H77" s="1197" t="str">
        <f t="shared" si="21"/>
        <v>——</v>
      </c>
      <c r="I77" s="758">
        <v>0.15</v>
      </c>
      <c r="J77" s="1194">
        <f t="shared" si="22"/>
        <v>0</v>
      </c>
      <c r="K77" s="1194">
        <f t="shared" si="23"/>
        <v>0</v>
      </c>
      <c r="L77" s="1194">
        <v>0</v>
      </c>
      <c r="M77" s="1194">
        <f t="shared" si="24"/>
        <v>0</v>
      </c>
      <c r="N77" s="1194">
        <f t="shared" si="24"/>
        <v>0</v>
      </c>
      <c r="Z77" s="2151"/>
      <c r="AA77" s="2217"/>
      <c r="AG77" s="1253"/>
      <c r="AK77" s="2217"/>
    </row>
    <row r="78" spans="1:37" ht="24.75" thickBot="1">
      <c r="A78" s="2304" t="s">
        <v>2725</v>
      </c>
      <c r="B78" s="2308"/>
      <c r="C78" s="2201"/>
      <c r="D78" s="1195">
        <f t="shared" si="20"/>
        <v>0</v>
      </c>
      <c r="E78" s="765"/>
      <c r="F78" s="1967"/>
      <c r="G78" s="1193"/>
      <c r="H78" s="1197" t="str">
        <f t="shared" si="21"/>
        <v>——</v>
      </c>
      <c r="I78" s="762">
        <v>0.04</v>
      </c>
      <c r="J78" s="1194">
        <f t="shared" si="22"/>
        <v>0</v>
      </c>
      <c r="K78" s="1194">
        <f t="shared" si="23"/>
        <v>0</v>
      </c>
      <c r="L78" s="1194">
        <v>0</v>
      </c>
      <c r="M78" s="1194">
        <f t="shared" si="24"/>
        <v>0</v>
      </c>
      <c r="N78" s="1194">
        <f t="shared" si="24"/>
        <v>0</v>
      </c>
      <c r="Z78" s="2151"/>
      <c r="AA78" s="2217"/>
      <c r="AG78" s="1253"/>
      <c r="AK78" s="2217"/>
    </row>
    <row r="79" spans="1:37" ht="15">
      <c r="A79" s="2292" t="s">
        <v>2726</v>
      </c>
      <c r="B79" s="2293">
        <f>1+E81</f>
        <v>1</v>
      </c>
      <c r="C79" s="752"/>
      <c r="D79" s="752"/>
      <c r="E79" s="753"/>
      <c r="F79" s="2295"/>
      <c r="G79" s="6"/>
      <c r="H79" s="6"/>
      <c r="I79" s="6"/>
      <c r="J79" s="7"/>
      <c r="K79" s="7"/>
      <c r="L79" s="7"/>
      <c r="M79" s="7"/>
      <c r="N79" s="7"/>
      <c r="Z79" s="2151"/>
      <c r="AA79" s="2217"/>
      <c r="AG79" s="1253"/>
      <c r="AK79" s="2217"/>
    </row>
    <row r="80" spans="1:37" ht="24.75">
      <c r="A80" s="2296" t="s">
        <v>2700</v>
      </c>
      <c r="B80" s="1503"/>
      <c r="C80" s="1503" t="s">
        <v>2702</v>
      </c>
      <c r="D80" s="1503" t="s">
        <v>2703</v>
      </c>
      <c r="E80" s="757" t="s">
        <v>2704</v>
      </c>
      <c r="F80" s="2297" t="s">
        <v>2720</v>
      </c>
      <c r="G80" s="1503" t="s">
        <v>754</v>
      </c>
      <c r="H80" s="2298" t="s">
        <v>2706</v>
      </c>
      <c r="I80" s="1503" t="s">
        <v>2707</v>
      </c>
      <c r="J80" s="560" t="s">
        <v>2357</v>
      </c>
      <c r="K80" s="560" t="s">
        <v>2358</v>
      </c>
      <c r="L80" s="560" t="s">
        <v>2359</v>
      </c>
      <c r="M80" s="560" t="s">
        <v>2360</v>
      </c>
      <c r="N80" s="560" t="s">
        <v>2361</v>
      </c>
      <c r="Z80" s="2151"/>
      <c r="AA80" s="2217"/>
      <c r="AG80" s="1253"/>
      <c r="AK80" s="2217"/>
    </row>
    <row r="81" spans="1:37" ht="38.25">
      <c r="A81" s="2296" t="s">
        <v>2727</v>
      </c>
      <c r="B81" s="2300" t="str">
        <f>估价对象房地状况!G15</f>
        <v>估价对象位于XX开发区，园区建设成熟度XX，产业集聚程度XX</v>
      </c>
      <c r="C81" s="2201"/>
      <c r="D81" s="1195">
        <f t="shared" ref="D81:D88" si="25">SUMIF($J$80:$N$80,C81,J81:N81)</f>
        <v>0</v>
      </c>
      <c r="E81" s="759">
        <f>ROUND(SUM(D81:D88),4)</f>
        <v>0</v>
      </c>
      <c r="F81" s="1967"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1"/>
      <c r="AA81" s="2217"/>
      <c r="AG81" s="1253"/>
      <c r="AK81" s="2217"/>
    </row>
    <row r="82" spans="1:37" ht="51">
      <c r="A82" s="2296" t="s">
        <v>2709</v>
      </c>
      <c r="B82" s="2300" t="str">
        <f>估价对象房地状况!G16</f>
        <v>估价对象周边道路状况、公共交通通达情况、停车便捷程度，综合评价交通便捷度较好</v>
      </c>
      <c r="C82" s="2201"/>
      <c r="D82" s="1195">
        <f t="shared" si="25"/>
        <v>0</v>
      </c>
      <c r="E82" s="764"/>
      <c r="F82" s="1967"/>
      <c r="G82" s="1193"/>
      <c r="H82" s="1197" t="str">
        <f t="shared" si="26"/>
        <v>——</v>
      </c>
      <c r="I82" s="758">
        <v>0.33</v>
      </c>
      <c r="J82" s="1194">
        <f t="shared" si="27"/>
        <v>0</v>
      </c>
      <c r="K82" s="1194">
        <f t="shared" si="28"/>
        <v>0</v>
      </c>
      <c r="L82" s="1194">
        <v>0</v>
      </c>
      <c r="M82" s="1194">
        <f t="shared" si="29"/>
        <v>0</v>
      </c>
      <c r="N82" s="1194">
        <f t="shared" si="29"/>
        <v>0</v>
      </c>
      <c r="Z82" s="2151"/>
      <c r="AA82" s="2217"/>
      <c r="AG82" s="1253"/>
      <c r="AK82" s="2217"/>
    </row>
    <row r="83" spans="1:37" ht="24">
      <c r="A83" s="2296" t="s">
        <v>2710</v>
      </c>
      <c r="B83" s="2300">
        <f>估价对象房地状况!G17</f>
        <v>0</v>
      </c>
      <c r="C83" s="2201"/>
      <c r="D83" s="1195">
        <f t="shared" si="25"/>
        <v>0</v>
      </c>
      <c r="E83" s="764"/>
      <c r="F83" s="1967"/>
      <c r="G83" s="1193"/>
      <c r="H83" s="1197" t="str">
        <f t="shared" si="26"/>
        <v>——</v>
      </c>
      <c r="I83" s="758">
        <v>0.05</v>
      </c>
      <c r="J83" s="1194">
        <f t="shared" si="27"/>
        <v>0</v>
      </c>
      <c r="K83" s="1194">
        <f t="shared" si="28"/>
        <v>0</v>
      </c>
      <c r="L83" s="1194">
        <v>0</v>
      </c>
      <c r="M83" s="1194">
        <f t="shared" si="29"/>
        <v>0</v>
      </c>
      <c r="N83" s="1194">
        <f t="shared" si="29"/>
        <v>0</v>
      </c>
      <c r="Z83" s="2151"/>
      <c r="AA83" s="2217"/>
      <c r="AG83" s="1253"/>
      <c r="AK83" s="2217"/>
    </row>
    <row r="84" spans="1:37" ht="14.25">
      <c r="A84" s="2296" t="s">
        <v>2724</v>
      </c>
      <c r="B84" s="2300">
        <f>估价对象房地状况!G22</f>
        <v>0</v>
      </c>
      <c r="C84" s="2201"/>
      <c r="D84" s="1195">
        <f t="shared" si="25"/>
        <v>0</v>
      </c>
      <c r="E84" s="764"/>
      <c r="F84" s="1967"/>
      <c r="G84" s="1193"/>
      <c r="H84" s="1197" t="str">
        <f t="shared" si="26"/>
        <v>——</v>
      </c>
      <c r="I84" s="758">
        <v>0.04</v>
      </c>
      <c r="J84" s="1194">
        <f t="shared" si="27"/>
        <v>0</v>
      </c>
      <c r="K84" s="1194">
        <f t="shared" si="28"/>
        <v>0</v>
      </c>
      <c r="L84" s="1194">
        <v>0</v>
      </c>
      <c r="M84" s="1194">
        <f t="shared" si="29"/>
        <v>0</v>
      </c>
      <c r="N84" s="1194">
        <f t="shared" si="29"/>
        <v>0</v>
      </c>
      <c r="Z84" s="2151"/>
      <c r="AA84" s="2217"/>
      <c r="AG84" s="1253"/>
      <c r="AK84" s="2217"/>
    </row>
    <row r="85" spans="1:37" ht="25.5">
      <c r="A85" s="2296" t="s">
        <v>2716</v>
      </c>
      <c r="B85" s="1464" t="str">
        <f>估价对象房地状况!G19</f>
        <v>估价对象所在区域公共配套设施齐备情况</v>
      </c>
      <c r="C85" s="2201"/>
      <c r="D85" s="1195">
        <f t="shared" si="25"/>
        <v>0</v>
      </c>
      <c r="E85" s="764"/>
      <c r="F85" s="1967"/>
      <c r="G85" s="1193"/>
      <c r="H85" s="1197" t="str">
        <f t="shared" si="26"/>
        <v>——</v>
      </c>
      <c r="I85" s="758">
        <v>0.06</v>
      </c>
      <c r="J85" s="1194">
        <f t="shared" si="27"/>
        <v>0</v>
      </c>
      <c r="K85" s="1194">
        <f t="shared" si="28"/>
        <v>0</v>
      </c>
      <c r="L85" s="1194">
        <v>0</v>
      </c>
      <c r="M85" s="1194">
        <f t="shared" si="29"/>
        <v>0</v>
      </c>
      <c r="N85" s="1194">
        <f t="shared" si="29"/>
        <v>0</v>
      </c>
      <c r="Z85" s="2151"/>
      <c r="AA85" s="2217"/>
      <c r="AG85" s="1253"/>
      <c r="AK85" s="2217"/>
    </row>
    <row r="86" spans="1:37" ht="25.5">
      <c r="A86" s="2296" t="s">
        <v>2717</v>
      </c>
      <c r="B86" s="1464" t="str">
        <f>估价对象房地状况!G20</f>
        <v>估价对象所在区域基础设施水平</v>
      </c>
      <c r="C86" s="2201"/>
      <c r="D86" s="1195">
        <f t="shared" si="25"/>
        <v>0</v>
      </c>
      <c r="E86" s="764"/>
      <c r="F86" s="1967"/>
      <c r="G86" s="1193"/>
      <c r="H86" s="1197" t="str">
        <f t="shared" si="26"/>
        <v>——</v>
      </c>
      <c r="I86" s="758">
        <v>0.15</v>
      </c>
      <c r="J86" s="1194">
        <f t="shared" si="27"/>
        <v>0</v>
      </c>
      <c r="K86" s="1194">
        <f t="shared" si="28"/>
        <v>0</v>
      </c>
      <c r="L86" s="1194">
        <v>0</v>
      </c>
      <c r="M86" s="1194">
        <f t="shared" si="29"/>
        <v>0</v>
      </c>
      <c r="N86" s="1194">
        <f t="shared" si="29"/>
        <v>0</v>
      </c>
      <c r="Z86" s="2151"/>
      <c r="AA86" s="2217"/>
      <c r="AG86" s="1253"/>
      <c r="AK86" s="2217"/>
    </row>
    <row r="87" spans="1:37" ht="24">
      <c r="A87" s="2296" t="s">
        <v>2714</v>
      </c>
      <c r="B87" s="2302" t="s">
        <v>2728</v>
      </c>
      <c r="C87" s="2201"/>
      <c r="D87" s="1195">
        <f t="shared" si="25"/>
        <v>0</v>
      </c>
      <c r="E87" s="764"/>
      <c r="F87" s="1967"/>
      <c r="G87" s="1193"/>
      <c r="H87" s="1197" t="str">
        <f t="shared" si="26"/>
        <v>——</v>
      </c>
      <c r="I87" s="758">
        <v>0.05</v>
      </c>
      <c r="J87" s="1194">
        <f t="shared" si="27"/>
        <v>0</v>
      </c>
      <c r="K87" s="1194">
        <f t="shared" si="28"/>
        <v>0</v>
      </c>
      <c r="L87" s="1194">
        <v>0</v>
      </c>
      <c r="M87" s="1194">
        <f t="shared" si="29"/>
        <v>0</v>
      </c>
      <c r="N87" s="1194">
        <f t="shared" si="29"/>
        <v>0</v>
      </c>
      <c r="Z87" s="2151"/>
      <c r="AA87" s="2217"/>
      <c r="AG87" s="1253"/>
      <c r="AK87" s="2217"/>
    </row>
    <row r="88" spans="1:37" ht="39" thickBot="1">
      <c r="A88" s="2304" t="s">
        <v>2729</v>
      </c>
      <c r="B88" s="2309" t="str">
        <f>估价对象房地状况!G18</f>
        <v>该园区内是否有污染型企业，绿化情况，卫生条件，整体环境状况判断</v>
      </c>
      <c r="C88" s="2201"/>
      <c r="D88" s="1195">
        <f t="shared" si="25"/>
        <v>0</v>
      </c>
      <c r="E88" s="765"/>
      <c r="F88" s="1967"/>
      <c r="G88" s="1193"/>
      <c r="H88" s="1197" t="str">
        <f t="shared" si="26"/>
        <v>——</v>
      </c>
      <c r="I88" s="762">
        <v>0.06</v>
      </c>
      <c r="J88" s="1194">
        <f t="shared" si="27"/>
        <v>0</v>
      </c>
      <c r="K88" s="1194">
        <f t="shared" si="28"/>
        <v>0</v>
      </c>
      <c r="L88" s="1194">
        <v>0</v>
      </c>
      <c r="M88" s="1194">
        <f t="shared" si="29"/>
        <v>0</v>
      </c>
      <c r="N88" s="1194">
        <f t="shared" si="29"/>
        <v>0</v>
      </c>
      <c r="Z88" s="2151"/>
      <c r="AA88" s="2217"/>
      <c r="AG88" s="1253"/>
      <c r="AK88" s="2217"/>
    </row>
    <row r="90" spans="1:37">
      <c r="A90" s="3616" t="s">
        <v>2730</v>
      </c>
      <c r="B90" s="3616"/>
      <c r="C90" s="3616"/>
      <c r="D90" s="3616"/>
      <c r="E90" s="3616"/>
      <c r="F90" s="3616"/>
      <c r="G90" s="3616"/>
      <c r="H90" s="3616"/>
      <c r="I90" s="3616"/>
      <c r="J90" s="3616"/>
      <c r="K90" s="2310"/>
      <c r="L90" s="2310"/>
      <c r="M90" s="2310"/>
      <c r="N90" s="2310"/>
    </row>
    <row r="91" spans="1:37">
      <c r="A91" s="3618" t="s">
        <v>2731</v>
      </c>
      <c r="B91" s="3618" t="s">
        <v>2732</v>
      </c>
      <c r="C91" s="2264" t="s">
        <v>2733</v>
      </c>
      <c r="D91" s="2265"/>
      <c r="E91" s="2265"/>
      <c r="F91" s="2265"/>
      <c r="G91" s="2265"/>
      <c r="H91" s="2265"/>
      <c r="I91" s="2265"/>
      <c r="J91" s="2311"/>
      <c r="K91" s="2312"/>
      <c r="L91" s="2312"/>
      <c r="M91" s="2312"/>
      <c r="N91" s="2312"/>
    </row>
    <row r="92" spans="1:37">
      <c r="A92" s="3618"/>
      <c r="B92" s="361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619" t="s">
        <v>2734</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620"/>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620"/>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620"/>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620"/>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620"/>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620"/>
      <c r="B99" s="2313" t="s">
        <v>2616</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621"/>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619" t="s">
        <v>2735</v>
      </c>
      <c r="B101" s="2317" t="s">
        <v>2736</v>
      </c>
      <c r="C101" s="2318">
        <f>$G$3</f>
        <v>5.15</v>
      </c>
      <c r="D101" s="2318">
        <f t="shared" ref="D101:N101" si="31">$G$3</f>
        <v>5.15</v>
      </c>
      <c r="E101" s="2318">
        <f t="shared" si="31"/>
        <v>5.15</v>
      </c>
      <c r="F101" s="2318">
        <f t="shared" si="31"/>
        <v>5.15</v>
      </c>
      <c r="G101" s="2318">
        <f t="shared" si="31"/>
        <v>5.15</v>
      </c>
      <c r="H101" s="2318">
        <f t="shared" si="31"/>
        <v>5.15</v>
      </c>
      <c r="I101" s="2318">
        <f t="shared" si="31"/>
        <v>5.15</v>
      </c>
      <c r="J101" s="2318">
        <f t="shared" si="31"/>
        <v>5.15</v>
      </c>
      <c r="K101" s="2318">
        <f t="shared" si="31"/>
        <v>5.15</v>
      </c>
      <c r="L101" s="2318">
        <f t="shared" si="31"/>
        <v>5.15</v>
      </c>
      <c r="M101" s="2318">
        <f t="shared" si="31"/>
        <v>5.15</v>
      </c>
      <c r="N101" s="2318">
        <f t="shared" si="31"/>
        <v>5.15</v>
      </c>
    </row>
    <row r="102" spans="1:14">
      <c r="A102" s="3620"/>
      <c r="B102" s="2313">
        <v>1</v>
      </c>
      <c r="C102" s="2314">
        <f>1.9362/C101</f>
        <v>0.37596116504854366</v>
      </c>
      <c r="D102" s="2314">
        <f>1.9362/D101</f>
        <v>0.37596116504854366</v>
      </c>
      <c r="E102" s="2314">
        <f>1.8629/E101</f>
        <v>0.36172815533980579</v>
      </c>
      <c r="F102" s="2314">
        <f>1.8629/F101</f>
        <v>0.36172815533980579</v>
      </c>
      <c r="G102" s="2314">
        <f>1.8629/G101</f>
        <v>0.36172815533980579</v>
      </c>
      <c r="H102" s="2314">
        <f>1.8629/H101</f>
        <v>0.36172815533980579</v>
      </c>
      <c r="I102" s="2314">
        <f>1.8629/I101</f>
        <v>0.36172815533980579</v>
      </c>
      <c r="J102" s="2314">
        <f>1.942/J101</f>
        <v>0.37708737864077668</v>
      </c>
      <c r="K102" s="2314">
        <f>1.942/K101</f>
        <v>0.37708737864077668</v>
      </c>
      <c r="L102" s="2314">
        <f>1.942/L101</f>
        <v>0.37708737864077668</v>
      </c>
      <c r="M102" s="2314">
        <f>1.942/M101</f>
        <v>0.37708737864077668</v>
      </c>
      <c r="N102" s="2314">
        <f>1.942/N101</f>
        <v>0.37708737864077668</v>
      </c>
    </row>
    <row r="103" spans="1:14">
      <c r="A103" s="3620"/>
      <c r="B103" s="2313">
        <v>2</v>
      </c>
      <c r="C103" s="2314">
        <f>1.4198/C101</f>
        <v>0.27568932038834948</v>
      </c>
      <c r="D103" s="2314">
        <f>1.4198/D101</f>
        <v>0.27568932038834948</v>
      </c>
      <c r="E103" s="2314">
        <f>1.3372/E101</f>
        <v>0.25965048543689317</v>
      </c>
      <c r="F103" s="2314">
        <f>1.3372/F101</f>
        <v>0.25965048543689317</v>
      </c>
      <c r="G103" s="2314">
        <f>1.3372/G101</f>
        <v>0.25965048543689317</v>
      </c>
      <c r="H103" s="2314">
        <f>1.3372/H101</f>
        <v>0.25965048543689317</v>
      </c>
      <c r="I103" s="2314">
        <f>1.3372/I101</f>
        <v>0.25965048543689317</v>
      </c>
      <c r="J103" s="2314">
        <f>1.2799/J101</f>
        <v>0.24852427184466019</v>
      </c>
      <c r="K103" s="2314">
        <f>1.2799/K101</f>
        <v>0.24852427184466019</v>
      </c>
      <c r="L103" s="2314">
        <f>1.2799/L101</f>
        <v>0.24852427184466019</v>
      </c>
      <c r="M103" s="2314">
        <f>1.2799/M101</f>
        <v>0.24852427184466019</v>
      </c>
      <c r="N103" s="2314">
        <f>1.2799/N101</f>
        <v>0.24852427184466019</v>
      </c>
    </row>
    <row r="104" spans="1:14">
      <c r="A104" s="3620"/>
      <c r="B104" s="2313">
        <v>3</v>
      </c>
      <c r="C104" s="2314">
        <f>1.1594/C101</f>
        <v>0.225126213592233</v>
      </c>
      <c r="D104" s="2314">
        <f>1.1594/D101</f>
        <v>0.225126213592233</v>
      </c>
      <c r="E104" s="2314">
        <f>1.0788/E101</f>
        <v>0.2094757281553398</v>
      </c>
      <c r="F104" s="2314">
        <f>1.0788/F101</f>
        <v>0.2094757281553398</v>
      </c>
      <c r="G104" s="2314">
        <f>1.0788/G101</f>
        <v>0.2094757281553398</v>
      </c>
      <c r="H104" s="2314">
        <f>1.0788/H101</f>
        <v>0.2094757281553398</v>
      </c>
      <c r="I104" s="2314">
        <f>1.0788/I101</f>
        <v>0.2094757281553398</v>
      </c>
      <c r="J104" s="2314">
        <f>1.0072/J101</f>
        <v>0.19557281553398059</v>
      </c>
      <c r="K104" s="2314">
        <f>1.0072/K101</f>
        <v>0.19557281553398059</v>
      </c>
      <c r="L104" s="2314">
        <f>1.0072/L101</f>
        <v>0.19557281553398059</v>
      </c>
      <c r="M104" s="2314">
        <f>1.0072/M101</f>
        <v>0.19557281553398059</v>
      </c>
      <c r="N104" s="2314">
        <f>1.0072/N101</f>
        <v>0.19557281553398059</v>
      </c>
    </row>
    <row r="105" spans="1:14">
      <c r="A105" s="3620"/>
      <c r="B105" s="2313">
        <v>4</v>
      </c>
      <c r="C105" s="2314">
        <f>0.9622/C101</f>
        <v>0.18683495145631068</v>
      </c>
      <c r="D105" s="2314">
        <f>0.9622/D101</f>
        <v>0.18683495145631068</v>
      </c>
      <c r="E105" s="2314">
        <f>0.8656/E101</f>
        <v>0.16807766990291262</v>
      </c>
      <c r="F105" s="2314">
        <f>0.8656/F101</f>
        <v>0.16807766990291262</v>
      </c>
      <c r="G105" s="2314">
        <f>0.8656/G101</f>
        <v>0.16807766990291262</v>
      </c>
      <c r="H105" s="2314">
        <f>0.8656/H101</f>
        <v>0.16807766990291262</v>
      </c>
      <c r="I105" s="2314">
        <f>0.8656/I101</f>
        <v>0.16807766990291262</v>
      </c>
      <c r="J105" s="2314">
        <f>0.7525/J101</f>
        <v>0.14611650485436892</v>
      </c>
      <c r="K105" s="2314">
        <f>0.7525/K101</f>
        <v>0.14611650485436892</v>
      </c>
      <c r="L105" s="2314">
        <f>0.7525/L101</f>
        <v>0.14611650485436892</v>
      </c>
      <c r="M105" s="2314">
        <f>0.7525/M101</f>
        <v>0.14611650485436892</v>
      </c>
      <c r="N105" s="2314">
        <f>0.7525/N101</f>
        <v>0.14611650485436892</v>
      </c>
    </row>
    <row r="106" spans="1:14">
      <c r="A106" s="3620"/>
      <c r="B106" s="2313">
        <v>5</v>
      </c>
      <c r="C106" s="2314">
        <f>0.8417/C101</f>
        <v>0.16343689320388349</v>
      </c>
      <c r="D106" s="2314">
        <f>0.8417/D101</f>
        <v>0.16343689320388349</v>
      </c>
      <c r="E106" s="2314">
        <f>0.7371/E101</f>
        <v>0.14312621359223299</v>
      </c>
      <c r="F106" s="2314">
        <f>0.7371/F101</f>
        <v>0.14312621359223299</v>
      </c>
      <c r="G106" s="2314">
        <f>0.7371/G101</f>
        <v>0.14312621359223299</v>
      </c>
      <c r="H106" s="2314">
        <f>0.7371/H101</f>
        <v>0.14312621359223299</v>
      </c>
      <c r="I106" s="2314">
        <f>0.7371/I101</f>
        <v>0.14312621359223299</v>
      </c>
      <c r="J106" s="2314">
        <f>0.5659/J101</f>
        <v>0.10988349514563105</v>
      </c>
      <c r="K106" s="2314">
        <f>0.5659/K101</f>
        <v>0.10988349514563105</v>
      </c>
      <c r="L106" s="2314">
        <f>0.5659/L101</f>
        <v>0.10988349514563105</v>
      </c>
      <c r="M106" s="2314">
        <f>0.5659/M101</f>
        <v>0.10988349514563105</v>
      </c>
      <c r="N106" s="2314">
        <f>0.5659/N101</f>
        <v>0.10988349514563105</v>
      </c>
    </row>
    <row r="107" spans="1:14">
      <c r="A107" s="3620"/>
      <c r="B107" s="2313">
        <v>6</v>
      </c>
      <c r="C107" s="2314">
        <f>0.7608/C101</f>
        <v>0.14772815533980582</v>
      </c>
      <c r="D107" s="2314">
        <f>0.7608/D101</f>
        <v>0.14772815533980582</v>
      </c>
      <c r="E107" s="2314">
        <f>0.6482/E101</f>
        <v>0.1258640776699029</v>
      </c>
      <c r="F107" s="2314">
        <f>0.6482/F101</f>
        <v>0.1258640776699029</v>
      </c>
      <c r="G107" s="2314">
        <f>0.6482/G101</f>
        <v>0.1258640776699029</v>
      </c>
      <c r="H107" s="2314">
        <f>0.6482/H101</f>
        <v>0.1258640776699029</v>
      </c>
      <c r="I107" s="2314">
        <f>0.6482/I101</f>
        <v>0.1258640776699029</v>
      </c>
      <c r="J107" s="2314">
        <f>0.4525/J101</f>
        <v>8.786407766990291E-2</v>
      </c>
      <c r="K107" s="2314">
        <f>0.4525/K101</f>
        <v>8.786407766990291E-2</v>
      </c>
      <c r="L107" s="2314">
        <f>0.4525/L101</f>
        <v>8.786407766990291E-2</v>
      </c>
      <c r="M107" s="2314">
        <f>0.4525/M101</f>
        <v>8.786407766990291E-2</v>
      </c>
      <c r="N107" s="2314">
        <f>0.4525/N101</f>
        <v>8.786407766990291E-2</v>
      </c>
    </row>
    <row r="108" spans="1:14">
      <c r="A108" s="3620"/>
      <c r="B108" s="3622" t="s">
        <v>2737</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621"/>
      <c r="B109" s="3623"/>
      <c r="C109" s="2316">
        <f>(-0.163*(C108^2)-0.59*C108+7617)*(10^(-4))/C101</f>
        <v>0.14790291262135921</v>
      </c>
      <c r="D109" s="2316">
        <f>(-0.163*(D108^2)-0.59*D108+7617)*(10^(-4))/D101</f>
        <v>0.14790291262135921</v>
      </c>
      <c r="E109" s="2316">
        <f>(-0.161*(E108^2)-7.509*E108+6533)*(10^(-4))/E101</f>
        <v>0.12685436893203883</v>
      </c>
      <c r="F109" s="2316">
        <f>(-0.161*(F108^2)-7.509*F108+6533)*(10^(-4))/F101</f>
        <v>0.12685436893203883</v>
      </c>
      <c r="G109" s="2316">
        <f>(-0.161*(G108^2)-7.509*G108+6533)*(10^(-4))/G101</f>
        <v>0.12685436893203883</v>
      </c>
      <c r="H109" s="2316">
        <f>(-0.161*(H108^2)-7.509*H108+6533)*(10^(-4))/H101</f>
        <v>0.12685436893203883</v>
      </c>
      <c r="I109" s="2316">
        <f>(-0.161*(I108^2)-7.509*I108+6533)*(10^(-4))/I101</f>
        <v>0.12685436893203883</v>
      </c>
      <c r="J109" s="2316">
        <f>(-0.214*(J108^2)-21.991*J108+4665)*(10^(-4))/J101</f>
        <v>9.0582524271844655E-2</v>
      </c>
      <c r="K109" s="2316">
        <f>(-0.214*(K108^2)-21.991*K108+4665)*(10^(-4))/K101</f>
        <v>9.0582524271844655E-2</v>
      </c>
      <c r="L109" s="2316">
        <f>(-0.214*(L108^2)-21.991*L108+4665)*(10^(-4))/L101</f>
        <v>9.0582524271844655E-2</v>
      </c>
      <c r="M109" s="2316">
        <f>(-0.214*(M108^2)-21.991*M108+4665)*(10^(-4))/M101</f>
        <v>9.0582524271844655E-2</v>
      </c>
      <c r="N109" s="2316">
        <f>(-0.214*(N108^2)-21.991*N108+4665)*(10^(-4))/N101</f>
        <v>9.0582524271844655E-2</v>
      </c>
    </row>
    <row r="110" spans="1:14">
      <c r="A110" s="3617" t="s">
        <v>2738</v>
      </c>
      <c r="B110" s="3617"/>
      <c r="C110" s="3617"/>
      <c r="D110" s="3617"/>
      <c r="E110" s="3617"/>
      <c r="F110" s="3617"/>
      <c r="G110" s="3617"/>
      <c r="H110" s="3617"/>
      <c r="I110" s="3617"/>
      <c r="J110" s="3617"/>
      <c r="K110" s="2319"/>
      <c r="L110" s="2319"/>
      <c r="M110" s="2319"/>
      <c r="N110" s="2319"/>
    </row>
    <row r="112" spans="1:14" ht="13.5" thickBot="1"/>
    <row r="113" spans="1:13" ht="25.5" thickBot="1">
      <c r="A113" s="841" t="s">
        <v>2739</v>
      </c>
      <c r="B113" s="1196">
        <f>G3</f>
        <v>5.15</v>
      </c>
      <c r="C113" s="842" t="s">
        <v>2740</v>
      </c>
      <c r="D113" s="843">
        <f>SUMPRODUCT((A115:A118=F113)*(B114:M114=H113)*B115:M118)</f>
        <v>0</v>
      </c>
      <c r="E113" s="2155" t="s">
        <v>2573</v>
      </c>
      <c r="F113" s="2321">
        <f>E2</f>
        <v>0</v>
      </c>
      <c r="G113" s="2155" t="s">
        <v>2574</v>
      </c>
      <c r="H113" s="2321">
        <f>G2</f>
        <v>0</v>
      </c>
      <c r="I113" s="2155"/>
      <c r="J113" s="2322"/>
      <c r="K113" s="2322"/>
      <c r="L113" s="2322"/>
      <c r="M113" s="2322"/>
    </row>
    <row r="114" spans="1:13">
      <c r="A114" s="846"/>
      <c r="B114" s="2323" t="s">
        <v>2741</v>
      </c>
      <c r="C114" s="2323" t="s">
        <v>2742</v>
      </c>
      <c r="D114" s="2323" t="s">
        <v>2743</v>
      </c>
      <c r="E114" s="2324" t="s">
        <v>2744</v>
      </c>
      <c r="F114" s="2324" t="s">
        <v>2745</v>
      </c>
      <c r="G114" s="2324" t="s">
        <v>2746</v>
      </c>
      <c r="H114" s="2325" t="s">
        <v>2747</v>
      </c>
      <c r="I114" s="2325" t="s">
        <v>2748</v>
      </c>
      <c r="J114" s="2326" t="s">
        <v>2749</v>
      </c>
      <c r="K114" s="2326" t="s">
        <v>2750</v>
      </c>
      <c r="L114" s="2326" t="s">
        <v>2751</v>
      </c>
      <c r="M114" s="2327" t="s">
        <v>2752</v>
      </c>
    </row>
    <row r="115" spans="1:13">
      <c r="A115" s="847" t="s">
        <v>2638</v>
      </c>
      <c r="B115" s="848">
        <f>ROUND(0.9335-0.0094*B113,4)</f>
        <v>0.8851</v>
      </c>
      <c r="C115" s="848">
        <f>B115</f>
        <v>0.8851</v>
      </c>
      <c r="D115" s="848">
        <f>ROUND(0.8331-0.0109*B113,4)</f>
        <v>0.77700000000000002</v>
      </c>
      <c r="E115" s="848">
        <f>D115</f>
        <v>0.77700000000000002</v>
      </c>
      <c r="F115" s="848">
        <f>E115</f>
        <v>0.77700000000000002</v>
      </c>
      <c r="G115" s="848">
        <f>F115</f>
        <v>0.77700000000000002</v>
      </c>
      <c r="H115" s="848">
        <f>G115</f>
        <v>0.77700000000000002</v>
      </c>
      <c r="I115" s="848">
        <f>ROUND(0.689-0.0155*B113,4)</f>
        <v>0.60919999999999996</v>
      </c>
      <c r="J115" s="848">
        <f t="shared" ref="J115:M118" si="33">I115</f>
        <v>0.60919999999999996</v>
      </c>
      <c r="K115" s="848">
        <f t="shared" si="33"/>
        <v>0.60919999999999996</v>
      </c>
      <c r="L115" s="848">
        <f t="shared" si="33"/>
        <v>0.60919999999999996</v>
      </c>
      <c r="M115" s="849">
        <f t="shared" si="33"/>
        <v>0.60919999999999996</v>
      </c>
    </row>
    <row r="116" spans="1:13">
      <c r="A116" s="847" t="s">
        <v>2639</v>
      </c>
      <c r="B116" s="848">
        <f>ROUND(0.949-0.012*B113,4)</f>
        <v>0.88719999999999999</v>
      </c>
      <c r="C116" s="848">
        <f>B116</f>
        <v>0.88719999999999999</v>
      </c>
      <c r="D116" s="848">
        <f>ROUND(0.8567-0.013*B113,4)</f>
        <v>0.78979999999999995</v>
      </c>
      <c r="E116" s="848">
        <f t="shared" ref="E116:H117" si="34">D116</f>
        <v>0.78979999999999995</v>
      </c>
      <c r="F116" s="848">
        <f t="shared" si="34"/>
        <v>0.78979999999999995</v>
      </c>
      <c r="G116" s="848">
        <f t="shared" si="34"/>
        <v>0.78979999999999995</v>
      </c>
      <c r="H116" s="848">
        <f t="shared" si="34"/>
        <v>0.78979999999999995</v>
      </c>
      <c r="I116" s="848">
        <f>ROUND(0.7694-0.014*B113,4)</f>
        <v>0.69730000000000003</v>
      </c>
      <c r="J116" s="848">
        <f t="shared" si="33"/>
        <v>0.69730000000000003</v>
      </c>
      <c r="K116" s="848">
        <f t="shared" si="33"/>
        <v>0.69730000000000003</v>
      </c>
      <c r="L116" s="848">
        <f t="shared" si="33"/>
        <v>0.69730000000000003</v>
      </c>
      <c r="M116" s="849">
        <f t="shared" si="33"/>
        <v>0.69730000000000003</v>
      </c>
    </row>
    <row r="117" spans="1:13">
      <c r="A117" s="847" t="s">
        <v>2640</v>
      </c>
      <c r="B117" s="848">
        <f>ROUND(0.8808-0.006*B113,4)</f>
        <v>0.84989999999999999</v>
      </c>
      <c r="C117" s="848">
        <f>B117</f>
        <v>0.84989999999999999</v>
      </c>
      <c r="D117" s="848">
        <f>ROUND(0.8748-0.008*B113,4)</f>
        <v>0.83360000000000001</v>
      </c>
      <c r="E117" s="848">
        <f t="shared" si="34"/>
        <v>0.83360000000000001</v>
      </c>
      <c r="F117" s="848">
        <f t="shared" si="34"/>
        <v>0.83360000000000001</v>
      </c>
      <c r="G117" s="848">
        <f t="shared" si="34"/>
        <v>0.83360000000000001</v>
      </c>
      <c r="H117" s="848">
        <f t="shared" si="34"/>
        <v>0.83360000000000001</v>
      </c>
      <c r="I117" s="848">
        <f>ROUND(0.7412-0.0095*B113,4)</f>
        <v>0.69230000000000003</v>
      </c>
      <c r="J117" s="848">
        <f t="shared" si="33"/>
        <v>0.69230000000000003</v>
      </c>
      <c r="K117" s="848">
        <f t="shared" si="33"/>
        <v>0.69230000000000003</v>
      </c>
      <c r="L117" s="848">
        <f t="shared" si="33"/>
        <v>0.69230000000000003</v>
      </c>
      <c r="M117" s="849">
        <f t="shared" si="33"/>
        <v>0.69230000000000003</v>
      </c>
    </row>
    <row r="118" spans="1:13" ht="13.5" thickBot="1">
      <c r="A118" s="670" t="s">
        <v>2641</v>
      </c>
      <c r="B118" s="850">
        <f>ROUND(0.7275-0.01*B113,4)</f>
        <v>0.67600000000000005</v>
      </c>
      <c r="C118" s="850">
        <f>B118</f>
        <v>0.67600000000000005</v>
      </c>
      <c r="D118" s="850">
        <f>ROUND(0.7043-0.012*B113,4)</f>
        <v>0.64249999999999996</v>
      </c>
      <c r="E118" s="850">
        <f>D118</f>
        <v>0.64249999999999996</v>
      </c>
      <c r="F118" s="850">
        <f>E118</f>
        <v>0.64249999999999996</v>
      </c>
      <c r="G118" s="850">
        <f>ROUND(0.6299-0.0122*B113,4)</f>
        <v>0.56710000000000005</v>
      </c>
      <c r="H118" s="850">
        <f>G118</f>
        <v>0.56710000000000005</v>
      </c>
      <c r="I118" s="850">
        <f>ROUND(0.5667-0.0136*B113,4)</f>
        <v>0.49669999999999997</v>
      </c>
      <c r="J118" s="850">
        <f t="shared" si="33"/>
        <v>0.49669999999999997</v>
      </c>
      <c r="K118" s="850">
        <f t="shared" si="33"/>
        <v>0.49669999999999997</v>
      </c>
      <c r="L118" s="850">
        <f t="shared" si="33"/>
        <v>0.49669999999999997</v>
      </c>
      <c r="M118" s="851">
        <f t="shared" si="33"/>
        <v>0.49669999999999997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30" t="s">
        <v>183</v>
      </c>
      <c r="B18" s="820" t="s">
        <v>560</v>
      </c>
      <c r="C18" s="821" t="s">
        <v>561</v>
      </c>
      <c r="D18" s="822"/>
      <c r="E18" s="820">
        <v>1</v>
      </c>
      <c r="F18" s="823" t="s">
        <v>562</v>
      </c>
      <c r="G18" s="824"/>
      <c r="H18" s="816"/>
      <c r="I18" s="816"/>
    </row>
    <row r="19" spans="1:9" s="825" customFormat="1" ht="19.5" customHeight="1">
      <c r="A19" s="3630"/>
      <c r="B19" s="3630" t="s">
        <v>563</v>
      </c>
      <c r="C19" s="821" t="s">
        <v>564</v>
      </c>
      <c r="D19" s="822"/>
      <c r="E19" s="820">
        <v>0.9</v>
      </c>
      <c r="F19" s="823" t="s">
        <v>565</v>
      </c>
      <c r="G19" s="824"/>
      <c r="H19" s="816"/>
      <c r="I19" s="816"/>
    </row>
    <row r="20" spans="1:9" s="825" customFormat="1" ht="19.5" customHeight="1">
      <c r="A20" s="3630"/>
      <c r="B20" s="3630"/>
      <c r="C20" s="821" t="s">
        <v>566</v>
      </c>
      <c r="D20" s="822"/>
      <c r="E20" s="820">
        <v>1.1000000000000001</v>
      </c>
      <c r="F20" s="823" t="s">
        <v>567</v>
      </c>
      <c r="G20" s="824"/>
      <c r="H20" s="816"/>
      <c r="I20" s="816"/>
    </row>
    <row r="21" spans="1:9" s="825" customFormat="1" ht="19.5" customHeight="1">
      <c r="A21" s="3630"/>
      <c r="B21" s="3630"/>
      <c r="C21" s="821" t="s">
        <v>568</v>
      </c>
      <c r="D21" s="822"/>
      <c r="E21" s="820">
        <v>0.8</v>
      </c>
      <c r="F21" s="823" t="s">
        <v>569</v>
      </c>
      <c r="G21" s="824"/>
      <c r="H21" s="816"/>
      <c r="I21" s="816"/>
    </row>
    <row r="22" spans="1:9" s="825" customFormat="1" ht="19.5" customHeight="1">
      <c r="A22" s="3630"/>
      <c r="B22" s="3630"/>
      <c r="C22" s="821" t="s">
        <v>570</v>
      </c>
      <c r="D22" s="822"/>
      <c r="E22" s="820">
        <v>0.5</v>
      </c>
      <c r="F22" s="823"/>
      <c r="G22" s="824"/>
      <c r="H22" s="816"/>
      <c r="I22" s="816"/>
    </row>
    <row r="23" spans="1:9" s="825" customFormat="1" ht="19.5" customHeight="1">
      <c r="A23" s="3630" t="s">
        <v>184</v>
      </c>
      <c r="B23" s="820" t="s">
        <v>560</v>
      </c>
      <c r="C23" s="821" t="s">
        <v>571</v>
      </c>
      <c r="D23" s="822"/>
      <c r="E23" s="820">
        <v>1</v>
      </c>
      <c r="F23" s="823" t="s">
        <v>572</v>
      </c>
      <c r="G23" s="824"/>
      <c r="H23" s="816"/>
      <c r="I23" s="816"/>
    </row>
    <row r="24" spans="1:9" s="825" customFormat="1" ht="19.5" customHeight="1">
      <c r="A24" s="3630"/>
      <c r="B24" s="3630" t="s">
        <v>563</v>
      </c>
      <c r="C24" s="821" t="s">
        <v>573</v>
      </c>
      <c r="D24" s="822"/>
      <c r="E24" s="820">
        <v>0.5</v>
      </c>
      <c r="F24" s="823"/>
      <c r="G24" s="824"/>
      <c r="H24" s="816"/>
      <c r="I24" s="816"/>
    </row>
    <row r="25" spans="1:9" s="825" customFormat="1" ht="19.5" customHeight="1">
      <c r="A25" s="3630"/>
      <c r="B25" s="3630"/>
      <c r="C25" s="821" t="s">
        <v>574</v>
      </c>
      <c r="D25" s="822"/>
      <c r="E25" s="820">
        <v>1.1000000000000001</v>
      </c>
      <c r="F25" s="823"/>
      <c r="G25" s="824"/>
      <c r="H25" s="816"/>
      <c r="I25" s="816"/>
    </row>
    <row r="26" spans="1:9" s="825" customFormat="1" ht="19.5" customHeight="1">
      <c r="A26" s="3630"/>
      <c r="B26" s="3630"/>
      <c r="C26" s="821" t="s">
        <v>575</v>
      </c>
      <c r="D26" s="822"/>
      <c r="E26" s="820">
        <v>1.1000000000000001</v>
      </c>
      <c r="F26" s="823"/>
      <c r="G26" s="824"/>
      <c r="H26" s="816"/>
      <c r="I26" s="816"/>
    </row>
    <row r="27" spans="1:9" s="825" customFormat="1" ht="19.5" customHeight="1">
      <c r="A27" s="3630"/>
      <c r="B27" s="3630"/>
      <c r="C27" s="821" t="s">
        <v>576</v>
      </c>
      <c r="D27" s="822"/>
      <c r="E27" s="820">
        <v>0.9</v>
      </c>
      <c r="F27" s="823" t="s">
        <v>577</v>
      </c>
      <c r="G27" s="824"/>
      <c r="H27" s="816"/>
      <c r="I27" s="816"/>
    </row>
    <row r="28" spans="1:9" s="825" customFormat="1" ht="19.5" customHeight="1">
      <c r="A28" s="3630"/>
      <c r="B28" s="3630"/>
      <c r="C28" s="821" t="s">
        <v>578</v>
      </c>
      <c r="D28" s="822"/>
      <c r="E28" s="820">
        <v>0.9</v>
      </c>
      <c r="F28" s="823" t="s">
        <v>579</v>
      </c>
      <c r="G28" s="824"/>
      <c r="H28" s="816"/>
      <c r="I28" s="816"/>
    </row>
    <row r="29" spans="1:9" s="825" customFormat="1" ht="19.5" customHeight="1">
      <c r="A29" s="3630"/>
      <c r="B29" s="3630"/>
      <c r="C29" s="821" t="s">
        <v>580</v>
      </c>
      <c r="D29" s="822"/>
      <c r="E29" s="820">
        <v>0.9</v>
      </c>
      <c r="F29" s="823" t="s">
        <v>581</v>
      </c>
      <c r="G29" s="824"/>
      <c r="H29" s="816"/>
      <c r="I29" s="816"/>
    </row>
    <row r="30" spans="1:9" s="825" customFormat="1" ht="19.5" customHeight="1">
      <c r="A30" s="3630"/>
      <c r="B30" s="3630"/>
      <c r="C30" s="821" t="s">
        <v>582</v>
      </c>
      <c r="D30" s="822"/>
      <c r="E30" s="820">
        <v>0.9</v>
      </c>
      <c r="F30" s="823" t="s">
        <v>583</v>
      </c>
      <c r="G30" s="824"/>
      <c r="H30" s="816"/>
      <c r="I30" s="816"/>
    </row>
    <row r="31" spans="1:9" s="825" customFormat="1" ht="19.5" customHeight="1">
      <c r="A31" s="3630"/>
      <c r="B31" s="3630"/>
      <c r="C31" s="821" t="s">
        <v>584</v>
      </c>
      <c r="D31" s="822"/>
      <c r="E31" s="820">
        <v>0.8</v>
      </c>
      <c r="F31" s="823" t="s">
        <v>585</v>
      </c>
      <c r="G31" s="824"/>
      <c r="H31" s="816"/>
      <c r="I31" s="816"/>
    </row>
    <row r="32" spans="1:9" s="825" customFormat="1" ht="19.5" customHeight="1">
      <c r="A32" s="3630"/>
      <c r="B32" s="3630"/>
      <c r="C32" s="821" t="s">
        <v>586</v>
      </c>
      <c r="D32" s="822"/>
      <c r="E32" s="820">
        <v>0.8</v>
      </c>
      <c r="F32" s="823" t="s">
        <v>587</v>
      </c>
      <c r="G32" s="824"/>
      <c r="H32" s="816"/>
      <c r="I32" s="816"/>
    </row>
    <row r="33" spans="1:9" s="825" customFormat="1" ht="19.5" customHeight="1">
      <c r="A33" s="3630" t="s">
        <v>185</v>
      </c>
      <c r="B33" s="820" t="s">
        <v>560</v>
      </c>
      <c r="C33" s="821" t="s">
        <v>588</v>
      </c>
      <c r="D33" s="822"/>
      <c r="E33" s="820">
        <v>1</v>
      </c>
      <c r="F33" s="823" t="s">
        <v>589</v>
      </c>
      <c r="G33" s="824"/>
      <c r="H33" s="816"/>
      <c r="I33" s="816"/>
    </row>
    <row r="34" spans="1:9" s="825" customFormat="1" ht="19.5" customHeight="1">
      <c r="A34" s="3630"/>
      <c r="B34" s="820" t="s">
        <v>563</v>
      </c>
      <c r="C34" s="821" t="s">
        <v>590</v>
      </c>
      <c r="D34" s="822"/>
      <c r="E34" s="820">
        <v>1.5</v>
      </c>
      <c r="F34" s="823" t="s">
        <v>591</v>
      </c>
      <c r="G34" s="824"/>
      <c r="H34" s="816"/>
      <c r="I34" s="816"/>
    </row>
    <row r="35" spans="1:9" s="825" customFormat="1" ht="19.5" customHeight="1">
      <c r="A35" s="3630" t="s">
        <v>186</v>
      </c>
      <c r="B35" s="820" t="s">
        <v>560</v>
      </c>
      <c r="C35" s="821" t="s">
        <v>592</v>
      </c>
      <c r="D35" s="822"/>
      <c r="E35" s="820">
        <v>1</v>
      </c>
      <c r="F35" s="823" t="s">
        <v>593</v>
      </c>
      <c r="G35" s="824"/>
      <c r="H35" s="816"/>
      <c r="I35" s="816"/>
    </row>
    <row r="36" spans="1:9" s="825" customFormat="1" ht="19.5" customHeight="1">
      <c r="A36" s="3630"/>
      <c r="B36" s="3630" t="s">
        <v>563</v>
      </c>
      <c r="C36" s="821" t="s">
        <v>594</v>
      </c>
      <c r="D36" s="822"/>
      <c r="E36" s="820">
        <v>1</v>
      </c>
      <c r="F36" s="823" t="s">
        <v>595</v>
      </c>
      <c r="G36" s="824"/>
      <c r="H36" s="816"/>
      <c r="I36" s="816"/>
    </row>
    <row r="37" spans="1:9" s="825" customFormat="1" ht="19.5" customHeight="1">
      <c r="A37" s="3630"/>
      <c r="B37" s="3630"/>
      <c r="C37" s="821" t="s">
        <v>596</v>
      </c>
      <c r="D37" s="822"/>
      <c r="E37" s="820">
        <v>1.5</v>
      </c>
      <c r="F37" s="823" t="s">
        <v>597</v>
      </c>
      <c r="G37" s="824"/>
      <c r="H37" s="816"/>
      <c r="I37" s="816"/>
    </row>
    <row r="38" spans="1:9" s="825" customFormat="1" ht="19.5" customHeight="1">
      <c r="A38" s="3630"/>
      <c r="B38" s="3630"/>
      <c r="C38" s="821" t="s">
        <v>598</v>
      </c>
      <c r="D38" s="822"/>
      <c r="E38" s="820">
        <v>1</v>
      </c>
      <c r="F38" s="823" t="s">
        <v>599</v>
      </c>
      <c r="G38" s="824"/>
      <c r="H38" s="816"/>
      <c r="I38" s="816"/>
    </row>
    <row r="39" spans="1:9" s="825" customFormat="1" ht="19.5" customHeight="1">
      <c r="A39" s="3630"/>
      <c r="B39" s="363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30" t="s">
        <v>614</v>
      </c>
      <c r="C61" s="756" t="s">
        <v>615</v>
      </c>
      <c r="D61" s="756" t="s">
        <v>616</v>
      </c>
      <c r="E61" s="833">
        <v>0.5</v>
      </c>
      <c r="F61" s="820">
        <v>80</v>
      </c>
    </row>
    <row r="62" spans="1:8" s="816" customFormat="1" ht="24">
      <c r="A62" s="820">
        <v>2</v>
      </c>
      <c r="B62" s="3630"/>
      <c r="C62" s="756" t="s">
        <v>617</v>
      </c>
      <c r="D62" s="756" t="s">
        <v>618</v>
      </c>
      <c r="E62" s="833">
        <v>0.5</v>
      </c>
      <c r="F62" s="820">
        <v>80</v>
      </c>
    </row>
    <row r="63" spans="1:8" s="816" customFormat="1" ht="36">
      <c r="A63" s="820">
        <v>3</v>
      </c>
      <c r="B63" s="3630"/>
      <c r="C63" s="756" t="s">
        <v>619</v>
      </c>
      <c r="D63" s="756" t="s">
        <v>620</v>
      </c>
      <c r="E63" s="833">
        <v>0.5</v>
      </c>
      <c r="F63" s="820">
        <v>80</v>
      </c>
    </row>
    <row r="64" spans="1:8" s="816" customFormat="1" ht="36">
      <c r="A64" s="820">
        <v>4</v>
      </c>
      <c r="B64" s="3630"/>
      <c r="C64" s="756" t="s">
        <v>621</v>
      </c>
      <c r="D64" s="756" t="s">
        <v>622</v>
      </c>
      <c r="E64" s="833">
        <v>0.4</v>
      </c>
      <c r="F64" s="820">
        <v>60</v>
      </c>
    </row>
    <row r="65" spans="1:6" s="816" customFormat="1" ht="36">
      <c r="A65" s="820">
        <v>5</v>
      </c>
      <c r="B65" s="3630"/>
      <c r="C65" s="756" t="s">
        <v>623</v>
      </c>
      <c r="D65" s="756" t="s">
        <v>624</v>
      </c>
      <c r="E65" s="833">
        <v>0.2</v>
      </c>
      <c r="F65" s="820">
        <v>30</v>
      </c>
    </row>
    <row r="66" spans="1:6" s="816" customFormat="1" ht="36">
      <c r="A66" s="820">
        <v>6</v>
      </c>
      <c r="B66" s="3630"/>
      <c r="C66" s="756" t="s">
        <v>625</v>
      </c>
      <c r="D66" s="756" t="s">
        <v>626</v>
      </c>
      <c r="E66" s="833">
        <v>0.3</v>
      </c>
      <c r="F66" s="820">
        <v>50</v>
      </c>
    </row>
    <row r="67" spans="1:6" s="816" customFormat="1" ht="36">
      <c r="A67" s="820">
        <v>7</v>
      </c>
      <c r="B67" s="3630"/>
      <c r="C67" s="756" t="s">
        <v>627</v>
      </c>
      <c r="D67" s="756" t="s">
        <v>628</v>
      </c>
      <c r="E67" s="833">
        <v>0.2</v>
      </c>
      <c r="F67" s="820">
        <v>30</v>
      </c>
    </row>
    <row r="68" spans="1:6" s="816" customFormat="1" ht="36">
      <c r="A68" s="820">
        <v>8</v>
      </c>
      <c r="B68" s="3630"/>
      <c r="C68" s="756" t="s">
        <v>629</v>
      </c>
      <c r="D68" s="756" t="s">
        <v>630</v>
      </c>
      <c r="E68" s="833">
        <v>0.2</v>
      </c>
      <c r="F68" s="820">
        <v>30</v>
      </c>
    </row>
    <row r="69" spans="1:6" s="816" customFormat="1" ht="36">
      <c r="A69" s="820">
        <v>9</v>
      </c>
      <c r="B69" s="3630"/>
      <c r="C69" s="756" t="s">
        <v>631</v>
      </c>
      <c r="D69" s="756" t="s">
        <v>632</v>
      </c>
      <c r="E69" s="833">
        <v>0.2</v>
      </c>
      <c r="F69" s="820">
        <v>30</v>
      </c>
    </row>
    <row r="70" spans="1:6" s="816" customFormat="1" ht="48">
      <c r="A70" s="820">
        <v>10</v>
      </c>
      <c r="B70" s="3630"/>
      <c r="C70" s="756" t="s">
        <v>633</v>
      </c>
      <c r="D70" s="756" t="s">
        <v>634</v>
      </c>
      <c r="E70" s="833">
        <v>0.2</v>
      </c>
      <c r="F70" s="820">
        <v>30</v>
      </c>
    </row>
    <row r="71" spans="1:6" s="816" customFormat="1" ht="48">
      <c r="A71" s="820">
        <v>11</v>
      </c>
      <c r="B71" s="3630"/>
      <c r="C71" s="756" t="s">
        <v>635</v>
      </c>
      <c r="D71" s="756" t="s">
        <v>636</v>
      </c>
      <c r="E71" s="833">
        <v>0.2</v>
      </c>
      <c r="F71" s="820">
        <v>30</v>
      </c>
    </row>
    <row r="72" spans="1:6" s="816" customFormat="1" ht="36">
      <c r="A72" s="820">
        <v>12</v>
      </c>
      <c r="B72" s="3630"/>
      <c r="C72" s="756" t="s">
        <v>637</v>
      </c>
      <c r="D72" s="756" t="s">
        <v>638</v>
      </c>
      <c r="E72" s="833">
        <v>0.5</v>
      </c>
      <c r="F72" s="820">
        <v>80</v>
      </c>
    </row>
    <row r="73" spans="1:6" s="816" customFormat="1" ht="24">
      <c r="A73" s="820">
        <v>13</v>
      </c>
      <c r="B73" s="3630"/>
      <c r="C73" s="756" t="s">
        <v>639</v>
      </c>
      <c r="D73" s="756" t="s">
        <v>640</v>
      </c>
      <c r="E73" s="833">
        <v>0.4</v>
      </c>
      <c r="F73" s="820">
        <v>60</v>
      </c>
    </row>
    <row r="74" spans="1:6" s="816" customFormat="1" ht="24">
      <c r="A74" s="820">
        <v>14</v>
      </c>
      <c r="B74" s="3630"/>
      <c r="C74" s="756" t="s">
        <v>641</v>
      </c>
      <c r="D74" s="756" t="s">
        <v>642</v>
      </c>
      <c r="E74" s="833">
        <v>0.2</v>
      </c>
      <c r="F74" s="820">
        <v>30</v>
      </c>
    </row>
    <row r="75" spans="1:6" s="816" customFormat="1" ht="24">
      <c r="A75" s="820">
        <v>15</v>
      </c>
      <c r="B75" s="3630"/>
      <c r="C75" s="756" t="s">
        <v>643</v>
      </c>
      <c r="D75" s="756" t="s">
        <v>644</v>
      </c>
      <c r="E75" s="833">
        <v>0.2</v>
      </c>
      <c r="F75" s="820">
        <v>30</v>
      </c>
    </row>
    <row r="76" spans="1:6" s="816" customFormat="1" ht="24">
      <c r="A76" s="820">
        <v>16</v>
      </c>
      <c r="B76" s="3630" t="s">
        <v>645</v>
      </c>
      <c r="C76" s="756" t="s">
        <v>646</v>
      </c>
      <c r="D76" s="756" t="s">
        <v>647</v>
      </c>
      <c r="E76" s="833">
        <v>0.5</v>
      </c>
      <c r="F76" s="820">
        <v>80</v>
      </c>
    </row>
    <row r="77" spans="1:6" s="816" customFormat="1" ht="24">
      <c r="A77" s="820">
        <v>17</v>
      </c>
      <c r="B77" s="3630"/>
      <c r="C77" s="756" t="s">
        <v>648</v>
      </c>
      <c r="D77" s="756" t="s">
        <v>649</v>
      </c>
      <c r="E77" s="833">
        <v>0.5</v>
      </c>
      <c r="F77" s="820">
        <v>80</v>
      </c>
    </row>
    <row r="78" spans="1:6" s="816" customFormat="1" ht="24">
      <c r="A78" s="820">
        <v>18</v>
      </c>
      <c r="B78" s="3630"/>
      <c r="C78" s="756" t="s">
        <v>650</v>
      </c>
      <c r="D78" s="756" t="s">
        <v>651</v>
      </c>
      <c r="E78" s="833">
        <v>0.2</v>
      </c>
      <c r="F78" s="820">
        <v>30</v>
      </c>
    </row>
    <row r="79" spans="1:6" s="816" customFormat="1" ht="24">
      <c r="A79" s="820">
        <v>19</v>
      </c>
      <c r="B79" s="3630"/>
      <c r="C79" s="756" t="s">
        <v>652</v>
      </c>
      <c r="D79" s="756" t="s">
        <v>653</v>
      </c>
      <c r="E79" s="833">
        <v>0.5</v>
      </c>
      <c r="F79" s="820">
        <v>80</v>
      </c>
    </row>
    <row r="80" spans="1:6" s="816" customFormat="1" ht="36">
      <c r="A80" s="820">
        <v>20</v>
      </c>
      <c r="B80" s="3630"/>
      <c r="C80" s="756" t="s">
        <v>654</v>
      </c>
      <c r="D80" s="756" t="s">
        <v>655</v>
      </c>
      <c r="E80" s="833">
        <v>0.2</v>
      </c>
      <c r="F80" s="820">
        <v>30</v>
      </c>
    </row>
    <row r="81" spans="1:6" s="816" customFormat="1" ht="36">
      <c r="A81" s="820">
        <v>21</v>
      </c>
      <c r="B81" s="3630"/>
      <c r="C81" s="756" t="s">
        <v>656</v>
      </c>
      <c r="D81" s="756" t="s">
        <v>657</v>
      </c>
      <c r="E81" s="833">
        <v>0.2</v>
      </c>
      <c r="F81" s="820">
        <v>30</v>
      </c>
    </row>
    <row r="82" spans="1:6" s="816" customFormat="1" ht="48">
      <c r="A82" s="820">
        <v>22</v>
      </c>
      <c r="B82" s="3630"/>
      <c r="C82" s="756" t="s">
        <v>658</v>
      </c>
      <c r="D82" s="756" t="s">
        <v>659</v>
      </c>
      <c r="E82" s="833">
        <v>0.2</v>
      </c>
      <c r="F82" s="820">
        <v>30</v>
      </c>
    </row>
    <row r="83" spans="1:6" s="816" customFormat="1" ht="48">
      <c r="A83" s="820">
        <v>23</v>
      </c>
      <c r="B83" s="3630"/>
      <c r="C83" s="756" t="s">
        <v>660</v>
      </c>
      <c r="D83" s="756" t="s">
        <v>661</v>
      </c>
      <c r="E83" s="833">
        <v>0.2</v>
      </c>
      <c r="F83" s="820">
        <v>30</v>
      </c>
    </row>
    <row r="84" spans="1:6" s="816" customFormat="1" ht="36">
      <c r="A84" s="820">
        <v>24</v>
      </c>
      <c r="B84" s="3630"/>
      <c r="C84" s="756" t="s">
        <v>662</v>
      </c>
      <c r="D84" s="756" t="s">
        <v>663</v>
      </c>
      <c r="E84" s="833">
        <v>0.2</v>
      </c>
      <c r="F84" s="820">
        <v>30</v>
      </c>
    </row>
    <row r="85" spans="1:6" s="816" customFormat="1" ht="36">
      <c r="A85" s="820">
        <v>25</v>
      </c>
      <c r="B85" s="3630"/>
      <c r="C85" s="756" t="s">
        <v>664</v>
      </c>
      <c r="D85" s="756" t="s">
        <v>665</v>
      </c>
      <c r="E85" s="833">
        <v>0.5</v>
      </c>
      <c r="F85" s="820">
        <v>80</v>
      </c>
    </row>
    <row r="86" spans="1:6" s="816" customFormat="1" ht="36">
      <c r="A86" s="820">
        <v>26</v>
      </c>
      <c r="B86" s="3630"/>
      <c r="C86" s="756" t="s">
        <v>666</v>
      </c>
      <c r="D86" s="756" t="s">
        <v>667</v>
      </c>
      <c r="E86" s="833">
        <v>0.2</v>
      </c>
      <c r="F86" s="820">
        <v>30</v>
      </c>
    </row>
    <row r="87" spans="1:6" s="816" customFormat="1" ht="36">
      <c r="A87" s="820">
        <v>27</v>
      </c>
      <c r="B87" s="3630"/>
      <c r="C87" s="756" t="s">
        <v>668</v>
      </c>
      <c r="D87" s="756" t="s">
        <v>669</v>
      </c>
      <c r="E87" s="833">
        <v>0.2</v>
      </c>
      <c r="F87" s="820">
        <v>30</v>
      </c>
    </row>
    <row r="88" spans="1:6" s="816" customFormat="1" ht="36">
      <c r="A88" s="820">
        <v>28</v>
      </c>
      <c r="B88" s="3630"/>
      <c r="C88" s="756" t="s">
        <v>670</v>
      </c>
      <c r="D88" s="756" t="s">
        <v>671</v>
      </c>
      <c r="E88" s="833">
        <v>0.2</v>
      </c>
      <c r="F88" s="820">
        <v>30</v>
      </c>
    </row>
    <row r="89" spans="1:6" s="816" customFormat="1" ht="24">
      <c r="A89" s="820">
        <v>29</v>
      </c>
      <c r="B89" s="3630"/>
      <c r="C89" s="756" t="s">
        <v>672</v>
      </c>
      <c r="D89" s="756" t="s">
        <v>673</v>
      </c>
      <c r="E89" s="833">
        <v>0.2</v>
      </c>
      <c r="F89" s="820">
        <v>30</v>
      </c>
    </row>
    <row r="90" spans="1:6" s="816" customFormat="1" ht="24">
      <c r="A90" s="820">
        <v>30</v>
      </c>
      <c r="B90" s="3630"/>
      <c r="C90" s="756" t="s">
        <v>674</v>
      </c>
      <c r="D90" s="756" t="s">
        <v>675</v>
      </c>
      <c r="E90" s="833">
        <v>0.2</v>
      </c>
      <c r="F90" s="820">
        <v>30</v>
      </c>
    </row>
    <row r="91" spans="1:6" s="816" customFormat="1" ht="36">
      <c r="A91" s="820">
        <v>31</v>
      </c>
      <c r="B91" s="3630"/>
      <c r="C91" s="756" t="s">
        <v>676</v>
      </c>
      <c r="D91" s="756" t="s">
        <v>677</v>
      </c>
      <c r="E91" s="833">
        <v>0.2</v>
      </c>
      <c r="F91" s="820">
        <v>30</v>
      </c>
    </row>
    <row r="92" spans="1:6" s="816" customFormat="1" ht="24">
      <c r="A92" s="820">
        <v>32</v>
      </c>
      <c r="B92" s="3630" t="s">
        <v>678</v>
      </c>
      <c r="C92" s="820" t="s">
        <v>679</v>
      </c>
      <c r="D92" s="756" t="s">
        <v>680</v>
      </c>
      <c r="E92" s="833">
        <v>0.2</v>
      </c>
      <c r="F92" s="820">
        <v>30</v>
      </c>
    </row>
    <row r="93" spans="1:6" s="816" customFormat="1" ht="36">
      <c r="A93" s="820">
        <v>33</v>
      </c>
      <c r="B93" s="3630"/>
      <c r="C93" s="820" t="s">
        <v>681</v>
      </c>
      <c r="D93" s="756" t="s">
        <v>682</v>
      </c>
      <c r="E93" s="833">
        <v>0.2</v>
      </c>
      <c r="F93" s="820">
        <v>30</v>
      </c>
    </row>
    <row r="94" spans="1:6" s="816" customFormat="1" ht="48">
      <c r="A94" s="820">
        <v>34</v>
      </c>
      <c r="B94" s="3630"/>
      <c r="C94" s="820" t="s">
        <v>683</v>
      </c>
      <c r="D94" s="756" t="s">
        <v>684</v>
      </c>
      <c r="E94" s="833">
        <v>0.2</v>
      </c>
      <c r="F94" s="820">
        <v>30</v>
      </c>
    </row>
    <row r="95" spans="1:6" s="816" customFormat="1" ht="36">
      <c r="A95" s="820">
        <v>35</v>
      </c>
      <c r="B95" s="3630"/>
      <c r="C95" s="820" t="s">
        <v>685</v>
      </c>
      <c r="D95" s="756" t="s">
        <v>686</v>
      </c>
      <c r="E95" s="833">
        <v>0.2</v>
      </c>
      <c r="F95" s="820">
        <v>30</v>
      </c>
    </row>
    <row r="96" spans="1:6" s="816" customFormat="1" ht="48">
      <c r="A96" s="820">
        <v>36</v>
      </c>
      <c r="B96" s="3630"/>
      <c r="C96" s="756" t="s">
        <v>687</v>
      </c>
      <c r="D96" s="756" t="s">
        <v>688</v>
      </c>
      <c r="E96" s="833">
        <v>0.2</v>
      </c>
      <c r="F96" s="820">
        <v>30</v>
      </c>
    </row>
    <row r="97" spans="1:6" s="816" customFormat="1" ht="36">
      <c r="A97" s="820">
        <v>37</v>
      </c>
      <c r="B97" s="3630"/>
      <c r="C97" s="820" t="s">
        <v>689</v>
      </c>
      <c r="D97" s="756" t="s">
        <v>690</v>
      </c>
      <c r="E97" s="833">
        <v>0.2</v>
      </c>
      <c r="F97" s="820">
        <v>30</v>
      </c>
    </row>
    <row r="98" spans="1:6" s="816" customFormat="1" ht="36">
      <c r="A98" s="820">
        <v>38</v>
      </c>
      <c r="B98" s="3630"/>
      <c r="C98" s="820" t="s">
        <v>691</v>
      </c>
      <c r="D98" s="756" t="s">
        <v>692</v>
      </c>
      <c r="E98" s="833">
        <v>0.2</v>
      </c>
      <c r="F98" s="820">
        <v>30</v>
      </c>
    </row>
    <row r="99" spans="1:6" s="816" customFormat="1" ht="36">
      <c r="A99" s="820">
        <v>39</v>
      </c>
      <c r="B99" s="3630" t="s">
        <v>693</v>
      </c>
      <c r="C99" s="820" t="s">
        <v>694</v>
      </c>
      <c r="D99" s="756" t="s">
        <v>695</v>
      </c>
      <c r="E99" s="833">
        <v>0.3</v>
      </c>
      <c r="F99" s="820">
        <v>50</v>
      </c>
    </row>
    <row r="100" spans="1:6" s="816" customFormat="1" ht="24">
      <c r="A100" s="820">
        <v>40</v>
      </c>
      <c r="B100" s="3630"/>
      <c r="C100" s="820" t="s">
        <v>696</v>
      </c>
      <c r="D100" s="756" t="s">
        <v>697</v>
      </c>
      <c r="E100" s="833">
        <v>0.2</v>
      </c>
      <c r="F100" s="820">
        <v>30</v>
      </c>
    </row>
    <row r="101" spans="1:6" s="816" customFormat="1" ht="36">
      <c r="A101" s="820">
        <v>41</v>
      </c>
      <c r="B101" s="363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30" t="s">
        <v>708</v>
      </c>
      <c r="C105" s="820" t="s">
        <v>709</v>
      </c>
      <c r="D105" s="756" t="s">
        <v>710</v>
      </c>
      <c r="E105" s="833">
        <v>0.2</v>
      </c>
      <c r="F105" s="820">
        <v>30</v>
      </c>
    </row>
    <row r="106" spans="1:6" s="816" customFormat="1" ht="36">
      <c r="A106" s="820">
        <v>46</v>
      </c>
      <c r="B106" s="3630"/>
      <c r="C106" s="820" t="s">
        <v>711</v>
      </c>
      <c r="D106" s="756" t="s">
        <v>712</v>
      </c>
      <c r="E106" s="833">
        <v>0.2</v>
      </c>
      <c r="F106" s="820">
        <v>30</v>
      </c>
    </row>
    <row r="107" spans="1:6" s="816" customFormat="1" ht="36">
      <c r="A107" s="820">
        <v>47</v>
      </c>
      <c r="B107" s="3630" t="s">
        <v>713</v>
      </c>
      <c r="C107" s="820" t="s">
        <v>714</v>
      </c>
      <c r="D107" s="756" t="s">
        <v>715</v>
      </c>
      <c r="E107" s="833">
        <v>0.3</v>
      </c>
      <c r="F107" s="820">
        <v>50</v>
      </c>
    </row>
    <row r="108" spans="1:6" s="816" customFormat="1" ht="36">
      <c r="A108" s="820">
        <v>48</v>
      </c>
      <c r="B108" s="363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30" t="s">
        <v>724</v>
      </c>
      <c r="C111" s="820" t="s">
        <v>725</v>
      </c>
      <c r="D111" s="756" t="s">
        <v>726</v>
      </c>
      <c r="E111" s="833">
        <v>0.2</v>
      </c>
      <c r="F111" s="820">
        <v>30</v>
      </c>
    </row>
    <row r="112" spans="1:6" s="816" customFormat="1" ht="24">
      <c r="A112" s="820">
        <v>52</v>
      </c>
      <c r="B112" s="3630"/>
      <c r="C112" s="820" t="s">
        <v>727</v>
      </c>
      <c r="D112" s="756" t="s">
        <v>728</v>
      </c>
      <c r="E112" s="833">
        <v>0.2</v>
      </c>
      <c r="F112" s="820">
        <v>30</v>
      </c>
    </row>
    <row r="113" spans="1:6" s="816" customFormat="1" ht="24">
      <c r="A113" s="820">
        <v>53</v>
      </c>
      <c r="B113" s="363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30" t="s">
        <v>737</v>
      </c>
      <c r="C116" s="820" t="s">
        <v>738</v>
      </c>
      <c r="D116" s="756" t="s">
        <v>739</v>
      </c>
      <c r="E116" s="833">
        <v>0.2</v>
      </c>
      <c r="F116" s="820">
        <v>30</v>
      </c>
    </row>
    <row r="117" spans="1:6" ht="36">
      <c r="A117" s="820">
        <v>57</v>
      </c>
      <c r="B117" s="363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F7" sqref="C7:Q46"/>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2761</v>
      </c>
      <c r="B1" s="2330"/>
      <c r="C1" s="2330"/>
      <c r="D1" s="2330"/>
      <c r="E1" s="2330"/>
      <c r="F1" s="2990"/>
      <c r="G1" s="2990"/>
      <c r="H1" s="2990"/>
      <c r="I1" s="2990"/>
      <c r="J1" s="2990"/>
      <c r="K1" s="2990"/>
      <c r="L1" s="2990"/>
      <c r="M1" s="2990"/>
      <c r="N1" s="2990"/>
      <c r="O1" s="2990"/>
      <c r="P1" s="2990"/>
    </row>
    <row r="2" spans="1:16" ht="15.75">
      <c r="A2" s="2328" t="s">
        <v>2753</v>
      </c>
      <c r="B2" s="2794" t="e">
        <f ca="1">SUMIF(B6:B13,"&lt;&gt;#ref!",B6:B13)</f>
        <v>#DIV/0!</v>
      </c>
      <c r="C2" s="2328" t="s">
        <v>2754</v>
      </c>
      <c r="D2" s="2328" t="s">
        <v>2755</v>
      </c>
      <c r="E2" s="2804">
        <f ca="1">SUMIF(E6:E13,"&lt;&gt;#ref!",E6:E13)</f>
        <v>0</v>
      </c>
      <c r="F2" s="2990"/>
      <c r="G2" s="2990"/>
      <c r="H2" s="2990"/>
      <c r="I2" s="2990"/>
      <c r="J2" s="2990"/>
      <c r="K2" s="2990"/>
      <c r="L2" s="2990"/>
      <c r="M2" s="2990"/>
      <c r="N2" s="2990"/>
      <c r="O2" s="2990"/>
      <c r="P2" s="2990"/>
    </row>
    <row r="3" spans="1:16" ht="15.75">
      <c r="A3" s="2328" t="s">
        <v>2756</v>
      </c>
      <c r="B3" s="2794" t="e">
        <f ca="1">ROUND(B2*10000/E2,0)</f>
        <v>#DIV/0!</v>
      </c>
      <c r="C3" s="2328" t="s">
        <v>2762</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2757</v>
      </c>
      <c r="B5" s="2802" t="s">
        <v>2758</v>
      </c>
      <c r="C5" s="2329"/>
      <c r="D5" s="2990"/>
      <c r="E5" s="2803" t="s">
        <v>2759</v>
      </c>
      <c r="F5" s="2990"/>
      <c r="G5" s="2990"/>
      <c r="H5" s="2990"/>
      <c r="I5" s="2990"/>
      <c r="J5" s="2990"/>
      <c r="K5" s="2990"/>
      <c r="L5" s="2990"/>
      <c r="M5" s="2990"/>
      <c r="N5" s="2990"/>
      <c r="O5" s="2990"/>
      <c r="P5" s="2990"/>
    </row>
    <row r="6" spans="1:16" ht="15.75">
      <c r="A6" s="2801" t="s">
        <v>2760</v>
      </c>
      <c r="B6" s="2794" t="e">
        <f ca="1">SUMIF(INDIRECT("'"&amp;A6&amp;"'"&amp;"!A:A"),"总价",INDIRECT("'"&amp;A6&amp;"'"&amp;"!B:B"))</f>
        <v>#DIV/0!</v>
      </c>
      <c r="C6" s="2328" t="s">
        <v>2754</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8" t="s">
        <v>2754</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8" t="s">
        <v>2754</v>
      </c>
      <c r="D8" s="2990"/>
      <c r="E8" s="2804" t="e">
        <f t="shared" ca="1" si="0"/>
        <v>#REF!</v>
      </c>
      <c r="F8" s="2990"/>
      <c r="G8" s="2990"/>
      <c r="H8" s="2990"/>
      <c r="I8" s="2990"/>
      <c r="J8" s="2990"/>
      <c r="K8" s="2990"/>
      <c r="L8" s="2990"/>
      <c r="M8" s="2990"/>
      <c r="N8" s="2990"/>
      <c r="O8" s="2990"/>
      <c r="P8" s="2990"/>
    </row>
    <row r="9" spans="1:16" ht="15.75">
      <c r="A9" s="2801"/>
      <c r="B9" s="2794" t="e">
        <f t="shared" ca="1" si="1"/>
        <v>#REF!</v>
      </c>
      <c r="C9" s="2328" t="s">
        <v>2754</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8" t="s">
        <v>2754</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8" t="s">
        <v>2754</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8" t="s">
        <v>2754</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8" t="s">
        <v>2754</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H120"/>
  <sheetViews>
    <sheetView zoomScale="80" zoomScaleNormal="80" workbookViewId="0">
      <selection activeCell="F7" sqref="C7:Q4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636" t="s">
        <v>1058</v>
      </c>
      <c r="C1" s="3636"/>
      <c r="D1" s="3636"/>
      <c r="E1" s="3636"/>
      <c r="F1" s="3636"/>
      <c r="G1" s="3635" t="s">
        <v>1059</v>
      </c>
      <c r="H1" s="3635"/>
      <c r="I1" s="3635"/>
      <c r="J1" s="3635"/>
      <c r="K1" s="3635"/>
      <c r="L1" s="3635"/>
      <c r="N1" s="3635" t="s">
        <v>1060</v>
      </c>
      <c r="O1" s="3635"/>
      <c r="P1" s="3635"/>
      <c r="Q1" s="3635"/>
      <c r="S1" s="3635" t="s">
        <v>1061</v>
      </c>
      <c r="T1" s="3635"/>
      <c r="U1" s="3635"/>
      <c r="V1" s="3635"/>
      <c r="X1" s="3634" t="s">
        <v>1062</v>
      </c>
      <c r="Y1" s="3635"/>
      <c r="Z1" s="3635"/>
      <c r="AA1" s="3635"/>
      <c r="AB1" s="3635"/>
      <c r="AD1" s="3634" t="s">
        <v>1063</v>
      </c>
      <c r="AE1" s="3635"/>
      <c r="AF1" s="3635"/>
      <c r="AG1" s="3635"/>
      <c r="AH1" s="3635"/>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2794</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3120</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2">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2795</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3119</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2">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2996</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7">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2995</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6">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2994</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0">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2992</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09">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2991</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6">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2811</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2809</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2808</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2807</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2805</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2803</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2806</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32">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2801</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32"/>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2800</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32"/>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2793</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641"/>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2791</v>
      </c>
      <c r="B22" s="2405">
        <v>439</v>
      </c>
      <c r="C22" s="2405">
        <v>327</v>
      </c>
      <c r="D22" s="2405">
        <f>C22</f>
        <v>327</v>
      </c>
      <c r="E22" s="2405">
        <v>627</v>
      </c>
      <c r="F22" s="2406">
        <v>283</v>
      </c>
      <c r="G22" s="3637">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2792</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32"/>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32"/>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641"/>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637">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32"/>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32"/>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33"/>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631">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32"/>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32"/>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33"/>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631">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32"/>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32"/>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33"/>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638">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39"/>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39"/>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40"/>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631">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32"/>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632"/>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633"/>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631">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32">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32">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33">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631">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32">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32">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33">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631">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32">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32">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33">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631">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32">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32">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33">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631">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32">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32">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33">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631">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32">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32">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33">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631">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32">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32">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33">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631">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32">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632">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633">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631">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632">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632">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633">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631">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632">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632">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633">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dimension ref="A1:AS524"/>
  <sheetViews>
    <sheetView zoomScale="90" zoomScaleNormal="90" workbookViewId="0">
      <pane ySplit="24" topLeftCell="A25" activePane="bottomLeft" state="frozen"/>
      <selection activeCell="F7" sqref="F7:F46"/>
      <selection pane="bottomLeft" activeCell="R38" sqref="R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51" t="s">
        <v>2764</v>
      </c>
      <c r="D1" s="3552"/>
      <c r="E1" s="3552"/>
      <c r="F1" s="3552"/>
      <c r="G1" s="3552"/>
      <c r="H1" s="3552"/>
      <c r="I1" s="3552"/>
      <c r="J1" s="3552"/>
      <c r="K1" s="3552"/>
      <c r="L1" s="3552"/>
      <c r="M1" s="3552"/>
      <c r="N1" s="3552"/>
      <c r="O1" s="3552"/>
      <c r="P1" s="3552"/>
      <c r="Q1" s="3552"/>
      <c r="R1" s="3552"/>
      <c r="S1" s="3553"/>
      <c r="T1" s="1113" t="s">
        <v>2765</v>
      </c>
    </row>
    <row r="2" spans="1:45" s="663" customFormat="1">
      <c r="A2" s="1114"/>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4" t="s">
        <v>2767</v>
      </c>
      <c r="C5" s="1125"/>
      <c r="D5" s="1126"/>
      <c r="E5" s="1126"/>
      <c r="F5" s="1450"/>
      <c r="G5" s="1450"/>
      <c r="H5" s="1450"/>
      <c r="I5" s="1450"/>
      <c r="J5" s="1450"/>
      <c r="K5" s="1450"/>
      <c r="L5" s="1451"/>
      <c r="M5" s="1452"/>
      <c r="N5" s="1452"/>
      <c r="O5" s="1450"/>
      <c r="P5" s="1450"/>
      <c r="Q5" s="1450"/>
      <c r="R5" s="1450"/>
      <c r="S5" s="1453"/>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5" t="s">
        <v>2768</v>
      </c>
      <c r="C7" s="1034"/>
      <c r="D7" s="1028"/>
      <c r="E7" s="1028"/>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5" t="s">
        <v>2769</v>
      </c>
      <c r="C9" s="1034"/>
      <c r="D9" s="1028"/>
      <c r="E9" s="1028"/>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4"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4"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4"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2773</v>
      </c>
      <c r="B17" s="2332"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3" t="s">
        <v>2775</v>
      </c>
      <c r="E19" s="1492"/>
      <c r="F19" s="1492"/>
      <c r="G19" s="1492"/>
      <c r="H19" s="1189"/>
      <c r="I19" s="164"/>
      <c r="J19" s="164"/>
      <c r="K19" s="164"/>
      <c r="L19" s="164"/>
      <c r="M19" s="164"/>
      <c r="N19" s="164"/>
      <c r="O19" s="164"/>
      <c r="P19" s="164"/>
      <c r="Q19" s="164"/>
      <c r="R19" s="727"/>
      <c r="S19" s="134"/>
    </row>
    <row r="20" spans="1:45" ht="16.5" thickBot="1">
      <c r="A20" s="671" t="s">
        <v>2776</v>
      </c>
      <c r="B20" s="300">
        <f ca="1">IF(D20="——",S22,S22-F20)</f>
        <v>385624</v>
      </c>
      <c r="C20" s="164"/>
      <c r="D20" s="2334" t="s">
        <v>70</v>
      </c>
      <c r="E20" s="1493"/>
      <c r="F20" s="1113" t="e">
        <f ca="1">SUMIF(INDIRECT("'"&amp;H20&amp;"'"&amp;"!A:A"),"承租人权益价值",INDIRECT("'"&amp;H20&amp;"'"&amp;"!c:c"))</f>
        <v>#REF!</v>
      </c>
      <c r="G20" s="1113" t="s">
        <v>2777</v>
      </c>
      <c r="H20" s="2335"/>
      <c r="I20" s="164"/>
      <c r="J20" s="164"/>
      <c r="K20" s="164"/>
      <c r="L20" s="164"/>
      <c r="M20" s="164"/>
      <c r="N20" s="164"/>
      <c r="O20" s="164"/>
      <c r="P20" s="164"/>
      <c r="Q20" s="164"/>
      <c r="R20" s="727"/>
      <c r="S20" s="134"/>
    </row>
    <row r="21" spans="1:45" ht="15.75">
      <c r="A21" s="671" t="s">
        <v>2778</v>
      </c>
      <c r="B21" s="300">
        <f ca="1">ROUND(B20*10000/B22,0)</f>
        <v>385624</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10000</v>
      </c>
      <c r="C22" s="3554" t="s">
        <v>33</v>
      </c>
      <c r="D22" s="3555"/>
      <c r="E22" s="3555"/>
      <c r="F22" s="3555"/>
      <c r="G22" s="3555"/>
      <c r="H22" s="3555"/>
      <c r="I22" s="3555"/>
      <c r="J22" s="3555"/>
      <c r="K22" s="3555"/>
      <c r="L22" s="3555"/>
      <c r="M22" s="3555"/>
      <c r="N22" s="3555"/>
      <c r="O22" s="3555"/>
      <c r="P22" s="3555"/>
      <c r="Q22" s="3556"/>
      <c r="R22" s="672">
        <f ca="1">ROUND(S22*10000/B22,0)</f>
        <v>385624</v>
      </c>
      <c r="S22" s="24">
        <f ca="1">SUM(S24:S10000)</f>
        <v>385624</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10000</v>
      </c>
      <c r="C24" s="3007">
        <v>1</v>
      </c>
      <c r="D24" s="3008"/>
      <c r="E24" s="3007">
        <v>1</v>
      </c>
      <c r="F24" s="3008"/>
      <c r="G24" s="3007">
        <v>1</v>
      </c>
      <c r="H24" s="3008"/>
      <c r="I24" s="3007">
        <v>1</v>
      </c>
      <c r="J24" s="3008"/>
      <c r="K24" s="3007">
        <v>1</v>
      </c>
      <c r="L24" s="3008"/>
      <c r="M24" s="3007">
        <v>1</v>
      </c>
      <c r="N24" s="3008"/>
      <c r="O24" s="3007">
        <v>1</v>
      </c>
      <c r="P24" s="3008"/>
      <c r="Q24" s="3007">
        <v>1</v>
      </c>
      <c r="R24" s="677">
        <f ca="1">系统读取表!B5</f>
        <v>385624</v>
      </c>
      <c r="S24" s="675">
        <f t="shared" ref="S24:S54" ca="1" si="11">ROUND(R24*B24/10000,0)</f>
        <v>385624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90151</v>
      </c>
      <c r="C2" s="2" t="s">
        <v>133</v>
      </c>
      <c r="D2" s="205"/>
      <c r="E2" s="205"/>
      <c r="F2" s="205"/>
      <c r="G2" s="205"/>
    </row>
    <row r="3" spans="1:7" s="206" customFormat="1" ht="18" customHeight="1" thickBot="1">
      <c r="A3" s="209" t="s">
        <v>85</v>
      </c>
      <c r="B3" s="210">
        <f ca="1">ROUND(B2*10000/'数据-汇总表'!E3,0)</f>
        <v>12843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1404</v>
      </c>
      <c r="D10" s="953">
        <f>'数据-汇总表'!E6</f>
        <v>70196.47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1404</v>
      </c>
      <c r="D19" s="957">
        <f>'数据-汇总表'!E3</f>
        <v>70196.47</v>
      </c>
      <c r="E19" s="217">
        <f>'数据-取费表'!B31</f>
        <v>200</v>
      </c>
      <c r="F19" s="237"/>
      <c r="G19" s="1" t="s">
        <v>1042</v>
      </c>
    </row>
    <row r="20" spans="1:7" s="220" customFormat="1" ht="13.5" customHeight="1">
      <c r="A20" s="884" t="s">
        <v>1025</v>
      </c>
      <c r="B20" s="216" t="s">
        <v>104</v>
      </c>
      <c r="C20" s="238">
        <f>ROUND((C5+C19)*F20,0)</f>
        <v>660</v>
      </c>
      <c r="D20" s="238"/>
      <c r="E20" s="238"/>
      <c r="F20" s="239">
        <f>'数据-取费表'!B37</f>
        <v>0.03</v>
      </c>
      <c r="G20" s="1198"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35">
        <f ca="1">ROUND(SUM(C23:C25),0)</f>
        <v>2933</v>
      </c>
      <c r="D22" s="241">
        <f ca="1">C26</f>
        <v>1.9E-3</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2707</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184</v>
      </c>
      <c r="D24" s="244"/>
      <c r="E24" s="244"/>
      <c r="F24" s="245"/>
      <c r="G24" s="246" t="s">
        <v>109</v>
      </c>
    </row>
    <row r="25" spans="1:7" s="220" customFormat="1" ht="24">
      <c r="A25" s="887" t="s">
        <v>793</v>
      </c>
      <c r="B25" s="221" t="s">
        <v>1026</v>
      </c>
      <c r="C25" s="1236">
        <f ca="1">ROUND(IF('数据-取费表'!B22&lt;=1,C20*F22*'数据-取费表'!B23/2,C20*(POWER((1+F22),'数据-取费表'!B23/2)-1)),0)</f>
        <v>42</v>
      </c>
      <c r="D25" s="244"/>
      <c r="E25" s="247"/>
      <c r="F25" s="245"/>
      <c r="G25" s="248" t="s">
        <v>110</v>
      </c>
    </row>
    <row r="26" spans="1:7" s="220" customFormat="1">
      <c r="A26" s="887" t="s">
        <v>795</v>
      </c>
      <c r="B26" s="221" t="s">
        <v>1028</v>
      </c>
      <c r="C26" s="244">
        <f ca="1">ROUND(IF('数据-取费表'!B22&lt;=1,F21*F22*'数据-取费表'!B23/2,F21*(POWER((1+F22),'数据-取费表'!B23/2)-1)),4)</f>
        <v>1.9E-3</v>
      </c>
      <c r="D26" s="244"/>
      <c r="E26" s="247"/>
      <c r="F26" s="245"/>
      <c r="G26" s="249"/>
    </row>
    <row r="27" spans="1:7" s="220" customFormat="1" ht="24.75">
      <c r="A27" s="884" t="s">
        <v>787</v>
      </c>
      <c r="B27" s="250" t="s">
        <v>112</v>
      </c>
      <c r="C27" s="251">
        <f>C28</f>
        <v>4988</v>
      </c>
      <c r="D27" s="241">
        <f>C29</f>
        <v>6.6E-3</v>
      </c>
      <c r="E27" s="242" t="s">
        <v>126</v>
      </c>
      <c r="F27" s="252">
        <f>'数据-取费表'!Q16</f>
        <v>0.22</v>
      </c>
      <c r="G27" s="253" t="s">
        <v>1037</v>
      </c>
    </row>
    <row r="28" spans="1:7" s="220" customFormat="1" ht="13.5" customHeight="1">
      <c r="A28" s="887" t="s">
        <v>794</v>
      </c>
      <c r="B28" s="254" t="s">
        <v>1030</v>
      </c>
      <c r="C28" s="255">
        <f>ROUND((C5+C19+C20)*F27*'数据-取费表'!B21/'数据-取费表'!B20,0)</f>
        <v>4988</v>
      </c>
      <c r="D28" s="241"/>
      <c r="E28" s="242"/>
      <c r="F28" s="252"/>
      <c r="G28" s="253"/>
    </row>
    <row r="29" spans="1:7" s="220" customFormat="1" ht="13.5" customHeight="1">
      <c r="A29" s="887" t="s">
        <v>792</v>
      </c>
      <c r="B29" s="254" t="s">
        <v>1031</v>
      </c>
      <c r="C29" s="244">
        <f>ROUND(C21*F27*'数据-取费表'!B21/'数据-取费表'!B20,4)</f>
        <v>6.6E-3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33689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38783</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35098</v>
      </c>
      <c r="D34" s="223"/>
      <c r="E34" s="226"/>
      <c r="F34" s="263">
        <f>IF('数据-取费表'!B24=0,1,'数据-取费表'!N16)</f>
        <v>1</v>
      </c>
      <c r="G34" s="225" t="s">
        <v>116</v>
      </c>
    </row>
    <row r="35" spans="1:7" ht="13.5" customHeight="1">
      <c r="A35" s="887" t="s">
        <v>796</v>
      </c>
      <c r="B35" s="221" t="s">
        <v>60</v>
      </c>
      <c r="C35" s="226">
        <f>ROUND(C34*F35,0)</f>
        <v>1755</v>
      </c>
      <c r="D35" s="226"/>
      <c r="E35" s="226"/>
      <c r="F35" s="265">
        <f>'数据-取费表'!B33</f>
        <v>0.05</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1404</v>
      </c>
      <c r="D37" s="223">
        <f>'数据-汇总表'!E3</f>
        <v>70196.47</v>
      </c>
      <c r="E37" s="255">
        <f>'数据-取费表'!B35</f>
        <v>200</v>
      </c>
      <c r="F37" s="265"/>
      <c r="G37" s="267" t="s">
        <v>119</v>
      </c>
    </row>
    <row r="38" spans="1:7" ht="13.5" customHeight="1">
      <c r="A38" s="887" t="s">
        <v>799</v>
      </c>
      <c r="B38" s="221" t="s">
        <v>63</v>
      </c>
      <c r="C38" s="226">
        <f>ROUND(C34*F38,0)</f>
        <v>526</v>
      </c>
      <c r="D38" s="226"/>
      <c r="E38" s="226"/>
      <c r="F38" s="265">
        <f>'数据-取费表'!B36</f>
        <v>1.4999999999999999E-2</v>
      </c>
      <c r="G38" s="225" t="s">
        <v>117</v>
      </c>
    </row>
    <row r="39" spans="1:7" s="220" customFormat="1" ht="13.5" customHeight="1">
      <c r="A39" s="884" t="s">
        <v>783</v>
      </c>
      <c r="B39" s="216" t="s">
        <v>104</v>
      </c>
      <c r="C39" s="238">
        <f>ROUND(C33*F20,0)</f>
        <v>1163</v>
      </c>
      <c r="D39" s="238"/>
      <c r="E39" s="238"/>
      <c r="F39" s="239"/>
      <c r="G39" s="1198"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2543</v>
      </c>
      <c r="D41" s="241">
        <f ca="1">C44</f>
        <v>1.9E-3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2469</v>
      </c>
      <c r="D42" s="244"/>
      <c r="E42" s="244"/>
      <c r="F42" s="245"/>
      <c r="G42" s="3496" t="s">
        <v>121</v>
      </c>
    </row>
    <row r="43" spans="1:7" ht="13.5" customHeight="1">
      <c r="A43" s="887" t="s">
        <v>792</v>
      </c>
      <c r="B43" s="221" t="s">
        <v>1032</v>
      </c>
      <c r="C43" s="244">
        <f ca="1">ROUND(IF('数据-取费表'!B22&lt;=1,C39*F22*'数据-取费表'!B21/2,C39*(POWER((1+F22),'数据-取费表'!B21/2)-1)),0)</f>
        <v>74</v>
      </c>
      <c r="D43" s="244"/>
      <c r="E43" s="244"/>
      <c r="F43" s="245"/>
      <c r="G43" s="3497"/>
    </row>
    <row r="44" spans="1:7" ht="13.5" customHeight="1">
      <c r="A44" s="887" t="s">
        <v>793</v>
      </c>
      <c r="B44" s="221" t="s">
        <v>1034</v>
      </c>
      <c r="C44" s="244">
        <f ca="1">ROUND(IF('数据-取费表'!B22&lt;=1,C40*F22*'数据-取费表'!B21/2,C40*(POWER((1+F22),'数据-取费表'!B21/2)-1)),4)</f>
        <v>1.9E-3</v>
      </c>
      <c r="D44" s="244"/>
      <c r="E44" s="244"/>
      <c r="F44" s="245"/>
      <c r="G44" s="3498"/>
    </row>
    <row r="45" spans="1:7" s="220" customFormat="1" ht="13.5" customHeight="1">
      <c r="A45" s="884" t="s">
        <v>786</v>
      </c>
      <c r="B45" s="250" t="s">
        <v>112</v>
      </c>
      <c r="C45" s="251">
        <f>C46</f>
        <v>8788</v>
      </c>
      <c r="D45" s="241">
        <f>C47</f>
        <v>6.6E-3</v>
      </c>
      <c r="E45" s="242" t="s">
        <v>129</v>
      </c>
      <c r="F45" s="252"/>
      <c r="G45" s="253" t="s">
        <v>1040</v>
      </c>
    </row>
    <row r="46" spans="1:7" s="220" customFormat="1" ht="13.5" customHeight="1">
      <c r="A46" s="887" t="s">
        <v>794</v>
      </c>
      <c r="B46" s="254" t="s">
        <v>1033</v>
      </c>
      <c r="C46" s="255">
        <f>ROUND((C33+C39)*F27,0)</f>
        <v>8788</v>
      </c>
      <c r="D46" s="269"/>
      <c r="E46" s="242"/>
      <c r="F46" s="252"/>
      <c r="G46" s="253"/>
    </row>
    <row r="47" spans="1:7" s="220" customFormat="1" ht="13.5" customHeight="1">
      <c r="A47" s="887" t="s">
        <v>792</v>
      </c>
      <c r="B47" s="254" t="s">
        <v>1035</v>
      </c>
      <c r="C47" s="244">
        <f>ROUND(C40*F27,4)</f>
        <v>6.6E-3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56462</v>
      </c>
      <c r="D49" s="238"/>
      <c r="E49" s="238"/>
      <c r="F49" s="270"/>
      <c r="G49" s="240" t="s">
        <v>1041</v>
      </c>
    </row>
    <row r="50" spans="1:7" s="264" customFormat="1" ht="24">
      <c r="A50" s="884" t="s">
        <v>789</v>
      </c>
      <c r="B50" s="216" t="s">
        <v>124</v>
      </c>
      <c r="C50" s="238"/>
      <c r="D50" s="238"/>
      <c r="E50" s="238"/>
      <c r="F50" s="270">
        <f>IF('数据-取费表'!B24=0,'数据-取费表'!N16,1)</f>
        <v>1</v>
      </c>
      <c r="G50" s="253" t="s">
        <v>125</v>
      </c>
    </row>
    <row r="51" spans="1:7" ht="16.5" customHeight="1">
      <c r="A51" s="884" t="s">
        <v>790</v>
      </c>
      <c r="B51" s="216" t="s">
        <v>132</v>
      </c>
      <c r="C51" s="238">
        <f ca="1">ROUND(C49*F50,0)</f>
        <v>56462</v>
      </c>
      <c r="D51" s="238"/>
      <c r="E51" s="238"/>
      <c r="F51" s="270"/>
      <c r="G51" s="240" t="s">
        <v>64</v>
      </c>
    </row>
    <row r="52" spans="1:7" s="214" customFormat="1" ht="16.5" thickBot="1">
      <c r="A52" s="271" t="s">
        <v>65</v>
      </c>
      <c r="B52" s="272"/>
      <c r="C52" s="273">
        <f ca="1">C31+C51</f>
        <v>90151</v>
      </c>
      <c r="D52" s="272"/>
      <c r="E52" s="272"/>
      <c r="F52" s="272"/>
      <c r="G52" s="274"/>
    </row>
    <row r="55" spans="1:7" ht="15">
      <c r="B55" s="276" t="s">
        <v>66</v>
      </c>
      <c r="C55" s="277"/>
    </row>
    <row r="56" spans="1:7">
      <c r="B56" s="279" t="s">
        <v>67</v>
      </c>
      <c r="C56" s="280">
        <f ca="1">ROUND(C51/C52,3)</f>
        <v>0.626</v>
      </c>
    </row>
    <row r="57" spans="1:7">
      <c r="B57" s="279" t="s">
        <v>68</v>
      </c>
      <c r="C57" s="281">
        <f ca="1">1-C56</f>
        <v>0.374</v>
      </c>
    </row>
  </sheetData>
  <mergeCells count="1">
    <mergeCell ref="G42:G44"/>
  </mergeCells>
  <phoneticPr fontId="19"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42" t="s">
        <v>156</v>
      </c>
      <c r="B1" s="3642"/>
      <c r="C1" s="3642"/>
      <c r="D1" s="3642"/>
      <c r="E1" s="3642"/>
      <c r="F1" s="364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43" t="s">
        <v>169</v>
      </c>
      <c r="B2" s="3643"/>
      <c r="C2" s="3643"/>
      <c r="D2" s="3643"/>
      <c r="E2" s="3643"/>
      <c r="F2" s="364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4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4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315" t="str">
        <f>IF(项目基本情况!B9="房地产市场价值","估价结果一览表","结果表-2")</f>
        <v>结果表-2</v>
      </c>
      <c r="B1" s="3315"/>
      <c r="C1" s="3315"/>
      <c r="D1" s="3315"/>
      <c r="E1" s="3315"/>
      <c r="F1" s="3315"/>
      <c r="G1" s="3315"/>
      <c r="H1" s="3315"/>
      <c r="I1" s="3315"/>
    </row>
    <row r="2" spans="1:9" ht="30" customHeight="1" thickTop="1">
      <c r="A2" s="3316" t="s">
        <v>1546</v>
      </c>
      <c r="B2" s="3316" t="s">
        <v>1547</v>
      </c>
      <c r="C2" s="3316" t="s">
        <v>1548</v>
      </c>
      <c r="D2" s="3316" t="str">
        <f>结果表!D116</f>
        <v>出让国有建设用地使用权价值</v>
      </c>
      <c r="E2" s="3316"/>
      <c r="F2" s="3316" t="str">
        <f>结果表!F116</f>
        <v>建筑物价值</v>
      </c>
      <c r="G2" s="3316"/>
      <c r="H2" s="3316" t="str">
        <f>IF(项目基本情况!B9="房地产市场价值","房地产市场价值","房地产价值")</f>
        <v>房地产价值</v>
      </c>
      <c r="I2" s="3316"/>
    </row>
    <row r="3" spans="1:9" ht="15">
      <c r="A3" s="3310"/>
      <c r="B3" s="3310"/>
      <c r="C3" s="3310"/>
      <c r="D3" s="962" t="s">
        <v>1543</v>
      </c>
      <c r="E3" s="962" t="s">
        <v>1549</v>
      </c>
      <c r="F3" s="962" t="s">
        <v>1543</v>
      </c>
      <c r="G3" s="962" t="s">
        <v>1544</v>
      </c>
      <c r="H3" s="962" t="s">
        <v>1543</v>
      </c>
      <c r="I3" s="962" t="s">
        <v>1544</v>
      </c>
    </row>
    <row r="4" spans="1:9" ht="15">
      <c r="A4" s="1658" t="str">
        <f>项目基本情况!S2</f>
        <v>北京市房地产</v>
      </c>
      <c r="B4" s="962">
        <f>项目基本情况!C17</f>
        <v>70196.47</v>
      </c>
      <c r="C4" s="962">
        <f>项目基本情况!C18</f>
        <v>9552.52</v>
      </c>
      <c r="D4" s="962">
        <f ca="1">结果表!D118</f>
        <v>291393</v>
      </c>
      <c r="E4" s="962">
        <f ca="1">结果表!E118</f>
        <v>51555</v>
      </c>
      <c r="F4" s="962">
        <f ca="1">结果表!F118</f>
        <v>78865</v>
      </c>
      <c r="G4" s="962">
        <f ca="1">结果表!G118</f>
        <v>13953</v>
      </c>
      <c r="H4" s="962">
        <f ca="1">结果表!H118</f>
        <v>370258</v>
      </c>
      <c r="I4" s="962">
        <f ca="1">结果表!I118</f>
        <v>65508</v>
      </c>
    </row>
    <row r="5" spans="1:9" ht="30" customHeight="1">
      <c r="A5" s="3310" t="s">
        <v>1545</v>
      </c>
      <c r="B5" s="3310"/>
      <c r="C5" s="3310"/>
      <c r="D5" s="3311" t="str">
        <f ca="1">结果表!D119</f>
        <v>贰拾玖亿壹仟叁佰玖拾叁万元整</v>
      </c>
      <c r="E5" s="3311"/>
      <c r="F5" s="3311" t="str">
        <f ca="1">结果表!F119</f>
        <v>柒亿捌仟捌佰陆拾伍万元整</v>
      </c>
      <c r="G5" s="3311"/>
      <c r="H5" s="3311" t="str">
        <f ca="1">结果表!H119</f>
        <v>叁拾柒亿零贰佰伍拾捌万元整</v>
      </c>
      <c r="I5" s="3311"/>
    </row>
    <row r="6" spans="1:9" ht="15.75">
      <c r="A6" s="3309" t="str">
        <f>结果表!A120</f>
        <v>估价师知悉的法定优先受偿款</v>
      </c>
      <c r="B6" s="3309"/>
      <c r="C6" s="3309"/>
      <c r="D6" s="3309">
        <f>结果表!D120</f>
        <v>0</v>
      </c>
      <c r="E6" s="3309"/>
      <c r="F6" s="3309"/>
      <c r="G6" s="3309"/>
      <c r="H6" s="3309"/>
      <c r="I6" s="3309"/>
    </row>
    <row r="7" spans="1:9" ht="15">
      <c r="A7" s="3310" t="s">
        <v>1545</v>
      </c>
      <c r="B7" s="3310"/>
      <c r="C7" s="3310"/>
      <c r="D7" s="3312" t="str">
        <f>结果表!D121</f>
        <v>零元整</v>
      </c>
      <c r="E7" s="3313"/>
      <c r="F7" s="3313"/>
      <c r="G7" s="3313"/>
      <c r="H7" s="3313"/>
      <c r="I7" s="3314"/>
    </row>
    <row r="8" spans="1:9" ht="15.75">
      <c r="A8" s="3309" t="str">
        <f>结果表!A122</f>
        <v>房地产抵押价值</v>
      </c>
      <c r="B8" s="3309"/>
      <c r="C8" s="3309"/>
      <c r="D8" s="3309">
        <f ca="1">结果表!D122</f>
        <v>370258</v>
      </c>
      <c r="E8" s="3309"/>
      <c r="F8" s="3309"/>
      <c r="G8" s="3309"/>
      <c r="H8" s="3309"/>
      <c r="I8" s="3309"/>
    </row>
    <row r="9" spans="1:9" ht="15">
      <c r="A9" s="3310" t="s">
        <v>1545</v>
      </c>
      <c r="B9" s="3310"/>
      <c r="C9" s="3310"/>
      <c r="D9" s="3311" t="str">
        <f ca="1">结果表!D123</f>
        <v>叁拾柒亿零贰佰伍拾捌万元整</v>
      </c>
      <c r="E9" s="3311"/>
      <c r="F9" s="3311"/>
      <c r="G9" s="3311"/>
      <c r="H9" s="3311"/>
      <c r="I9" s="3311"/>
    </row>
    <row r="10" spans="1:9" ht="15.75">
      <c r="A10" s="3309" t="str">
        <f>结果表!A124</f>
        <v/>
      </c>
      <c r="B10" s="3309"/>
      <c r="C10" s="3309"/>
      <c r="D10" s="3309" t="str">
        <f>结果表!D124</f>
        <v>——</v>
      </c>
      <c r="E10" s="3309"/>
      <c r="F10" s="3309"/>
      <c r="G10" s="3309"/>
      <c r="H10" s="3309"/>
      <c r="I10" s="3309"/>
    </row>
    <row r="11" spans="1:9" ht="15">
      <c r="A11" s="3310" t="s">
        <v>1545</v>
      </c>
      <c r="B11" s="3310"/>
      <c r="C11" s="3310"/>
      <c r="D11" s="3311" t="e">
        <f>结果表!D125</f>
        <v>#VALUE!</v>
      </c>
      <c r="E11" s="3311"/>
      <c r="F11" s="3311"/>
      <c r="G11" s="3311"/>
      <c r="H11" s="3311"/>
      <c r="I11" s="3311"/>
    </row>
    <row r="12" spans="1:9" ht="15.75">
      <c r="A12" s="3309" t="str">
        <f>结果表!A126</f>
        <v>抵押净值</v>
      </c>
      <c r="B12" s="3309"/>
      <c r="C12" s="3309"/>
      <c r="D12" s="3309">
        <f ca="1">结果表!D126</f>
        <v>327184</v>
      </c>
      <c r="E12" s="3309"/>
      <c r="F12" s="3309"/>
      <c r="G12" s="3309"/>
      <c r="H12" s="3309"/>
      <c r="I12" s="3309"/>
    </row>
    <row r="13" spans="1:9" ht="15.75" thickBot="1">
      <c r="A13" s="3306" t="s">
        <v>1545</v>
      </c>
      <c r="B13" s="3306"/>
      <c r="C13" s="3306"/>
      <c r="D13" s="3307" t="str">
        <f ca="1">结果表!D127</f>
        <v>叁拾贰亿柒仟壹佰捌拾肆万元整</v>
      </c>
      <c r="E13" s="3307"/>
      <c r="F13" s="3307"/>
      <c r="G13" s="3307"/>
      <c r="H13" s="3307"/>
      <c r="I13" s="3307"/>
    </row>
    <row r="14" spans="1:9" ht="15" thickTop="1">
      <c r="A14" s="3308" t="s">
        <v>1550</v>
      </c>
      <c r="B14" s="3308"/>
      <c r="C14" s="3308"/>
      <c r="D14" s="3308"/>
      <c r="E14" s="3308"/>
      <c r="F14" s="3308"/>
      <c r="G14" s="3308"/>
      <c r="H14" s="3308"/>
      <c r="I14" s="3308"/>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42" t="s">
        <v>839</v>
      </c>
      <c r="B1" s="364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44665</v>
      </c>
      <c r="D1" s="1440" t="s">
        <v>1209</v>
      </c>
      <c r="E1" s="1435">
        <f>'数据-取费表'!B22</f>
        <v>3</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8">
        <v>44581</v>
      </c>
      <c r="D13" s="3019">
        <v>3.7</v>
      </c>
      <c r="E13" s="3019">
        <f>D13</f>
        <v>3.7</v>
      </c>
      <c r="F13" s="3019">
        <f>D13</f>
        <v>3.7</v>
      </c>
      <c r="G13" s="3019">
        <f>D13</f>
        <v>3.7</v>
      </c>
      <c r="H13" s="3019">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4"/>
      <c r="C14" s="3015">
        <v>44550</v>
      </c>
      <c r="D14" s="3014">
        <v>3.8</v>
      </c>
      <c r="E14" s="3014">
        <f>D14</f>
        <v>3.8</v>
      </c>
      <c r="F14" s="3014">
        <f>D14</f>
        <v>3.8</v>
      </c>
      <c r="G14" s="3014">
        <f>D14</f>
        <v>3.8</v>
      </c>
      <c r="H14" s="3014">
        <v>4.6500000000000004</v>
      </c>
      <c r="I14" s="3014"/>
      <c r="J14" s="3019"/>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4"/>
      <c r="C15" s="3015">
        <v>43941</v>
      </c>
      <c r="D15" s="3014">
        <v>3.85</v>
      </c>
      <c r="E15" s="3014">
        <v>3.85</v>
      </c>
      <c r="F15" s="3014">
        <v>3.85</v>
      </c>
      <c r="G15" s="3014">
        <v>3.85</v>
      </c>
      <c r="H15" s="3014">
        <v>4.6500000000000004</v>
      </c>
      <c r="I15" s="3014"/>
      <c r="J15" s="3014"/>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4"/>
      <c r="C16" s="3015">
        <v>43881</v>
      </c>
      <c r="D16" s="3014">
        <v>4.05</v>
      </c>
      <c r="E16" s="3014">
        <v>4.05</v>
      </c>
      <c r="F16" s="3014">
        <v>4.05</v>
      </c>
      <c r="G16" s="3014">
        <v>4.05</v>
      </c>
      <c r="H16" s="3014">
        <v>4.75</v>
      </c>
      <c r="I16" s="3014"/>
      <c r="J16" s="3014"/>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4"/>
      <c r="C17" s="3015">
        <v>43789</v>
      </c>
      <c r="D17" s="3014">
        <v>4.1500000000000004</v>
      </c>
      <c r="E17" s="3014">
        <v>4.1500000000000004</v>
      </c>
      <c r="F17" s="3014">
        <v>4.1500000000000004</v>
      </c>
      <c r="G17" s="3014">
        <v>4.1500000000000004</v>
      </c>
      <c r="H17" s="3014">
        <v>4.8</v>
      </c>
      <c r="I17" s="3014"/>
      <c r="J17" s="3014"/>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2"/>
      <c r="B19" s="3013" t="s">
        <v>2993</v>
      </c>
      <c r="C19" s="3016">
        <v>43697</v>
      </c>
      <c r="D19" s="3017">
        <v>4.25</v>
      </c>
      <c r="E19" s="3017">
        <v>4.25</v>
      </c>
      <c r="F19" s="3017">
        <v>4.25</v>
      </c>
      <c r="G19" s="3017">
        <v>4.25</v>
      </c>
      <c r="H19" s="3017">
        <v>4.8499999999999996</v>
      </c>
      <c r="I19" s="3017"/>
      <c r="J19" s="3017"/>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0"/>
      <c r="B20" s="3021"/>
      <c r="C20" s="3022">
        <v>42301</v>
      </c>
      <c r="D20" s="3023">
        <v>4.3499999999999996</v>
      </c>
      <c r="E20" s="3023">
        <v>4.3499999999999996</v>
      </c>
      <c r="F20" s="3023">
        <v>4.75</v>
      </c>
      <c r="G20" s="3023">
        <v>4.75</v>
      </c>
      <c r="H20" s="3023">
        <v>4.9000000000000004</v>
      </c>
      <c r="I20" s="3023"/>
      <c r="J20" s="3023"/>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J512"/>
  <sheetViews>
    <sheetView tabSelected="1" view="pageBreakPreview" topLeftCell="C105" zoomScale="90" zoomScaleNormal="100" zoomScaleSheetLayoutView="90" zoomScalePageLayoutView="80" workbookViewId="0">
      <selection activeCell="J110" sqref="J110"/>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1887</v>
      </c>
      <c r="B1" s="1900"/>
      <c r="C1" s="1901"/>
      <c r="D1" s="1900"/>
      <c r="E1" s="1900"/>
      <c r="F1" s="1902" t="s">
        <v>1888</v>
      </c>
      <c r="G1" s="1714"/>
      <c r="H1" s="1903" t="str">
        <f>IF(G1="现房","——","估价对象范围")</f>
        <v>估价对象范围</v>
      </c>
      <c r="I1" s="1904"/>
    </row>
    <row r="2" spans="1:12" ht="21.75" customHeight="1" thickBot="1">
      <c r="A2" s="3433" t="str">
        <f>项目基本情况!S2</f>
        <v>北京市房地产</v>
      </c>
      <c r="B2" s="3434"/>
      <c r="C2" s="3434"/>
      <c r="D2" s="3434"/>
      <c r="E2" s="3434"/>
      <c r="F2" s="3434"/>
      <c r="G2" s="3434"/>
      <c r="H2" s="3434"/>
      <c r="I2" s="3435"/>
    </row>
    <row r="3" spans="1:12" ht="12.75">
      <c r="A3" s="3437" t="s">
        <v>1889</v>
      </c>
      <c r="B3" s="3438"/>
      <c r="C3" s="3438"/>
      <c r="D3" s="3438"/>
      <c r="E3" s="3438"/>
      <c r="F3" s="3438"/>
      <c r="G3" s="3438"/>
      <c r="H3" s="3438"/>
      <c r="I3" s="3438"/>
    </row>
    <row r="4" spans="1:12" ht="14.25">
      <c r="A4" s="1907" t="s">
        <v>1890</v>
      </c>
      <c r="B4" s="1908" t="s">
        <v>1891</v>
      </c>
      <c r="C4" s="1909" t="s">
        <v>3340</v>
      </c>
      <c r="D4" s="1909" t="s">
        <v>3337</v>
      </c>
      <c r="E4" s="3439" t="s">
        <v>1892</v>
      </c>
      <c r="F4" s="3440"/>
      <c r="G4" s="3440"/>
      <c r="H4" s="3440"/>
      <c r="I4" s="3441"/>
      <c r="K4" s="151" t="str">
        <f>IF(ISNUMBER(FIND("比较法",'结果表 (土增税)'!C4)),"比较法",IF(ISNUMBER(FIND("成本法",'结果表 (土增税)'!C4)),"成本法",IF(ISNUMBER(FIND("假设开发法",'结果表 (土增税)'!C4)),"假设开发法",IF(ISNUMBER(FIND("收益法",'结果表 (土增税)'!C4)),"收益法","基准地价系数修正法"))))</f>
        <v>基准地价系数修正法</v>
      </c>
      <c r="L4" s="151" t="str">
        <f>IF(ISNUMBER(FIND("比较法",'结果表 (土增税)'!D4)),"比较法",IF(ISNUMBER(FIND("成本法",'结果表 (土增税)'!D4)),"成本法",IF(ISNUMBER(FIND("假设开发法",'结果表 (土增税)'!D4)),"假设开发法",IF(ISNUMBER(FIND("收益法",'结果表 (土增税)'!D4)),"收益法","基准地价系数修正法"))))</f>
        <v>成本法</v>
      </c>
    </row>
    <row r="5" spans="1:12" ht="12.75">
      <c r="A5" s="3413" t="s">
        <v>1893</v>
      </c>
      <c r="B5" s="3400">
        <v>25</v>
      </c>
      <c r="C5" s="3416"/>
      <c r="D5" s="3436"/>
      <c r="E5" s="136" t="s">
        <v>1894</v>
      </c>
      <c r="F5" s="1910"/>
      <c r="G5" s="1910"/>
      <c r="H5" s="1910"/>
      <c r="I5" s="1525"/>
    </row>
    <row r="6" spans="1:12" ht="12.75">
      <c r="A6" s="3413"/>
      <c r="B6" s="3400"/>
      <c r="C6" s="3417"/>
      <c r="D6" s="3436"/>
      <c r="E6" s="136" t="s">
        <v>1895</v>
      </c>
      <c r="F6" s="1910"/>
      <c r="G6" s="1910"/>
      <c r="H6" s="1910"/>
      <c r="I6" s="1525"/>
    </row>
    <row r="7" spans="1:12" ht="12.75">
      <c r="A7" s="3413"/>
      <c r="B7" s="3400"/>
      <c r="C7" s="3418"/>
      <c r="D7" s="3436"/>
      <c r="E7" s="136" t="s">
        <v>1896</v>
      </c>
      <c r="F7" s="1910"/>
      <c r="G7" s="1910"/>
      <c r="H7" s="1910"/>
      <c r="I7" s="1525"/>
    </row>
    <row r="8" spans="1:12" ht="12.75">
      <c r="A8" s="3413" t="s">
        <v>1897</v>
      </c>
      <c r="B8" s="3400">
        <v>15</v>
      </c>
      <c r="C8" s="3416"/>
      <c r="D8" s="3436"/>
      <c r="E8" s="136" t="s">
        <v>1898</v>
      </c>
      <c r="F8" s="1910"/>
      <c r="G8" s="1910"/>
      <c r="H8" s="1910"/>
      <c r="I8" s="1525"/>
    </row>
    <row r="9" spans="1:12" ht="12.75">
      <c r="A9" s="3413"/>
      <c r="B9" s="3400"/>
      <c r="C9" s="3418"/>
      <c r="D9" s="3436"/>
      <c r="E9" s="136" t="s">
        <v>1899</v>
      </c>
      <c r="F9" s="1910"/>
      <c r="G9" s="1910"/>
      <c r="H9" s="1910"/>
      <c r="I9" s="1525"/>
    </row>
    <row r="10" spans="1:12" ht="12.75">
      <c r="A10" s="3413" t="s">
        <v>1900</v>
      </c>
      <c r="B10" s="3400">
        <v>15</v>
      </c>
      <c r="C10" s="3416"/>
      <c r="D10" s="3436"/>
      <c r="E10" s="136" t="s">
        <v>1901</v>
      </c>
      <c r="F10" s="1910"/>
      <c r="G10" s="1910"/>
      <c r="H10" s="1910"/>
      <c r="I10" s="1525"/>
    </row>
    <row r="11" spans="1:12" ht="12.75">
      <c r="A11" s="3413"/>
      <c r="B11" s="3400"/>
      <c r="C11" s="3418"/>
      <c r="D11" s="3436"/>
      <c r="E11" s="136" t="s">
        <v>1902</v>
      </c>
      <c r="F11" s="1910"/>
      <c r="G11" s="1910"/>
      <c r="H11" s="1910"/>
      <c r="I11" s="1525"/>
    </row>
    <row r="12" spans="1:12" ht="12.75">
      <c r="A12" s="3413" t="s">
        <v>1903</v>
      </c>
      <c r="B12" s="3400">
        <v>15</v>
      </c>
      <c r="C12" s="3416"/>
      <c r="D12" s="3436"/>
      <c r="E12" s="136" t="s">
        <v>1904</v>
      </c>
      <c r="F12" s="1910"/>
      <c r="G12" s="1910"/>
      <c r="H12" s="1910"/>
      <c r="I12" s="1525"/>
    </row>
    <row r="13" spans="1:12" ht="12.75">
      <c r="A13" s="3413"/>
      <c r="B13" s="3400"/>
      <c r="C13" s="3418"/>
      <c r="D13" s="3436"/>
      <c r="E13" s="136" t="s">
        <v>1905</v>
      </c>
      <c r="F13" s="1910"/>
      <c r="G13" s="1910"/>
      <c r="H13" s="1910"/>
      <c r="I13" s="1525"/>
    </row>
    <row r="14" spans="1:12" ht="12.75">
      <c r="A14" s="3413" t="s">
        <v>1906</v>
      </c>
      <c r="B14" s="3400">
        <v>30</v>
      </c>
      <c r="C14" s="3416">
        <v>1</v>
      </c>
      <c r="D14" s="3436"/>
      <c r="E14" s="136" t="s">
        <v>1907</v>
      </c>
      <c r="F14" s="1910"/>
      <c r="G14" s="1910"/>
      <c r="H14" s="1910"/>
      <c r="I14" s="1525"/>
    </row>
    <row r="15" spans="1:12" ht="12.75">
      <c r="A15" s="3413"/>
      <c r="B15" s="3400"/>
      <c r="C15" s="3417"/>
      <c r="D15" s="3436"/>
      <c r="E15" s="136" t="s">
        <v>1908</v>
      </c>
      <c r="F15" s="1910"/>
      <c r="G15" s="1910"/>
      <c r="H15" s="1910"/>
      <c r="I15" s="1525"/>
    </row>
    <row r="16" spans="1:12" ht="12.75">
      <c r="A16" s="3413"/>
      <c r="B16" s="3400"/>
      <c r="C16" s="3418"/>
      <c r="D16" s="3436"/>
      <c r="E16" s="136" t="s">
        <v>1909</v>
      </c>
      <c r="F16" s="1910"/>
      <c r="G16" s="1910"/>
      <c r="H16" s="1910"/>
      <c r="I16" s="1525"/>
    </row>
    <row r="17" spans="1:36" ht="15">
      <c r="A17" s="1911" t="s">
        <v>1910</v>
      </c>
      <c r="B17" s="60"/>
      <c r="C17" s="137">
        <f>SUM(C5:C16)</f>
        <v>1</v>
      </c>
      <c r="D17" s="137">
        <f>SUM(D5:D16)</f>
        <v>0</v>
      </c>
      <c r="E17" s="134"/>
      <c r="F17" s="134"/>
      <c r="G17" s="134"/>
      <c r="H17" s="134"/>
      <c r="I17" s="134"/>
      <c r="K17" s="308"/>
      <c r="L17" s="308" t="s">
        <v>1911</v>
      </c>
      <c r="M17" s="308" t="s">
        <v>1912</v>
      </c>
    </row>
    <row r="18" spans="1:36" ht="31.9" customHeight="1" thickBot="1">
      <c r="A18" s="1912" t="s">
        <v>1913</v>
      </c>
      <c r="B18" s="1913"/>
      <c r="C18" s="138">
        <f>ROUND(C17/SUM(C17:D17),2)</f>
        <v>1</v>
      </c>
      <c r="D18" s="138">
        <f>1-C18</f>
        <v>0</v>
      </c>
      <c r="E18" s="3423" t="s">
        <v>2812</v>
      </c>
      <c r="F18" s="3424"/>
      <c r="G18" s="3424"/>
      <c r="H18" s="3424"/>
      <c r="I18" s="3424"/>
      <c r="K18" s="308" t="s">
        <v>1914</v>
      </c>
      <c r="L18" s="308">
        <f>IF(C1="",'数据-汇总表'!E3,SUMIF(项目类型,C1,'数据-汇总表'!E17:E26)+SUMIF(项目类型,C1,'数据-汇总表'!I17:I26))</f>
        <v>70196.47</v>
      </c>
      <c r="M18" s="308">
        <f>IF(C1="",'数据-汇总表'!E3,SUMIF(项目类型,C1,'数据-汇总表'!E17:E26))</f>
        <v>70196.47</v>
      </c>
    </row>
    <row r="19" spans="1:36" ht="15">
      <c r="A19" s="1914" t="s">
        <v>1915</v>
      </c>
      <c r="B19" s="1915" t="s">
        <v>1916</v>
      </c>
      <c r="C19" s="139">
        <f ca="1">SUMIF(INDIRECT("'"&amp;C4&amp;"'"&amp;"!A:A"),'结果表 (土增税)'!B19,INDIRECT("'"&amp;C4&amp;"'"&amp;"!B:B"))</f>
        <v>385624</v>
      </c>
      <c r="D19" s="140">
        <f ca="1">SUMIF(INDIRECT("'"&amp;D4&amp;"'"&amp;"!A:A"),'结果表 (土增税)'!B19,INDIRECT("'"&amp;D4&amp;"'"&amp;"!B:B"))</f>
        <v>14348</v>
      </c>
      <c r="E19" s="1914" t="s">
        <v>1917</v>
      </c>
      <c r="F19" s="1915" t="s">
        <v>1916</v>
      </c>
      <c r="G19" s="141">
        <f ca="1">ROUND(C19*$C$18+D19*$D$18,0)</f>
        <v>385624</v>
      </c>
      <c r="H19" s="1916" t="s">
        <v>1918</v>
      </c>
      <c r="I19" s="134"/>
      <c r="K19" s="308" t="s">
        <v>1919</v>
      </c>
      <c r="L19" s="308">
        <f>IF(C1="",'数据-汇总表'!D3,SUMIF(项目类型,C1,'数据-汇总表'!D17:D26)+SUMIF(项目类型,C1,'数据-汇总表'!H17:H27))</f>
        <v>9552.52</v>
      </c>
      <c r="M19" s="308">
        <f>IF(C1="",'数据-汇总表'!D3,SUMIF(项目类型,C1,'数据-汇总表'!D17:D26))</f>
        <v>9552.52</v>
      </c>
    </row>
    <row r="20" spans="1:36" ht="15">
      <c r="A20" s="1917"/>
      <c r="B20" s="1156" t="s">
        <v>1920</v>
      </c>
      <c r="C20" s="142">
        <f ca="1">SUMIF(INDIRECT("'"&amp;C4&amp;"'"&amp;"!A:A"),'结果表 (土增税)'!B20,INDIRECT("'"&amp;C4&amp;"'"&amp;"!B:B"))</f>
        <v>385624</v>
      </c>
      <c r="D20" s="143">
        <f ca="1">SUMIF(INDIRECT("'"&amp;D4&amp;"'"&amp;"!A:A"),'结果表 (土增税)'!B20,INDIRECT("'"&amp;D4&amp;"'"&amp;"!B:B"))</f>
        <v>13809</v>
      </c>
      <c r="E20" s="1917"/>
      <c r="F20" s="1156" t="s">
        <v>1920</v>
      </c>
      <c r="G20" s="144">
        <f ca="1">ROUND(C20*$C$18+D20*$D$18,0)</f>
        <v>385624</v>
      </c>
      <c r="H20" s="916" t="s">
        <v>1921</v>
      </c>
      <c r="I20" s="134"/>
    </row>
    <row r="21" spans="1:36" ht="15" customHeight="1" thickBot="1">
      <c r="A21" s="936"/>
      <c r="B21" s="1918" t="s">
        <v>1922</v>
      </c>
      <c r="C21" s="728">
        <f ca="1">ROUND(C19*10000/L19,0)</f>
        <v>403688</v>
      </c>
      <c r="D21" s="729">
        <f ca="1">ROUND(D19*10000/L19,0)</f>
        <v>15020</v>
      </c>
      <c r="E21" s="936"/>
      <c r="F21" s="1918" t="s">
        <v>1922</v>
      </c>
      <c r="G21" s="145">
        <f ca="1">ROUND(G19*10000/L19,0)</f>
        <v>403688</v>
      </c>
      <c r="H21" s="1919" t="s">
        <v>1921</v>
      </c>
      <c r="I21" s="134"/>
    </row>
    <row r="22" spans="1:36" ht="15" thickBot="1">
      <c r="A22" s="1841" t="s">
        <v>1923</v>
      </c>
      <c r="B22" s="1920"/>
      <c r="C22" s="1921"/>
      <c r="D22" s="730">
        <f ca="1">IF(C19&lt;D19,D19/C19-1,C19/D19-1)</f>
        <v>25.876498466685252</v>
      </c>
      <c r="E22" s="134"/>
      <c r="F22" s="134"/>
      <c r="G22" s="134"/>
      <c r="H22" s="134"/>
      <c r="I22" s="134"/>
    </row>
    <row r="23" spans="1:36" ht="13.5" thickBot="1">
      <c r="A23" s="1900"/>
      <c r="B23" s="1900"/>
      <c r="C23" s="1900"/>
      <c r="D23" s="1900"/>
      <c r="E23" s="134"/>
      <c r="F23" s="134"/>
      <c r="G23" s="134"/>
      <c r="H23" s="134"/>
      <c r="I23" s="134"/>
    </row>
    <row r="24" spans="1:36" ht="14.25">
      <c r="A24" s="3407" t="s">
        <v>1924</v>
      </c>
      <c r="B24" s="1915" t="s">
        <v>1916</v>
      </c>
      <c r="C24" s="141">
        <f>IF(B30=0,0,D30)</f>
        <v>0</v>
      </c>
      <c r="D24" s="1922"/>
      <c r="E24" s="134"/>
      <c r="F24" s="134"/>
      <c r="G24" s="134"/>
      <c r="H24" s="134"/>
      <c r="I24" s="134"/>
    </row>
    <row r="25" spans="1:36" ht="14.25">
      <c r="A25" s="3408"/>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5"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1930</v>
      </c>
      <c r="B32" s="1927"/>
      <c r="C32" s="149">
        <f ca="1">IF(D32="总价",G19-C24,G20-C25)</f>
        <v>385624</v>
      </c>
      <c r="D32" s="1928" t="s">
        <v>3137</v>
      </c>
      <c r="E32" s="134"/>
      <c r="F32" s="134"/>
      <c r="G32" s="134"/>
      <c r="H32" s="134"/>
      <c r="I32" s="134"/>
    </row>
    <row r="33" spans="1:15" ht="15">
      <c r="A33" s="893" t="s">
        <v>1931</v>
      </c>
      <c r="B33" s="1929"/>
      <c r="C33" s="1930" t="s">
        <v>3432</v>
      </c>
      <c r="D33" s="1931"/>
      <c r="E33" s="1932" t="s">
        <v>1932</v>
      </c>
      <c r="F33" s="1933" t="str">
        <f>IF(D32="楼面单价","取值（单价）","取值（总价）")</f>
        <v>取值（总价）</v>
      </c>
      <c r="G33" s="134"/>
      <c r="H33" s="134"/>
      <c r="I33" s="134"/>
    </row>
    <row r="34" spans="1:15" ht="15">
      <c r="A34" s="1934"/>
      <c r="B34" s="1935" t="s">
        <v>1933</v>
      </c>
      <c r="C34" s="153">
        <f>IF(C33="自定义",F34,C32-C35)</f>
        <v>0</v>
      </c>
      <c r="D34" s="969">
        <f ca="1">IF(C33="自定义",ROUND(C34/C32,3),IF(C33="收益比率",SUMIF(INDIRECT("'"&amp;D33&amp;"'"&amp;"!b:b"),"土地收益比率",INDIRECT("'"&amp;D33&amp;"'"&amp;"!c:c")),SUMIF(INDIRECT("'"&amp;D33&amp;"'"&amp;"!b:b"),"土地成本比率",INDIRECT("'"&amp;D33&amp;"'"&amp;"!c:c"))))</f>
        <v>0</v>
      </c>
      <c r="E34" s="1936" t="s">
        <v>1934</v>
      </c>
      <c r="F34" s="1468"/>
      <c r="G34" s="134"/>
      <c r="H34" s="134"/>
      <c r="I34" s="134"/>
    </row>
    <row r="35" spans="1:15" ht="15.75" thickBot="1">
      <c r="A35" s="1937"/>
      <c r="B35" s="1938" t="s">
        <v>1935</v>
      </c>
      <c r="C35" s="1302">
        <f>IF(C33="自定义",F35,ROUND(C32*D35,0))</f>
        <v>0</v>
      </c>
      <c r="D35" s="1303">
        <f ca="1">IF(C33="自定义",ROUND(C35/C32,3),IF(C33="收益比率",SUMIF(INDIRECT("'"&amp;D33&amp;"'"&amp;"!b:b"),"建筑物收益比率",INDIRECT("'"&amp;D33&amp;"'"&amp;"!c:c")),SUMIF(INDIRECT("'"&amp;D33&amp;"'"&amp;"!b:b"),"建筑物成本比率",INDIRECT("'"&amp;D33&amp;"'"&amp;"!c:c"))))</f>
        <v>0</v>
      </c>
      <c r="E35" s="1939" t="s">
        <v>1936</v>
      </c>
      <c r="F35" s="159"/>
      <c r="G35" s="134"/>
      <c r="H35" s="134"/>
      <c r="I35" s="134"/>
    </row>
    <row r="36" spans="1:15" ht="15.75" thickBot="1">
      <c r="A36" s="3427" t="s">
        <v>1937</v>
      </c>
      <c r="B36" s="1940" t="s">
        <v>1938</v>
      </c>
      <c r="C36" s="150"/>
      <c r="D36" s="1941"/>
      <c r="E36" s="1942"/>
      <c r="F36" s="1943"/>
      <c r="G36" s="134"/>
      <c r="H36" s="134"/>
      <c r="I36" s="134"/>
    </row>
    <row r="37" spans="1:15" ht="15.75" thickBot="1">
      <c r="A37" s="3428"/>
      <c r="B37" s="1827" t="s">
        <v>1939</v>
      </c>
      <c r="C37" s="152"/>
      <c r="D37" s="1271"/>
      <c r="E37" s="1271"/>
      <c r="F37" s="1943"/>
      <c r="G37" s="134"/>
      <c r="H37" s="134"/>
      <c r="I37" s="134"/>
    </row>
    <row r="38" spans="1:15" ht="15.75" thickBot="1">
      <c r="A38" s="3429"/>
      <c r="B38" s="1944" t="s">
        <v>1940</v>
      </c>
      <c r="C38" s="683"/>
      <c r="D38" s="1945" t="s">
        <v>1941</v>
      </c>
      <c r="E38" s="1271"/>
      <c r="F38" s="1943"/>
      <c r="G38" s="134"/>
      <c r="H38" s="134"/>
      <c r="I38" s="134"/>
    </row>
    <row r="39" spans="1:15" ht="15">
      <c r="A39" s="1917" t="s">
        <v>1942</v>
      </c>
      <c r="B39" s="1946" t="s">
        <v>1926</v>
      </c>
      <c r="C39" s="1947" t="s">
        <v>1927</v>
      </c>
      <c r="D39" s="1947" t="s">
        <v>1945</v>
      </c>
      <c r="E39" s="1948" t="s">
        <v>1928</v>
      </c>
      <c r="F39" s="1943"/>
      <c r="G39" s="134"/>
      <c r="H39" s="134"/>
      <c r="I39" s="134"/>
    </row>
    <row r="40" spans="1:15" ht="14.25">
      <c r="A40" s="1949" t="s">
        <v>1947</v>
      </c>
      <c r="B40" s="154"/>
      <c r="C40" s="155"/>
      <c r="D40" s="155"/>
      <c r="E40" s="156"/>
      <c r="F40" s="1943"/>
      <c r="G40" s="134"/>
      <c r="H40" s="134"/>
      <c r="I40" s="134"/>
    </row>
    <row r="41" spans="1:15" ht="14.25">
      <c r="A41" s="1949" t="s">
        <v>1948</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c r="A44" s="1953" t="s">
        <v>1949</v>
      </c>
      <c r="B44" s="1954"/>
      <c r="C44" s="1954"/>
      <c r="D44" s="1955"/>
      <c r="E44" s="1955"/>
      <c r="F44" s="1956"/>
      <c r="G44" s="1956"/>
      <c r="H44" s="1956"/>
      <c r="I44" s="1956"/>
      <c r="J44" s="1957" t="s">
        <v>1950</v>
      </c>
      <c r="K44" s="1958"/>
      <c r="L44" s="1958"/>
      <c r="M44" s="1958"/>
      <c r="N44" s="1958"/>
      <c r="O44" s="1958"/>
    </row>
    <row r="45" spans="1:15" ht="14.25" customHeight="1" thickBot="1">
      <c r="A45" s="3404" t="s">
        <v>1951</v>
      </c>
      <c r="B45" s="3405"/>
      <c r="C45" s="3406"/>
      <c r="D45" s="160">
        <f ca="1">ROUND(H101*F45,0)</f>
        <v>215949</v>
      </c>
      <c r="E45" s="161" t="s">
        <v>1952</v>
      </c>
      <c r="F45" s="162">
        <v>0.56000000000000005</v>
      </c>
      <c r="G45" s="163" t="s">
        <v>1953</v>
      </c>
      <c r="H45" s="134"/>
      <c r="I45" s="134"/>
      <c r="J45" s="3485" t="s">
        <v>1954</v>
      </c>
      <c r="K45" s="3485"/>
      <c r="L45" s="3485"/>
      <c r="M45" s="3485"/>
      <c r="N45" s="3485"/>
      <c r="O45" s="3485"/>
    </row>
    <row r="46" spans="1:15" ht="14.25" customHeight="1">
      <c r="A46" s="3401" t="s">
        <v>1955</v>
      </c>
      <c r="B46" s="3402"/>
      <c r="C46" s="3402"/>
      <c r="D46" s="3402"/>
      <c r="E46" s="3402"/>
      <c r="F46" s="3402"/>
      <c r="G46" s="3403"/>
      <c r="H46" s="1959"/>
      <c r="I46" s="164"/>
      <c r="J46" s="3233">
        <v>1</v>
      </c>
      <c r="K46" s="3466" t="s">
        <v>1956</v>
      </c>
      <c r="L46" s="3466"/>
      <c r="M46" s="3486"/>
      <c r="N46" s="3486"/>
      <c r="O46" s="3486"/>
    </row>
    <row r="47" spans="1:15" ht="12" customHeight="1">
      <c r="A47" s="165" t="s">
        <v>1957</v>
      </c>
      <c r="B47" s="166"/>
      <c r="C47" s="167"/>
      <c r="D47" s="1218" t="s">
        <v>1958</v>
      </c>
      <c r="E47" s="308" t="s">
        <v>1959</v>
      </c>
      <c r="F47" s="168" t="s">
        <v>1960</v>
      </c>
      <c r="G47" s="2738" t="s">
        <v>1961</v>
      </c>
      <c r="H47" s="2739"/>
      <c r="I47" s="164"/>
      <c r="J47" s="3233">
        <v>2</v>
      </c>
      <c r="K47" s="3466" t="s">
        <v>1962</v>
      </c>
      <c r="L47" s="3466"/>
      <c r="M47" s="3487">
        <f>'数据-取费表'!B2</f>
        <v>44665</v>
      </c>
      <c r="N47" s="3487"/>
      <c r="O47" s="3487"/>
    </row>
    <row r="48" spans="1:15" ht="25.5">
      <c r="A48" s="3432" t="s">
        <v>1963</v>
      </c>
      <c r="B48" s="3415"/>
      <c r="C48" s="3415"/>
      <c r="D48" s="3230">
        <f ca="1">IF(H48="情况1",0,IF(H48="情况2",D52,IF(H48="情况3",D53,IF(H48="情况4",D54))))</f>
        <v>11517</v>
      </c>
      <c r="E48" s="3243" t="str">
        <f>IF(H48="情况4","(销售额-原购置价)×税（费）率","销售额×税（费）率")</f>
        <v>销售额×税（费）率</v>
      </c>
      <c r="F48" s="2740">
        <f>IF(H48="情况1","免征",'数据-取费表'!B41)</f>
        <v>5.6000000000000001E-2</v>
      </c>
      <c r="G48" s="2741" t="s">
        <v>1964</v>
      </c>
      <c r="H48" s="2742" t="s">
        <v>3221</v>
      </c>
      <c r="I48" s="1959"/>
      <c r="J48" s="3233">
        <v>3</v>
      </c>
      <c r="K48" s="3466" t="s">
        <v>1965</v>
      </c>
      <c r="L48" s="3466"/>
      <c r="M48" s="3488">
        <f ca="1">H101</f>
        <v>385624</v>
      </c>
      <c r="N48" s="3488"/>
      <c r="O48" s="3488"/>
    </row>
    <row r="49" spans="1:35" ht="25.5" customHeight="1">
      <c r="A49" s="3242" t="s">
        <v>1966</v>
      </c>
      <c r="B49" s="3399" t="s">
        <v>1967</v>
      </c>
      <c r="C49" s="3399"/>
      <c r="D49" s="1743">
        <v>0</v>
      </c>
      <c r="E49" s="330" t="s">
        <v>1968</v>
      </c>
      <c r="F49" s="3228" t="s">
        <v>34</v>
      </c>
      <c r="G49" s="3472"/>
      <c r="H49" s="2495" t="s">
        <v>2815</v>
      </c>
      <c r="I49" s="2496"/>
      <c r="J49" s="3233">
        <v>4</v>
      </c>
      <c r="K49" s="3466" t="str">
        <f>IF(项目基本情况!E8="房地产抵押价值","房地产抵押价值","抵押担保权已注销时的房地产抵押价值")</f>
        <v>房地产抵押价值</v>
      </c>
      <c r="L49" s="3466"/>
      <c r="M49" s="3488">
        <f ca="1">IF(项目基本情况!E8="房地产抵押价值",H107,H109)</f>
        <v>385624</v>
      </c>
      <c r="N49" s="3488"/>
      <c r="O49" s="3488"/>
    </row>
    <row r="50" spans="1:35" ht="25.5" customHeight="1">
      <c r="A50" s="2743"/>
      <c r="B50" s="3399" t="s">
        <v>1969</v>
      </c>
      <c r="C50" s="3399"/>
      <c r="D50" s="2744"/>
      <c r="E50" s="338"/>
      <c r="F50" s="3228"/>
      <c r="G50" s="3473"/>
      <c r="H50" s="2497" t="s">
        <v>2816</v>
      </c>
      <c r="I50" s="2496"/>
      <c r="J50" s="3485" t="s">
        <v>1970</v>
      </c>
      <c r="K50" s="3485"/>
      <c r="L50" s="3485"/>
      <c r="M50" s="3485"/>
      <c r="N50" s="3485"/>
      <c r="O50" s="3485"/>
    </row>
    <row r="51" spans="1:35" ht="20.45" customHeight="1">
      <c r="A51" s="2745"/>
      <c r="B51" s="3399" t="s">
        <v>1971</v>
      </c>
      <c r="C51" s="3399"/>
      <c r="D51" s="1218"/>
      <c r="E51" s="333"/>
      <c r="F51" s="3228"/>
      <c r="G51" s="3474"/>
      <c r="H51" s="2497" t="s">
        <v>2817</v>
      </c>
      <c r="I51" s="2496"/>
      <c r="J51" s="3229" t="s">
        <v>1972</v>
      </c>
      <c r="K51" s="3466" t="s">
        <v>1973</v>
      </c>
      <c r="L51" s="3466"/>
      <c r="M51" s="3229" t="s">
        <v>1974</v>
      </c>
      <c r="N51" s="3229" t="s">
        <v>1975</v>
      </c>
      <c r="O51" s="3229" t="s">
        <v>1976</v>
      </c>
    </row>
    <row r="52" spans="1:35" ht="24" customHeight="1">
      <c r="A52" s="3244" t="s">
        <v>1977</v>
      </c>
      <c r="B52" s="3399" t="s">
        <v>1978</v>
      </c>
      <c r="C52" s="3399"/>
      <c r="D52" s="1218">
        <f ca="1">ROUND(D45*'数据-取费表'!B41/(1+'数据-取费表'!C42),0)</f>
        <v>11517</v>
      </c>
      <c r="E52" s="3243" t="s">
        <v>1979</v>
      </c>
      <c r="F52" s="2746">
        <f>'数据-取费表'!B41</f>
        <v>5.6000000000000001E-2</v>
      </c>
      <c r="G52" s="2747"/>
      <c r="H52" s="2736"/>
      <c r="I52" s="1960"/>
      <c r="J52" s="3233">
        <v>1</v>
      </c>
      <c r="K52" s="3467" t="s">
        <v>1980</v>
      </c>
      <c r="L52" s="3467"/>
      <c r="M52" s="2717">
        <f ca="1">D48</f>
        <v>11517</v>
      </c>
      <c r="N52" s="3233" t="str">
        <f>E48</f>
        <v>销售额×税（费）率</v>
      </c>
      <c r="O52" s="2718">
        <f>F48</f>
        <v>5.6000000000000001E-2</v>
      </c>
    </row>
    <row r="53" spans="1:35" ht="12" customHeight="1">
      <c r="A53" s="3244" t="s">
        <v>1981</v>
      </c>
      <c r="B53" s="3425" t="s">
        <v>2970</v>
      </c>
      <c r="C53" s="3426"/>
      <c r="D53" s="1218">
        <f ca="1">ROUND(D45*'数据-取费表'!B41/(1+'数据-取费表'!C42),0)</f>
        <v>11517</v>
      </c>
      <c r="E53" s="3243" t="s">
        <v>1979</v>
      </c>
      <c r="F53" s="2746">
        <f>'数据-取费表'!B41</f>
        <v>5.6000000000000001E-2</v>
      </c>
      <c r="G53" s="2747"/>
      <c r="H53" s="2736"/>
      <c r="I53" s="1960"/>
      <c r="J53" s="3233">
        <v>2</v>
      </c>
      <c r="K53" s="3467" t="s">
        <v>1982</v>
      </c>
      <c r="L53" s="3467"/>
      <c r="M53" s="2717">
        <f t="shared" ref="M53:O54" ca="1" si="0">D55</f>
        <v>108</v>
      </c>
      <c r="N53" s="3233" t="str">
        <f t="shared" si="0"/>
        <v>销售额×税（费）率</v>
      </c>
      <c r="O53" s="2718">
        <f t="shared" si="0"/>
        <v>5.0000000000000001E-4</v>
      </c>
    </row>
    <row r="54" spans="1:35" ht="12" customHeight="1">
      <c r="A54" s="3244" t="s">
        <v>1983</v>
      </c>
      <c r="B54" s="3425" t="s">
        <v>2971</v>
      </c>
      <c r="C54" s="3426"/>
      <c r="D54" s="1218">
        <f ca="1">C68</f>
        <v>11517</v>
      </c>
      <c r="E54" s="333" t="s">
        <v>1984</v>
      </c>
      <c r="F54" s="2746">
        <f>'数据-取费表'!B41</f>
        <v>5.6000000000000001E-2</v>
      </c>
      <c r="G54" s="2747"/>
      <c r="H54" s="2748"/>
      <c r="I54" s="1960"/>
      <c r="J54" s="3233">
        <v>3</v>
      </c>
      <c r="K54" s="3467" t="s">
        <v>1985</v>
      </c>
      <c r="L54" s="3467"/>
      <c r="M54" s="2717">
        <f t="shared" ca="1" si="0"/>
        <v>22366</v>
      </c>
      <c r="N54" s="3233" t="str">
        <f t="shared" si="0"/>
        <v>增值额×税（费）率</v>
      </c>
      <c r="O54" s="2719" t="str">
        <f t="shared" si="0"/>
        <v>——</v>
      </c>
    </row>
    <row r="55" spans="1:35" ht="24" customHeight="1">
      <c r="A55" s="3414" t="s">
        <v>1986</v>
      </c>
      <c r="B55" s="3415"/>
      <c r="C55" s="3415"/>
      <c r="D55" s="3230">
        <f ca="1">IF(H55="个人住宅",0,ROUND(D45*I55,0))</f>
        <v>108</v>
      </c>
      <c r="E55" s="3243" t="s">
        <v>1987</v>
      </c>
      <c r="F55" s="2746">
        <f>IF(H55="正常",I55,"免征")</f>
        <v>5.0000000000000001E-4</v>
      </c>
      <c r="G55" s="2747"/>
      <c r="H55" s="2742" t="s">
        <v>3222</v>
      </c>
      <c r="I55" s="170">
        <f>'数据-取费表'!B49</f>
        <v>5.0000000000000001E-4</v>
      </c>
      <c r="J55" s="3233" t="str">
        <f>IF(H59="非个人房产","",4)</f>
        <v/>
      </c>
      <c r="K55" s="3467" t="str">
        <f>IF(H59="非个人房产","——","个人所得税")</f>
        <v>——</v>
      </c>
      <c r="L55" s="3467"/>
      <c r="M55" s="2720" t="str">
        <f>D59</f>
        <v>——</v>
      </c>
      <c r="N55" s="3234" t="str">
        <f>E59</f>
        <v>——</v>
      </c>
      <c r="O55" s="2721" t="str">
        <f>F59</f>
        <v>——</v>
      </c>
    </row>
    <row r="56" spans="1:35" ht="24.75">
      <c r="A56" s="3414" t="s">
        <v>1988</v>
      </c>
      <c r="B56" s="3415"/>
      <c r="C56" s="3415"/>
      <c r="D56" s="3230">
        <f ca="1">IF(H56="个人住宅",D57,D58)</f>
        <v>22366</v>
      </c>
      <c r="E56" s="3243" t="s">
        <v>1989</v>
      </c>
      <c r="F56" s="2746" t="str">
        <f>IF(H56="正常",F58,"免征")</f>
        <v>——</v>
      </c>
      <c r="G56" s="2749" t="s">
        <v>1990</v>
      </c>
      <c r="H56" s="2750" t="s">
        <v>3222</v>
      </c>
      <c r="I56" s="1961"/>
      <c r="J56" s="3233" t="str">
        <f>IF(项目基本情况!K6="上海银行",IF(J55="",4,J55+1),"")</f>
        <v/>
      </c>
      <c r="K56" s="3490" t="str">
        <f>IF(项目基本情况!K6="上海银行","其他处置费用","")</f>
        <v/>
      </c>
      <c r="L56" s="3491"/>
      <c r="M56" s="2717" t="str">
        <f>IF(项目基本情况!K6="上海银行",M69,"")</f>
        <v/>
      </c>
      <c r="N56" s="3490" t="str">
        <f>IF(项目基本情况!K6="上海银行","包含处置中涉及的律师、诉讼、拍卖、评估等费用","")</f>
        <v/>
      </c>
      <c r="O56" s="3493"/>
    </row>
    <row r="57" spans="1:35" ht="12.75">
      <c r="A57" s="3244" t="s">
        <v>1966</v>
      </c>
      <c r="B57" s="3425" t="s">
        <v>1991</v>
      </c>
      <c r="C57" s="3426"/>
      <c r="D57" s="1743">
        <v>0</v>
      </c>
      <c r="E57" s="330" t="s">
        <v>1968</v>
      </c>
      <c r="F57" s="308"/>
      <c r="G57" s="2747"/>
      <c r="H57" s="2751"/>
      <c r="I57" s="1961"/>
      <c r="J57" s="3467">
        <f>IF(AND(J55="",J56=""),4,IF(项目基本情况!K6="上海银行",'结果表 (土增税)'!J56+1,'结果表 (土增税)'!J55+1))</f>
        <v>4</v>
      </c>
      <c r="K57" s="3467" t="s">
        <v>1992</v>
      </c>
      <c r="L57" s="2722" t="s">
        <v>1993</v>
      </c>
      <c r="M57" s="2723"/>
      <c r="N57" s="2724">
        <f ca="1">SUMIF(M52:M56,"&lt;9e307")</f>
        <v>33991</v>
      </c>
      <c r="O57" s="2725"/>
      <c r="P57" s="2885"/>
    </row>
    <row r="58" spans="1:35" ht="24.75">
      <c r="A58" s="3244" t="s">
        <v>1977</v>
      </c>
      <c r="B58" s="3425" t="s">
        <v>1994</v>
      </c>
      <c r="C58" s="3399"/>
      <c r="D58" s="3230">
        <f ca="1">IF(H58="转让取得",C81,C97)</f>
        <v>22366</v>
      </c>
      <c r="E58" s="3243" t="s">
        <v>1989</v>
      </c>
      <c r="F58" s="308" t="s">
        <v>34</v>
      </c>
      <c r="G58" s="2747"/>
      <c r="H58" s="2750" t="s">
        <v>3223</v>
      </c>
      <c r="I58" s="1961"/>
      <c r="J58" s="3467"/>
      <c r="K58" s="3467"/>
      <c r="L58" s="2722" t="s">
        <v>1995</v>
      </c>
      <c r="M58" s="2726"/>
      <c r="N58" s="2727" t="str">
        <f ca="1">NUMBERSTRING(INT(N57*10000),2)&amp;"元整"</f>
        <v>叁亿叁仟玖佰玖拾壹万元整</v>
      </c>
      <c r="O58" s="2728"/>
    </row>
    <row r="59" spans="1:35" ht="24.75" thickBot="1">
      <c r="A59" s="3470" t="s">
        <v>1996</v>
      </c>
      <c r="B59" s="3471"/>
      <c r="C59" s="3471"/>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68">
        <f>J57+1</f>
        <v>5</v>
      </c>
      <c r="K59" s="3467" t="s">
        <v>1997</v>
      </c>
      <c r="L59" s="3233" t="s">
        <v>1993</v>
      </c>
      <c r="M59" s="2729"/>
      <c r="N59" s="2730">
        <f ca="1">M49-N57</f>
        <v>351633</v>
      </c>
      <c r="O59" s="2731"/>
    </row>
    <row r="60" spans="1:35" ht="12" customHeight="1">
      <c r="A60" s="1962"/>
      <c r="B60" s="1900"/>
      <c r="C60" s="1900"/>
      <c r="D60" s="1900"/>
      <c r="E60" s="1731"/>
      <c r="F60" s="1961"/>
      <c r="G60" s="1961"/>
      <c r="H60" s="1963"/>
      <c r="I60" s="134"/>
      <c r="J60" s="3469"/>
      <c r="K60" s="3467"/>
      <c r="L60" s="2722" t="s">
        <v>1995</v>
      </c>
      <c r="M60" s="2726"/>
      <c r="N60" s="2727" t="str">
        <f ca="1">NUMBERSTRING(INT(N59*10000),2)&amp;"元整"</f>
        <v>叁拾伍亿壹仟陆佰叁拾叁万元整</v>
      </c>
      <c r="O60" s="2728"/>
    </row>
    <row r="61" spans="1:35" ht="13.5" thickBot="1">
      <c r="A61" s="3412" t="s">
        <v>1998</v>
      </c>
      <c r="B61" s="3412"/>
      <c r="C61" s="3412"/>
      <c r="D61" s="3412"/>
      <c r="E61" s="3412"/>
      <c r="F61" s="1961"/>
      <c r="G61" s="1961"/>
      <c r="H61" s="1963"/>
      <c r="I61" s="134"/>
      <c r="J61" s="3233">
        <f>J59+1</f>
        <v>6</v>
      </c>
      <c r="K61" s="3467" t="s">
        <v>1999</v>
      </c>
      <c r="L61" s="3467"/>
      <c r="M61" s="2732"/>
      <c r="N61" s="2733">
        <f ca="1">ROUND(N59*10000/'数据-汇总表'!E3,0)</f>
        <v>50093</v>
      </c>
      <c r="O61" s="2734"/>
    </row>
    <row r="62" spans="1:35" ht="12.75" hidden="1">
      <c r="A62" s="3430" t="s">
        <v>2000</v>
      </c>
      <c r="B62" s="3431"/>
      <c r="C62" s="3238"/>
      <c r="D62" s="3238" t="s">
        <v>2001</v>
      </c>
      <c r="E62" s="171" t="s">
        <v>2002</v>
      </c>
      <c r="F62" s="1961"/>
      <c r="G62" s="1961"/>
      <c r="H62" s="1963"/>
      <c r="I62" s="134"/>
    </row>
    <row r="63" spans="1:35" ht="12.75" hidden="1">
      <c r="A63" s="178" t="s">
        <v>775</v>
      </c>
      <c r="B63" s="172" t="s">
        <v>2003</v>
      </c>
      <c r="C63" s="2756">
        <f ca="1">ROUND((C64+C65)/(1+'数据-取费表'!C42),0)</f>
        <v>205666</v>
      </c>
      <c r="D63" s="172"/>
      <c r="E63" s="173"/>
      <c r="F63" s="1961"/>
      <c r="G63" s="1961"/>
      <c r="H63" s="1963"/>
      <c r="I63" s="134"/>
      <c r="J63" s="3492" t="s">
        <v>2004</v>
      </c>
      <c r="K63" s="3231" t="s">
        <v>2005</v>
      </c>
      <c r="L63" s="3231">
        <f ca="1">IF(M49&gt;10000,M49*0.5%,IF(AND(M49&gt;1000,M49&lt;=10000),M49*1%,IF(AND(M49&gt;100,M49&lt;=1000),M49*3%,IF(AND(M49&gt;10,M49&lt;=100),M49*5%,M49*8%))))</f>
        <v>1928.1200000000001</v>
      </c>
      <c r="M63" s="308">
        <f ca="1">ROUND(L63,1)</f>
        <v>1928.1</v>
      </c>
      <c r="N63" s="2735"/>
      <c r="Z63" s="1905"/>
      <c r="AI63" s="1906"/>
    </row>
    <row r="64" spans="1:35" ht="14.25" hidden="1" customHeight="1">
      <c r="A64" s="174" t="s">
        <v>770</v>
      </c>
      <c r="B64" s="175" t="s">
        <v>2006</v>
      </c>
      <c r="C64" s="2757">
        <f ca="1">D45</f>
        <v>215949</v>
      </c>
      <c r="D64" s="175" t="s">
        <v>32</v>
      </c>
      <c r="E64" s="177"/>
      <c r="F64" s="1961"/>
      <c r="G64" s="1961"/>
      <c r="H64" s="1963"/>
      <c r="I64" s="134"/>
      <c r="J64" s="3492"/>
      <c r="K64" s="3231" t="s">
        <v>2007</v>
      </c>
      <c r="L64" s="3231">
        <f ca="1">IF(M49&gt;2000,M49*0.5%,IF(AND(M49&gt;1000,M49&lt;=2000),M49*0.6%,IF(AND(M49&gt;500,M49&lt;=1000),M49*0.7%,IF(AND(M49&gt;200,M49&lt;=500),M49*0.8%,IF(AND(M49&gt;100,M49&lt;=200),M49*0.9%,IF(AND(M49&gt;50,M49&lt;=100),M49*1%,IF(AND(M49&gt;20,M49&lt;=50),M49*1.5%,IF(AND(M49&gt;10,M49&lt;=20),M49*2%,IF(AND(M49&gt;1,M49&lt;=10),M49*2.5%)))))))))</f>
        <v>1928.1200000000001</v>
      </c>
      <c r="M64" s="308">
        <f t="shared" ref="M64:M65" ca="1" si="1">ROUND(L64,1)</f>
        <v>1928.1</v>
      </c>
      <c r="N64" s="2736" t="s">
        <v>2008</v>
      </c>
      <c r="Z64" s="1905"/>
      <c r="AI64" s="1906"/>
    </row>
    <row r="65" spans="1:35" ht="14.25" hidden="1" customHeight="1">
      <c r="A65" s="174" t="s">
        <v>771</v>
      </c>
      <c r="B65" s="175" t="s">
        <v>2009</v>
      </c>
      <c r="C65" s="2758"/>
      <c r="D65" s="175"/>
      <c r="E65" s="177"/>
      <c r="F65" s="1961"/>
      <c r="G65" s="1961"/>
      <c r="H65" s="1963"/>
      <c r="I65" s="134"/>
      <c r="J65" s="3492"/>
      <c r="K65" s="3231" t="s">
        <v>2010</v>
      </c>
      <c r="L65" s="3231">
        <f ca="1">IF(M49&gt;1000,M49*0.1%,IF(AND(M49&gt;500,M49&lt;=1000),M49*0.5%,IF(AND(M49&gt;50,M49&lt;=500),M49*1%,IF(AND(M49&gt;1,M49&lt;=50),M49*1.5%))))</f>
        <v>385.62400000000002</v>
      </c>
      <c r="M65" s="308">
        <f t="shared" ca="1" si="1"/>
        <v>385.6</v>
      </c>
      <c r="N65" s="2736" t="s">
        <v>2008</v>
      </c>
      <c r="Z65" s="1905"/>
      <c r="AI65" s="1906"/>
    </row>
    <row r="66" spans="1:35" ht="14.25" hidden="1" customHeight="1">
      <c r="A66" s="178" t="s">
        <v>772</v>
      </c>
      <c r="B66" s="179" t="s">
        <v>2011</v>
      </c>
      <c r="C66" s="2759"/>
      <c r="D66" s="179" t="s">
        <v>32</v>
      </c>
      <c r="E66" s="1477" t="s">
        <v>1277</v>
      </c>
      <c r="F66" s="1961"/>
      <c r="G66" s="1961"/>
      <c r="H66" s="1963"/>
      <c r="I66" s="134"/>
      <c r="J66" s="3492"/>
      <c r="K66" s="3231" t="s">
        <v>2012</v>
      </c>
      <c r="L66" s="3231">
        <f ca="1">M49*0.5%</f>
        <v>1928.1200000000001</v>
      </c>
      <c r="M66" s="308">
        <f ca="1">IF(L66&gt;0.5,0.5,ROUND(L66,0))</f>
        <v>0.5</v>
      </c>
      <c r="N66" s="2736" t="s">
        <v>2013</v>
      </c>
      <c r="Z66" s="1905"/>
      <c r="AI66" s="1906"/>
    </row>
    <row r="67" spans="1:35" ht="14.25" hidden="1" customHeight="1">
      <c r="A67" s="178" t="s">
        <v>773</v>
      </c>
      <c r="B67" s="179" t="s">
        <v>2014</v>
      </c>
      <c r="C67" s="2760">
        <f ca="1">C63-C66</f>
        <v>205666</v>
      </c>
      <c r="D67" s="175" t="s">
        <v>32</v>
      </c>
      <c r="E67" s="177"/>
      <c r="F67" s="1961"/>
      <c r="G67" s="1961"/>
      <c r="H67" s="1963"/>
      <c r="I67" s="134"/>
      <c r="J67" s="3492"/>
      <c r="K67" s="3231" t="s">
        <v>2015</v>
      </c>
      <c r="L67" s="3231">
        <f ca="1">IF(M49&gt;=10000,(8.25+(M49-10000)*0.01%),IF(AND(M49&gt;=8000,M49&lt;10000),(7.85+(M49-8000)*0.02%),IF(AND(M49&gt;=5000,M49&lt;8000),(6.65+(M49-5000)*0.04%),IF(AND(M49&gt;=2000,M49&lt;5000),(4.25+(PM49-2000)*0.08%),IF(AND(M49&gt;=1000,M49&lt;2000),(2.75+(M49-1000)*0.15%),IF(AND(M49&gt;=100,M49&lt;1000),(0.5+(M49-100)*0.25%),IF(AND(M49&gt;0,M49&lt;100),M49*0.5%)))))))</f>
        <v>45.812400000000004</v>
      </c>
      <c r="M67" s="308">
        <f ca="1">ROUND(L67*0.9,1)</f>
        <v>41.2</v>
      </c>
      <c r="N67" s="2735"/>
      <c r="Z67" s="1905"/>
      <c r="AI67" s="1906"/>
    </row>
    <row r="68" spans="1:35" ht="14.25" hidden="1" customHeight="1" thickBot="1">
      <c r="A68" s="181" t="s">
        <v>774</v>
      </c>
      <c r="B68" s="182" t="s">
        <v>2016</v>
      </c>
      <c r="C68" s="2761">
        <f ca="1">IF(C67&lt;=0,0,ROUND(C67*D68,0))</f>
        <v>11517</v>
      </c>
      <c r="D68" s="2762">
        <f>'数据-取费表'!B41</f>
        <v>5.6000000000000001E-2</v>
      </c>
      <c r="E68" s="184"/>
      <c r="F68" s="1961"/>
      <c r="G68" s="1961"/>
      <c r="H68" s="1963"/>
      <c r="I68" s="134"/>
      <c r="J68" s="3492"/>
      <c r="K68" s="3231" t="s">
        <v>2017</v>
      </c>
      <c r="L68" s="3231">
        <f ca="1">IF(M49&gt;10000,M49*0.5%,IF(AND(M49&gt;5000,M49&lt;=10000),M49*1%,IF(AND(M49&gt;1000,M49&lt;=5000),M49*2%,IF(AND(M49&gt;200,M49&lt;=1000),M49*3%,M49*5%))))</f>
        <v>1928.1200000000001</v>
      </c>
      <c r="M68" s="308">
        <f ca="1">ROUND(L68,1)</f>
        <v>1928.1</v>
      </c>
      <c r="N68" s="2735"/>
      <c r="Z68" s="1905"/>
      <c r="AI68" s="1906"/>
    </row>
    <row r="69" spans="1:35" s="1925" customFormat="1" ht="16.5" hidden="1" customHeight="1">
      <c r="A69" s="1964"/>
      <c r="B69" s="1965"/>
      <c r="C69" s="1966"/>
      <c r="D69" s="1967"/>
      <c r="E69" s="1968"/>
      <c r="F69" s="1731"/>
      <c r="G69" s="1731"/>
      <c r="H69" s="1730"/>
      <c r="I69" s="1900"/>
      <c r="J69" s="3492"/>
      <c r="K69" s="3231" t="s">
        <v>2018</v>
      </c>
      <c r="L69" s="3231"/>
      <c r="M69" s="308">
        <f ca="1">ROUND(SUM(M63:M68),0)</f>
        <v>6212</v>
      </c>
      <c r="N69" s="2737">
        <f ca="1">M69/M49</f>
        <v>1.6108955874115718E-2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hidden="1" thickBot="1">
      <c r="A70" s="3451" t="s">
        <v>2019</v>
      </c>
      <c r="B70" s="3452"/>
      <c r="C70" s="3452"/>
      <c r="D70" s="3452"/>
      <c r="E70" s="3452"/>
      <c r="F70" s="3452"/>
      <c r="G70" s="3452"/>
      <c r="H70" s="3452"/>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hidden="1">
      <c r="A71" s="3430" t="s">
        <v>2000</v>
      </c>
      <c r="B71" s="3431"/>
      <c r="C71" s="3238"/>
      <c r="D71" s="3238"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hidden="1">
      <c r="A72" s="178" t="s">
        <v>775</v>
      </c>
      <c r="B72" s="179" t="s">
        <v>2020</v>
      </c>
      <c r="C72" s="2760">
        <f ca="1">ROUND(D45/(1+'数据-取费表'!C42),0)</f>
        <v>205666</v>
      </c>
      <c r="D72" s="175" t="s">
        <v>32</v>
      </c>
      <c r="E72" s="3240"/>
      <c r="F72" s="3239"/>
      <c r="G72" s="3239"/>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hidden="1">
      <c r="A73" s="178" t="s">
        <v>772</v>
      </c>
      <c r="B73" s="168" t="s">
        <v>2021</v>
      </c>
      <c r="C73" s="2760">
        <f ca="1">C74+C78</f>
        <v>1234</v>
      </c>
      <c r="D73" s="175" t="s">
        <v>32</v>
      </c>
      <c r="E73" s="3240"/>
      <c r="F73" s="3239"/>
      <c r="G73" s="3239"/>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3240"/>
      <c r="F74" s="3239"/>
      <c r="G74" s="3239"/>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25" t="s">
        <v>2027</v>
      </c>
      <c r="F76" s="3399"/>
      <c r="G76" s="3399"/>
      <c r="H76" s="3450"/>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3230" t="s">
        <v>2029</v>
      </c>
      <c r="F77" s="192"/>
      <c r="G77" s="1975"/>
      <c r="H77" s="324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1234</v>
      </c>
      <c r="D78" s="2769">
        <f>'数据-取费表'!B43</f>
        <v>6.000000000000001E-3</v>
      </c>
      <c r="E78" s="3409" t="s">
        <v>2031</v>
      </c>
      <c r="F78" s="3410"/>
      <c r="G78" s="3410"/>
      <c r="H78" s="3419"/>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hidden="1">
      <c r="A79" s="178" t="s">
        <v>773</v>
      </c>
      <c r="B79" s="179" t="s">
        <v>2032</v>
      </c>
      <c r="C79" s="2760">
        <f ca="1">C72-C73</f>
        <v>204432</v>
      </c>
      <c r="D79" s="175" t="s">
        <v>32</v>
      </c>
      <c r="E79" s="3240"/>
      <c r="F79" s="3239"/>
      <c r="G79" s="3239"/>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165.66612641815234</v>
      </c>
      <c r="D80" s="175" t="s">
        <v>32</v>
      </c>
      <c r="E80" s="3230" t="str">
        <f ca="1">IF(C80&gt;=200%,"增值额超过扣除项目金额200%",IF(C80&gt;=100%,"增值额超过扣除项目金额100%，未超过200%",IF(C80&gt;=50%,"增值额超过扣除项目金额50%，未超过100%",IF(C80&lt;50%,"增值额未超过扣除项目金额50%"))))</f>
        <v>增值额超过扣除项目金额200%</v>
      </c>
      <c r="F80" s="3239"/>
      <c r="G80" s="3239"/>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hidden="1" thickBot="1">
      <c r="A81" s="181" t="s">
        <v>781</v>
      </c>
      <c r="B81" s="182" t="s">
        <v>2034</v>
      </c>
      <c r="C81" s="2771">
        <f ca="1">ROUND(IF(C79&lt;=0,0,IF(C80&gt;=200%,C79*60%-C73*35%,IF(C80&gt;=100%,C79*50%-C73*15%,IF(C80&gt;=50%,C79*40%-C73*5%,IF(C80&lt;50%,C79*30%,0))))),0)</f>
        <v>122227</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hidden="1" thickBot="1">
      <c r="A83" s="3451" t="s">
        <v>2035</v>
      </c>
      <c r="B83" s="3452"/>
      <c r="C83" s="3452"/>
      <c r="D83" s="3452"/>
      <c r="E83" s="3452"/>
      <c r="F83" s="3452"/>
      <c r="G83" s="3452"/>
      <c r="H83" s="3452"/>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430" t="s">
        <v>2000</v>
      </c>
      <c r="B84" s="3431"/>
      <c r="C84" s="3238"/>
      <c r="D84" s="3238"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2020</v>
      </c>
      <c r="C85" s="2760">
        <f ca="1">ROUND(D45/(1+'数据-取费表'!C42),0)</f>
        <v>205666</v>
      </c>
      <c r="D85" s="175" t="s">
        <v>32</v>
      </c>
      <c r="E85" s="3240"/>
      <c r="F85" s="3239"/>
      <c r="G85" s="3239"/>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2021</v>
      </c>
      <c r="C86" s="2760">
        <f ca="1">IF(H88="仅含出让金",C87+C90+C91+C92+C93+C94,C87+C91+C92+C93+C94)</f>
        <v>133111.17170000001</v>
      </c>
      <c r="D86" s="2773"/>
      <c r="E86" s="3240"/>
      <c r="F86" s="3239"/>
      <c r="G86" s="3239"/>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2036</v>
      </c>
      <c r="C87" s="2768">
        <f>C88+C89</f>
        <v>21444.171699999999</v>
      </c>
      <c r="D87" s="2769"/>
      <c r="E87" s="3235"/>
      <c r="F87" s="3236"/>
      <c r="G87" s="3236"/>
      <c r="H87" s="323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2037</v>
      </c>
      <c r="C88" s="2774">
        <f>信息!B22+信息!E22</f>
        <v>20809.171699999999</v>
      </c>
      <c r="D88" s="2769"/>
      <c r="E88" s="199" t="s">
        <v>2038</v>
      </c>
      <c r="F88" s="3236"/>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2028</v>
      </c>
      <c r="C89" s="2768">
        <f>ROUND(C88*D89,0)</f>
        <v>635</v>
      </c>
      <c r="D89" s="2769">
        <f>'数据-取费表'!B48+'数据-取费表'!B49</f>
        <v>3.0499999999999999E-2</v>
      </c>
      <c r="E89" s="199" t="s">
        <v>2040</v>
      </c>
      <c r="F89" s="3236"/>
      <c r="G89" s="3236"/>
      <c r="H89" s="323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2041</v>
      </c>
      <c r="C90" s="2774"/>
      <c r="D90" s="2769"/>
      <c r="E90" s="199" t="str">
        <f>IF(H88="-","土地取得成本中已包含该笔费用"," ")</f>
        <v xml:space="preserve"> </v>
      </c>
      <c r="F90" s="3236"/>
      <c r="G90" s="3494" t="s">
        <v>2810</v>
      </c>
      <c r="H90" s="3495"/>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2042</v>
      </c>
      <c r="B91" s="175" t="s">
        <v>2043</v>
      </c>
      <c r="C91" s="2768">
        <f>IF(H91="——",成本法!C33,I91)</f>
        <v>80000</v>
      </c>
      <c r="D91" s="2769"/>
      <c r="E91" s="3409" t="s">
        <v>2044</v>
      </c>
      <c r="F91" s="3410"/>
      <c r="G91" s="341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2045</v>
      </c>
      <c r="B92" s="175" t="s">
        <v>2046</v>
      </c>
      <c r="C92" s="2768">
        <f>ROUND((C87+C90+C91)*D92,0)</f>
        <v>10144</v>
      </c>
      <c r="D92" s="2775">
        <v>0.1</v>
      </c>
      <c r="E92" s="3409" t="s">
        <v>2047</v>
      </c>
      <c r="F92" s="3410"/>
      <c r="G92" s="3410"/>
      <c r="H92" s="3419"/>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2048</v>
      </c>
      <c r="B93" s="175" t="s">
        <v>2030</v>
      </c>
      <c r="C93" s="2768">
        <f ca="1">ROUND(D45*D93/(1+'数据-取费表'!C42),0)</f>
        <v>1234</v>
      </c>
      <c r="D93" s="2769">
        <f>'数据-取费表'!B43</f>
        <v>6.000000000000001E-3</v>
      </c>
      <c r="E93" s="3409" t="s">
        <v>2031</v>
      </c>
      <c r="F93" s="3410"/>
      <c r="G93" s="3410"/>
      <c r="H93" s="3419"/>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2049</v>
      </c>
      <c r="B94" s="175" t="s">
        <v>2050</v>
      </c>
      <c r="C94" s="2774">
        <f>ROUND((C87+C90+C91)*D94,0)</f>
        <v>20289</v>
      </c>
      <c r="D94" s="2769">
        <v>0.2</v>
      </c>
      <c r="E94" s="3420" t="s">
        <v>2051</v>
      </c>
      <c r="F94" s="3421"/>
      <c r="G94" s="3421"/>
      <c r="H94" s="3422"/>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773</v>
      </c>
      <c r="B95" s="179" t="s">
        <v>2032</v>
      </c>
      <c r="C95" s="2760">
        <f ca="1">ROUND(C85-C86,0)</f>
        <v>72555</v>
      </c>
      <c r="D95" s="175" t="s">
        <v>32</v>
      </c>
      <c r="E95" s="3240"/>
      <c r="F95" s="3239"/>
      <c r="G95" s="3239"/>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2033</v>
      </c>
      <c r="C96" s="2770">
        <f ca="1">IF(C95&lt;=0,0,C95/C86)</f>
        <v>0.54507070348325992</v>
      </c>
      <c r="D96" s="175" t="s">
        <v>32</v>
      </c>
      <c r="E96" s="323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239"/>
      <c r="G96" s="3239"/>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2034</v>
      </c>
      <c r="C97" s="2771">
        <f ca="1">ROUND(IF(C95&lt;=0,0,IF(C96&gt;=200%,C95*60%-C86*35%,IF(C96&gt;=100%,C95*50%-C86*15%,IF(C96&gt;=50%,C95*40%-C86*5%,IF(C96&lt;50%,C95*30%,0))))),0)</f>
        <v>22366</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4"/>
    </row>
    <row r="99" spans="1:35" ht="21.75" customHeight="1" thickBot="1">
      <c r="A99" s="1953" t="s">
        <v>2052</v>
      </c>
      <c r="B99" s="1900"/>
      <c r="C99" s="1900"/>
      <c r="D99" s="1900"/>
      <c r="E99" s="1731"/>
      <c r="F99" s="1731"/>
      <c r="G99" s="1731"/>
      <c r="H99" s="1730"/>
      <c r="I99" s="134"/>
    </row>
    <row r="100" spans="1:35" ht="18.75" customHeight="1">
      <c r="A100" s="3388" t="s">
        <v>2053</v>
      </c>
      <c r="B100" s="3389"/>
      <c r="C100" s="3389"/>
      <c r="D100" s="3411"/>
      <c r="E100" s="3389" t="s">
        <v>2054</v>
      </c>
      <c r="F100" s="3389"/>
      <c r="G100" s="3389"/>
      <c r="H100" s="3411"/>
      <c r="I100" s="134"/>
    </row>
    <row r="101" spans="1:35" ht="18.75" customHeight="1">
      <c r="A101" s="3475" t="s">
        <v>2055</v>
      </c>
      <c r="B101" s="3476"/>
      <c r="C101" s="2777" t="str">
        <f>C4</f>
        <v>典型户型修正</v>
      </c>
      <c r="D101" s="2778" t="str">
        <f>D4</f>
        <v>成本法 (地下车库)</v>
      </c>
      <c r="E101" s="3489" t="s">
        <v>2056</v>
      </c>
      <c r="F101" s="3443"/>
      <c r="G101" s="1980" t="s">
        <v>2057</v>
      </c>
      <c r="H101" s="2787">
        <f ca="1">H118</f>
        <v>385624</v>
      </c>
      <c r="I101" s="134"/>
    </row>
    <row r="102" spans="1:35" ht="18.75" customHeight="1">
      <c r="A102" s="3445" t="s">
        <v>2058</v>
      </c>
      <c r="B102" s="2776" t="s">
        <v>2057</v>
      </c>
      <c r="C102" s="2777">
        <f ca="1">C19</f>
        <v>385624</v>
      </c>
      <c r="D102" s="2778">
        <f ca="1">D19</f>
        <v>14348</v>
      </c>
      <c r="E102" s="3489"/>
      <c r="F102" s="3443"/>
      <c r="G102" s="1980" t="s">
        <v>2059</v>
      </c>
      <c r="H102" s="2747">
        <f ca="1">I118</f>
        <v>54935</v>
      </c>
      <c r="I102" s="134"/>
    </row>
    <row r="103" spans="1:35" ht="42.75" customHeight="1">
      <c r="A103" s="3445"/>
      <c r="B103" s="2776" t="s">
        <v>2059</v>
      </c>
      <c r="C103" s="2779">
        <f ca="1">C20</f>
        <v>385624</v>
      </c>
      <c r="D103" s="2780">
        <f ca="1">D20</f>
        <v>13809</v>
      </c>
      <c r="E103" s="3483" t="s">
        <v>2060</v>
      </c>
      <c r="F103" s="3484"/>
      <c r="G103" s="1981" t="s">
        <v>2061</v>
      </c>
      <c r="H103" s="2787">
        <f>IF(D36="正常操作",H104+H105+H106,H105+H106)</f>
        <v>0</v>
      </c>
      <c r="I103" s="134"/>
    </row>
    <row r="104" spans="1:35" ht="18.75" customHeight="1">
      <c r="A104" s="3445" t="s">
        <v>2062</v>
      </c>
      <c r="B104" s="2781" t="s">
        <v>2057</v>
      </c>
      <c r="C104" s="2782">
        <f ca="1">H118</f>
        <v>385624</v>
      </c>
      <c r="D104" s="2783"/>
      <c r="E104" s="1827" t="s">
        <v>2063</v>
      </c>
      <c r="F104" s="1819"/>
      <c r="G104" s="1981" t="s">
        <v>2061</v>
      </c>
      <c r="H104" s="2788">
        <f>IF(D36="同一抵押权人同一抵押物续贷",C36&amp;"（续贷，未扣减，详见特别提示）",C36)</f>
        <v>0</v>
      </c>
      <c r="I104" s="134"/>
    </row>
    <row r="105" spans="1:35" ht="18.75" customHeight="1" thickBot="1">
      <c r="A105" s="3446"/>
      <c r="B105" s="2784" t="s">
        <v>2059</v>
      </c>
      <c r="C105" s="2785">
        <f ca="1">I118</f>
        <v>54935</v>
      </c>
      <c r="D105" s="2786"/>
      <c r="E105" s="1827" t="s">
        <v>2064</v>
      </c>
      <c r="F105" s="1819"/>
      <c r="G105" s="1981" t="s">
        <v>2061</v>
      </c>
      <c r="H105" s="2789">
        <f>C37</f>
        <v>0</v>
      </c>
      <c r="I105" s="134"/>
    </row>
    <row r="106" spans="1:35" ht="18.75" customHeight="1">
      <c r="A106" s="1900" t="s">
        <v>2065</v>
      </c>
      <c r="B106" s="1900"/>
      <c r="C106" s="1900"/>
      <c r="D106" s="1900"/>
      <c r="E106" s="1982" t="s">
        <v>2066</v>
      </c>
      <c r="F106" s="1819"/>
      <c r="G106" s="1981" t="s">
        <v>2061</v>
      </c>
      <c r="H106" s="2789">
        <f>C38</f>
        <v>0</v>
      </c>
      <c r="I106" s="134"/>
    </row>
    <row r="107" spans="1:35" ht="18.75" customHeight="1">
      <c r="A107" s="134"/>
      <c r="B107" s="134"/>
      <c r="C107" s="134"/>
      <c r="D107" s="134"/>
      <c r="E107" s="3442" t="str">
        <f>IF(项目基本情况!E8="已注销","——","3.房地产抵押价值")</f>
        <v>3.房地产抵押价值</v>
      </c>
      <c r="F107" s="3443"/>
      <c r="G107" s="1980" t="s">
        <v>2057</v>
      </c>
      <c r="H107" s="2787">
        <f ca="1">IF(E107="——","——",H101-H103)</f>
        <v>385624</v>
      </c>
      <c r="I107" s="134"/>
    </row>
    <row r="108" spans="1:35" ht="18.75" customHeight="1">
      <c r="A108" s="134"/>
      <c r="B108" s="134"/>
      <c r="C108" s="134"/>
      <c r="D108" s="134"/>
      <c r="E108" s="3442"/>
      <c r="F108" s="3443"/>
      <c r="G108" s="1980" t="s">
        <v>2059</v>
      </c>
      <c r="H108" s="2747">
        <f ca="1">ROUND(H107*10000/'数据-汇总表'!E3,0)</f>
        <v>54935</v>
      </c>
      <c r="I108" s="134"/>
    </row>
    <row r="109" spans="1:35" ht="18.75" customHeight="1">
      <c r="A109" s="134"/>
      <c r="B109" s="134"/>
      <c r="C109" s="134"/>
      <c r="D109" s="134"/>
      <c r="E109" s="3442" t="str">
        <f>IF(项目基本情况!E8="已注销及未注销","4.抵押担保权已注销时的房地产抵押价值",IF(项目基本情况!E8="已注销","3.抵押担保权已注销时的房地产抵押价值","——"))</f>
        <v>——</v>
      </c>
      <c r="F109" s="3443"/>
      <c r="G109" s="1980" t="s">
        <v>2057</v>
      </c>
      <c r="H109" s="2790" t="str">
        <f>IF(E109="——","——",H101-H105-H106)</f>
        <v>——</v>
      </c>
      <c r="I109" s="134"/>
    </row>
    <row r="110" spans="1:35" ht="18.75" customHeight="1">
      <c r="A110" s="134"/>
      <c r="B110" s="134"/>
      <c r="C110" s="134"/>
      <c r="D110" s="134"/>
      <c r="E110" s="3442"/>
      <c r="F110" s="3443"/>
      <c r="G110" s="1980" t="s">
        <v>2059</v>
      </c>
      <c r="H110" s="2747" t="str">
        <f>IF(H109="——","——",ROUND(H109*10000/'数据-汇总表'!E3,0))</f>
        <v>——</v>
      </c>
      <c r="I110" s="134"/>
    </row>
    <row r="111" spans="1:35" ht="18.75" customHeight="1">
      <c r="A111" s="134"/>
      <c r="B111" s="134"/>
      <c r="C111" s="134"/>
      <c r="D111" s="134"/>
      <c r="E111" s="3477" t="str">
        <f>IF(项目基本情况!E9="抵押净值",IF(OR(项目基本情况!E8="已注销",项目基本情况!E8="房地产抵押价值"),"4.抵押净值","5.抵押净值"),"——")</f>
        <v>4.抵押净值</v>
      </c>
      <c r="F111" s="3444"/>
      <c r="G111" s="1980" t="s">
        <v>2057</v>
      </c>
      <c r="H111" s="2787">
        <f ca="1">IF(E111="——","——",N59)</f>
        <v>351633</v>
      </c>
      <c r="I111" s="134"/>
    </row>
    <row r="112" spans="1:35" ht="18.75" customHeight="1" thickBot="1">
      <c r="A112" s="134"/>
      <c r="B112" s="134"/>
      <c r="C112" s="134"/>
      <c r="D112" s="134"/>
      <c r="E112" s="3478"/>
      <c r="F112" s="3479"/>
      <c r="G112" s="1983" t="s">
        <v>2059</v>
      </c>
      <c r="H112" s="2791">
        <f ca="1">IF(E111="——","——",N61)</f>
        <v>50093</v>
      </c>
      <c r="I112" s="134"/>
    </row>
    <row r="113" spans="1:27" ht="18.75" customHeight="1">
      <c r="A113" s="134"/>
      <c r="B113" s="134"/>
      <c r="C113" s="134"/>
      <c r="D113" s="134"/>
      <c r="E113" s="3447" t="s">
        <v>2065</v>
      </c>
      <c r="F113" s="3447"/>
      <c r="G113" s="3447"/>
      <c r="H113" s="3447"/>
      <c r="I113" s="134"/>
    </row>
    <row r="114" spans="1:27" ht="3.75" customHeight="1">
      <c r="A114" s="1900"/>
      <c r="B114" s="1900"/>
      <c r="C114" s="1900"/>
      <c r="D114" s="1900"/>
      <c r="E114" s="1962"/>
      <c r="F114" s="1962"/>
      <c r="G114" s="1962"/>
      <c r="H114" s="1962"/>
      <c r="I114" s="1900"/>
    </row>
    <row r="115" spans="1:27" ht="18.75" customHeight="1">
      <c r="A115" s="3460" t="s">
        <v>2067</v>
      </c>
      <c r="B115" s="3461"/>
      <c r="C115" s="3461"/>
      <c r="D115" s="3461"/>
      <c r="E115" s="3461"/>
      <c r="F115" s="3461"/>
      <c r="G115" s="3461"/>
      <c r="H115" s="3461"/>
      <c r="I115" s="3462"/>
    </row>
    <row r="116" spans="1:27" ht="27" customHeight="1">
      <c r="A116" s="3413" t="s">
        <v>2068</v>
      </c>
      <c r="B116" s="3448" t="s">
        <v>2069</v>
      </c>
      <c r="C116" s="3448" t="s">
        <v>2070</v>
      </c>
      <c r="D116" s="3464" t="s">
        <v>2071</v>
      </c>
      <c r="E116" s="3465"/>
      <c r="F116" s="3456" t="s">
        <v>2072</v>
      </c>
      <c r="G116" s="3456"/>
      <c r="H116" s="3413" t="s">
        <v>2073</v>
      </c>
      <c r="I116" s="3413"/>
    </row>
    <row r="117" spans="1:27" ht="18.75" customHeight="1">
      <c r="A117" s="3413"/>
      <c r="B117" s="3449"/>
      <c r="C117" s="3449"/>
      <c r="D117" s="3232" t="s">
        <v>2074</v>
      </c>
      <c r="E117" s="3232" t="s">
        <v>2075</v>
      </c>
      <c r="F117" s="3232" t="s">
        <v>2074</v>
      </c>
      <c r="G117" s="3232" t="s">
        <v>2076</v>
      </c>
      <c r="H117" s="3232" t="s">
        <v>2074</v>
      </c>
      <c r="I117" s="3232" t="s">
        <v>2076</v>
      </c>
    </row>
    <row r="118" spans="1:27" ht="24.75" customHeight="1">
      <c r="A118" s="2792" t="str">
        <f>项目基本情况!S2</f>
        <v>北京市房地产</v>
      </c>
      <c r="B118" s="3232">
        <f>M18</f>
        <v>70196.47</v>
      </c>
      <c r="C118" s="3232">
        <f>M19</f>
        <v>9552.52</v>
      </c>
      <c r="D118" s="3232">
        <f>ROUND(IF(D32="总价",C34,E118*B118/10000),0)</f>
        <v>0</v>
      </c>
      <c r="E118" s="3232">
        <f>ROUND(IF(C33="自定义",IF(D32="楼面单价",C34,D118*10000/B118),I118-G118),0)</f>
        <v>0</v>
      </c>
      <c r="F118" s="3232">
        <f>ROUND(IF(D32="总价",C35,G118*B118/10000),0)</f>
        <v>0</v>
      </c>
      <c r="G118" s="3232">
        <f>ROUND(IF(D32="楼面单价",C35,F118*10000/B118),0)</f>
        <v>0</v>
      </c>
      <c r="H118" s="3232">
        <f ca="1">ROUND(IF(D32="总价",C32,I118*B118/10000),0)</f>
        <v>385624</v>
      </c>
      <c r="I118" s="3232">
        <f ca="1">ROUND(IF(D32="楼面单价",C32,H118*10000/B118),0)</f>
        <v>54935</v>
      </c>
    </row>
    <row r="119" spans="1:27" ht="18.75" customHeight="1">
      <c r="A119" s="3413" t="s">
        <v>2077</v>
      </c>
      <c r="B119" s="3413"/>
      <c r="C119" s="3413"/>
      <c r="D119" s="3453" t="str">
        <f>NUMBERSTRING(INT(D118*10000),2)&amp;"元整"</f>
        <v>零元整</v>
      </c>
      <c r="E119" s="3455"/>
      <c r="F119" s="3453" t="str">
        <f>NUMBERSTRING(INT(F118*10000),2)&amp;"元整"</f>
        <v>零元整</v>
      </c>
      <c r="G119" s="3455"/>
      <c r="H119" s="3453" t="str">
        <f ca="1">NUMBERSTRING(INT(H118*10000),2)&amp;"元整"</f>
        <v>叁拾捌亿伍仟陆佰贰拾肆万元整</v>
      </c>
      <c r="I119" s="3455"/>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7" t="s">
        <v>2077</v>
      </c>
      <c r="B121" s="3458"/>
      <c r="C121" s="3459"/>
      <c r="D121" s="3453" t="str">
        <f>IF(D120=0,"零元整",NUMBERSTRING(INT(D120*10000),2)&amp;"元整")</f>
        <v>零元整</v>
      </c>
      <c r="E121" s="3454"/>
      <c r="F121" s="3454"/>
      <c r="G121" s="3454"/>
      <c r="H121" s="3454"/>
      <c r="I121" s="3455"/>
      <c r="AA121" s="734"/>
    </row>
    <row r="122" spans="1:27" ht="18.75" customHeight="1">
      <c r="A122" s="3444" t="str">
        <f>IF(项目基本情况!B9="房地产市场价值","",MID(E107,3,LEN(E107)-2))</f>
        <v>房地产抵押价值</v>
      </c>
      <c r="B122" s="3444"/>
      <c r="C122" s="3444"/>
      <c r="D122" s="3480">
        <f ca="1">H107</f>
        <v>385624</v>
      </c>
      <c r="E122" s="3481"/>
      <c r="F122" s="3481"/>
      <c r="G122" s="3481"/>
      <c r="H122" s="3481"/>
      <c r="I122" s="3482"/>
      <c r="AA122" s="734"/>
    </row>
    <row r="123" spans="1:27" ht="18.75" customHeight="1">
      <c r="A123" s="3413" t="s">
        <v>2077</v>
      </c>
      <c r="B123" s="3413"/>
      <c r="C123" s="3413"/>
      <c r="D123" s="3453" t="str">
        <f ca="1">NUMBERSTRING(INT(D122*10000),2)&amp;"元整"</f>
        <v>叁拾捌亿伍仟陆佰贰拾肆万元整</v>
      </c>
      <c r="E123" s="3454"/>
      <c r="F123" s="3454"/>
      <c r="G123" s="3454"/>
      <c r="H123" s="3454"/>
      <c r="I123" s="3455"/>
      <c r="AA123" s="734"/>
    </row>
    <row r="124" spans="1:27" ht="18.75" customHeight="1">
      <c r="A124" s="3444" t="str">
        <f>IF(项目基本情况!B9="房地产市场价值","",MID(E109,3,LEN(E109)-2))</f>
        <v/>
      </c>
      <c r="B124" s="3444"/>
      <c r="C124" s="3444"/>
      <c r="D124" s="3480" t="str">
        <f>H109</f>
        <v>——</v>
      </c>
      <c r="E124" s="3481"/>
      <c r="F124" s="3481"/>
      <c r="G124" s="3481"/>
      <c r="H124" s="3481"/>
      <c r="I124" s="3482"/>
      <c r="AA124" s="734"/>
    </row>
    <row r="125" spans="1:27" ht="18.75" customHeight="1">
      <c r="A125" s="3413" t="s">
        <v>2077</v>
      </c>
      <c r="B125" s="3413"/>
      <c r="C125" s="3413"/>
      <c r="D125" s="3453" t="e">
        <f>NUMBERSTRING(INT(D124*10000),2)&amp;"元整"</f>
        <v>#VALUE!</v>
      </c>
      <c r="E125" s="3454"/>
      <c r="F125" s="3454"/>
      <c r="G125" s="3454"/>
      <c r="H125" s="3454"/>
      <c r="I125" s="3455"/>
      <c r="AA125" s="734"/>
    </row>
    <row r="126" spans="1:27" ht="18.75" customHeight="1">
      <c r="A126" s="3444" t="str">
        <f>IF(项目基本情况!B9="房地产市场价值","",MID(E111,3,LEN(E111)-2))</f>
        <v>抵押净值</v>
      </c>
      <c r="B126" s="3444"/>
      <c r="C126" s="3444"/>
      <c r="D126" s="3480">
        <f ca="1">H111</f>
        <v>351633</v>
      </c>
      <c r="E126" s="3481"/>
      <c r="F126" s="3481"/>
      <c r="G126" s="3481"/>
      <c r="H126" s="3481"/>
      <c r="I126" s="3482"/>
      <c r="AA126" s="734"/>
    </row>
    <row r="127" spans="1:27" ht="18.75" customHeight="1">
      <c r="A127" s="3413" t="s">
        <v>2077</v>
      </c>
      <c r="B127" s="3413"/>
      <c r="C127" s="3413"/>
      <c r="D127" s="3453" t="str">
        <f ca="1">NUMBERSTRING(INT(D126*10000),2)&amp;"元整"</f>
        <v>叁拾伍亿壹仟陆佰叁拾叁万元整</v>
      </c>
      <c r="E127" s="3454"/>
      <c r="F127" s="3454"/>
      <c r="G127" s="3454"/>
      <c r="H127" s="3454"/>
      <c r="I127" s="3455"/>
      <c r="AA127" s="734"/>
    </row>
    <row r="128" spans="1:27" ht="21.75" customHeight="1">
      <c r="A128" s="3463" t="s">
        <v>2078</v>
      </c>
      <c r="B128" s="3463"/>
      <c r="C128" s="3463"/>
      <c r="D128" s="3463"/>
      <c r="E128" s="3463"/>
      <c r="F128" s="3463"/>
      <c r="G128" s="3463"/>
      <c r="H128" s="3463"/>
      <c r="I128" s="3463"/>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algorithmName="SHA-512" hashValue="omvjr4fJvKwsZPnrz9HQKkJ1k3R748xQGl6neY2YZ5MR3xbpX34/zVomRHGVx6nJB6tHE2BeVFatCqM/gWqQOg==" saltValue="JlP5i5CG8/24KUcSW3SitA=="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27" priority="10" stopIfTrue="1" operator="equal">
      <formula>25</formula>
    </cfRule>
  </conditionalFormatting>
  <conditionalFormatting sqref="C8:C9">
    <cfRule type="cellIs" dxfId="26" priority="9" stopIfTrue="1" operator="equal">
      <formula>15</formula>
    </cfRule>
  </conditionalFormatting>
  <conditionalFormatting sqref="C14:C16">
    <cfRule type="cellIs" dxfId="25" priority="8" stopIfTrue="1" operator="equal">
      <formula>30</formula>
    </cfRule>
  </conditionalFormatting>
  <conditionalFormatting sqref="D5:D7">
    <cfRule type="cellIs" dxfId="24" priority="7" stopIfTrue="1" operator="equal">
      <formula>25</formula>
    </cfRule>
  </conditionalFormatting>
  <conditionalFormatting sqref="D8:D9">
    <cfRule type="cellIs" dxfId="23" priority="6" stopIfTrue="1" operator="equal">
      <formula>15</formula>
    </cfRule>
  </conditionalFormatting>
  <conditionalFormatting sqref="C10:D13">
    <cfRule type="cellIs" dxfId="22" priority="5" stopIfTrue="1" operator="equal">
      <formula>15</formula>
    </cfRule>
  </conditionalFormatting>
  <conditionalFormatting sqref="D14:D16">
    <cfRule type="cellIs" dxfId="21" priority="4" stopIfTrue="1" operator="equal">
      <formula>30</formula>
    </cfRule>
  </conditionalFormatting>
  <conditionalFormatting sqref="C90">
    <cfRule type="expression" dxfId="20" priority="3" stopIfTrue="1">
      <formula>$H$88&lt;&gt;"仅含出让金"</formula>
    </cfRule>
  </conditionalFormatting>
  <conditionalFormatting sqref="C91">
    <cfRule type="expression" dxfId="19" priority="2" stopIfTrue="1">
      <formula>$H$91="由企业提供"</formula>
    </cfRule>
  </conditionalFormatting>
  <conditionalFormatting sqref="E36">
    <cfRule type="expression" dxfId="18" priority="1" stopIfTrue="1">
      <formula>$D$36="同一抵押权人同一抵押物续贷"</formula>
    </cfRule>
  </conditionalFormatting>
  <dataValidations count="23">
    <dataValidation type="list" allowBlank="1" showInputMessage="1" showErrorMessage="1" sqref="D92" xr:uid="{00000000-0002-0000-3400-000000000000}">
      <formula1>"0,5%,10%"</formula1>
    </dataValidation>
    <dataValidation type="list" allowBlank="1" showInputMessage="1" showErrorMessage="1" sqref="H59" xr:uid="{00000000-0002-0000-3400-000001000000}">
      <formula1>"非个人房产,个人住宅（满五唯一有凭证）,个人其他（有凭证）,个人其他（无凭证）"</formula1>
    </dataValidation>
    <dataValidation type="list" allowBlank="1" showInputMessage="1" showErrorMessage="1" sqref="E103" xr:uid="{00000000-0002-0000-3400-000002000000}">
      <formula1>"2.估价师知悉的法定优先受偿款,2.估价师知悉的除抵押担保权以外的法定优先受偿款"</formula1>
    </dataValidation>
    <dataValidation type="list" allowBlank="1" showInputMessage="1" showErrorMessage="1" sqref="G77" xr:uid="{00000000-0002-0000-3400-000003000000}">
      <formula1>"个人住宅,2016年5月1日前购买,2016年5月1日后购买"</formula1>
    </dataValidation>
    <dataValidation type="list" allowBlank="1" showInputMessage="1" showErrorMessage="1" sqref="C1" xr:uid="{00000000-0002-0000-3400-000004000000}">
      <formula1>项目类型</formula1>
    </dataValidation>
    <dataValidation type="list" allowBlank="1" showInputMessage="1" showErrorMessage="1" sqref="I1" xr:uid="{00000000-0002-0000-3400-000005000000}">
      <formula1>"项目局部,项目全部,——"</formula1>
    </dataValidation>
    <dataValidation type="list" showInputMessage="1" showErrorMessage="1" sqref="G1" xr:uid="{00000000-0002-0000-3400-000006000000}">
      <formula1>"现房,在建,土地,-"</formula1>
    </dataValidation>
    <dataValidation type="list" allowBlank="1" showInputMessage="1" showErrorMessage="1" sqref="C129" xr:uid="{00000000-0002-0000-3400-000007000000}">
      <formula1>"无,有"</formula1>
    </dataValidation>
    <dataValidation type="list" allowBlank="1" showInputMessage="1" showErrorMessage="1" sqref="F116:G116" xr:uid="{00000000-0002-0000-3400-000008000000}">
      <formula1>"建筑物价值,在建建筑物价值,建筑物/在建建筑物价值"</formula1>
    </dataValidation>
    <dataValidation type="list" allowBlank="1" showInputMessage="1" showErrorMessage="1" sqref="D116:E116" xr:uid="{00000000-0002-0000-3400-000009000000}">
      <formula1>"出让国有建设用地使用权价值,划拨国有建设用地使用权价值"</formula1>
    </dataValidation>
    <dataValidation type="list" allowBlank="1" showInputMessage="1" showErrorMessage="1" sqref="C116:C117" xr:uid="{00000000-0002-0000-3400-00000A000000}">
      <formula1>"土地面积,分摊土地面积,（分摊）土地面积"</formula1>
    </dataValidation>
    <dataValidation type="list" allowBlank="1" showInputMessage="1" showErrorMessage="1" sqref="B116:B117" xr:uid="{00000000-0002-0000-3400-00000B000000}">
      <formula1>"建筑面积,规划建筑面积,（规划）建筑面积"</formula1>
    </dataValidation>
    <dataValidation type="list" allowBlank="1" showInputMessage="1" showErrorMessage="1" sqref="D36" xr:uid="{00000000-0002-0000-3400-00000C000000}">
      <formula1>"同一抵押权人同一抵押物续贷,注销后放款,正常操作"</formula1>
    </dataValidation>
    <dataValidation type="list" allowBlank="1" showInputMessage="1" showErrorMessage="1" sqref="F75" xr:uid="{00000000-0002-0000-3400-00000D000000}">
      <formula1>"买卖合同,购房发票"</formula1>
    </dataValidation>
    <dataValidation type="list" allowBlank="1" showInputMessage="1" showErrorMessage="1" sqref="H88" xr:uid="{00000000-0002-0000-3400-00000E000000}">
      <formula1>"仅含出让金,出让金+开发费"</formula1>
    </dataValidation>
    <dataValidation type="list" allowBlank="1" showInputMessage="1" showErrorMessage="1" sqref="H91" xr:uid="{00000000-0002-0000-3400-00000F000000}">
      <formula1>"企业提供（在右侧录入）,——"</formula1>
    </dataValidation>
    <dataValidation type="list" allowBlank="1" showInputMessage="1" showErrorMessage="1" sqref="C33" xr:uid="{00000000-0002-0000-3400-000010000000}">
      <formula1>"成本比率,收益比率,自定义"</formula1>
    </dataValidation>
    <dataValidation type="list" allowBlank="1" showInputMessage="1" showErrorMessage="1" sqref="F45" xr:uid="{00000000-0002-0000-3400-000011000000}">
      <formula1>"100%,70%,56%"</formula1>
    </dataValidation>
    <dataValidation type="list" allowBlank="1" showInputMessage="1" showErrorMessage="1" sqref="D32" xr:uid="{00000000-0002-0000-3400-000012000000}">
      <formula1>"总价,楼面单价"</formula1>
    </dataValidation>
    <dataValidation type="list" allowBlank="1" showInputMessage="1" showErrorMessage="1" sqref="H58" xr:uid="{00000000-0002-0000-3400-000013000000}">
      <formula1>"转让取得,自行开发建设"</formula1>
    </dataValidation>
    <dataValidation type="list" allowBlank="1" showInputMessage="1" showErrorMessage="1" sqref="H48" xr:uid="{00000000-0002-0000-3400-000014000000}">
      <formula1>"情况1,情况2,情况3,情况4"</formula1>
    </dataValidation>
    <dataValidation type="list" allowBlank="1" showInputMessage="1" showErrorMessage="1" sqref="H55:H56" xr:uid="{00000000-0002-0000-3400-000015000000}">
      <formula1>"个人住宅,正常"</formula1>
    </dataValidation>
    <dataValidation type="list" allowBlank="1" showInputMessage="1" showErrorMessage="1" sqref="C4:D4 D33" xr:uid="{00000000-0002-0000-34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5">
    <tabColor rgb="FF92D050"/>
    <pageSetUpPr fitToPage="1"/>
  </sheetPr>
  <dimension ref="A1:AD132"/>
  <sheetViews>
    <sheetView view="pageBreakPreview" zoomScale="80" zoomScaleNormal="60" zoomScaleSheetLayoutView="80" workbookViewId="0">
      <selection activeCell="G79" sqref="G7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7.5" style="363" bestFit="1" customWidth="1"/>
    <col min="6" max="6" width="12.25" style="363" customWidth="1"/>
    <col min="7" max="7" width="17.125" style="363" bestFit="1" customWidth="1"/>
    <col min="8" max="8" width="12.25" style="363" customWidth="1"/>
    <col min="9" max="9" width="17.125" style="363" bestFit="1"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f>F66</f>
        <v>153361</v>
      </c>
      <c r="C2" s="1037"/>
      <c r="D2" s="1037"/>
      <c r="E2" s="1038"/>
      <c r="F2" s="1039"/>
      <c r="G2" s="1038"/>
      <c r="H2" s="1038"/>
      <c r="I2" s="1038"/>
      <c r="J2" s="1038"/>
      <c r="K2" s="1040"/>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f>ROUND(IF(D3="",B2*10000/'数据-汇总表'!E3,B2*10000/D3),0)</f>
        <v>21847</v>
      </c>
      <c r="C3" s="209" t="s">
        <v>2506</v>
      </c>
      <c r="D3" s="1325"/>
      <c r="E3" s="1038"/>
      <c r="F3" s="1039"/>
      <c r="G3" s="1038"/>
      <c r="H3" s="1038"/>
      <c r="I3" s="1038"/>
      <c r="J3" s="1038"/>
      <c r="K3" s="1040"/>
      <c r="L3" s="2929"/>
      <c r="M3" s="2930"/>
      <c r="N3" s="2930"/>
      <c r="O3" s="2930"/>
      <c r="P3" s="708"/>
      <c r="Q3" s="708"/>
      <c r="R3" s="708"/>
      <c r="S3" s="708"/>
      <c r="T3" s="708"/>
      <c r="U3" s="708"/>
      <c r="V3" s="708"/>
      <c r="W3" s="708"/>
      <c r="X3" s="708"/>
      <c r="Y3" s="708"/>
      <c r="Z3" s="708"/>
      <c r="AA3" s="708"/>
      <c r="AB3" s="725"/>
      <c r="AC3" s="722"/>
    </row>
    <row r="4" spans="1:30" ht="15">
      <c r="A4" s="361" t="s">
        <v>2405</v>
      </c>
      <c r="B4" s="362"/>
      <c r="C4" s="3517" t="s">
        <v>2406</v>
      </c>
      <c r="D4" s="3518"/>
      <c r="E4" s="3519" t="s">
        <v>2407</v>
      </c>
      <c r="F4" s="3520"/>
      <c r="G4" s="3517" t="s">
        <v>2408</v>
      </c>
      <c r="H4" s="3518"/>
      <c r="I4" s="3517" t="s">
        <v>2409</v>
      </c>
      <c r="J4" s="3518"/>
      <c r="K4" s="567" t="s">
        <v>2410</v>
      </c>
      <c r="L4" s="2910"/>
      <c r="M4" s="2911"/>
      <c r="N4" s="2911"/>
      <c r="O4" s="2911"/>
      <c r="P4" s="3587" t="s">
        <v>2411</v>
      </c>
      <c r="Q4" s="3588"/>
      <c r="R4" s="3591" t="s">
        <v>2407</v>
      </c>
      <c r="S4" s="3592"/>
      <c r="T4" s="3591" t="s">
        <v>2408</v>
      </c>
      <c r="U4" s="3592"/>
      <c r="V4" s="3534" t="s">
        <v>2409</v>
      </c>
      <c r="W4" s="3534"/>
      <c r="X4" s="1507"/>
      <c r="Y4" s="3591" t="s">
        <v>2411</v>
      </c>
      <c r="Z4" s="3592"/>
      <c r="AA4" s="3586" t="s">
        <v>2407</v>
      </c>
      <c r="AB4" s="3547" t="s">
        <v>2408</v>
      </c>
      <c r="AC4" s="3586" t="s">
        <v>2409</v>
      </c>
    </row>
    <row r="5" spans="1:30" ht="15">
      <c r="A5" s="364"/>
      <c r="B5" s="365"/>
      <c r="C5" s="3543" t="s">
        <v>2302</v>
      </c>
      <c r="D5" s="3538"/>
      <c r="E5" s="3593" t="str">
        <f>土地案例!A2</f>
        <v xml:space="preserve">北京市海淀区西北旺镇永丰产业基地(新)HD00-0403-024地块F3其他类多功能用地   </v>
      </c>
      <c r="F5" s="3550"/>
      <c r="G5" s="3543" t="str">
        <f>土地案例!A3</f>
        <v xml:space="preserve">北京市海淀区西北旺镇永丰产业基地(新)HD00-0403-011地块F3其他类多功能用地   </v>
      </c>
      <c r="H5" s="3538"/>
      <c r="I5" s="3543" t="str">
        <f>土地案例!A4</f>
        <v xml:space="preserve">北京市东城区广渠门外大街马圈土地一级开发项目0407-001地块F3其他类多功能用地   </v>
      </c>
      <c r="J5" s="3538"/>
      <c r="K5" s="567"/>
      <c r="L5" s="2910"/>
      <c r="M5" s="2911"/>
      <c r="N5" s="2911"/>
      <c r="O5" s="2911"/>
      <c r="P5" s="3589"/>
      <c r="Q5" s="3524"/>
      <c r="R5" s="3529"/>
      <c r="S5" s="3530"/>
      <c r="T5" s="3529"/>
      <c r="U5" s="3530"/>
      <c r="V5" s="3534"/>
      <c r="W5" s="3534"/>
      <c r="X5" s="1507"/>
      <c r="Y5" s="3529"/>
      <c r="Z5" s="3530"/>
      <c r="AA5" s="3547"/>
      <c r="AB5" s="3547"/>
      <c r="AC5" s="3547"/>
    </row>
    <row r="6" spans="1:30" ht="15.75" thickBot="1">
      <c r="A6" s="366"/>
      <c r="B6" s="367"/>
      <c r="C6" s="3535" t="s">
        <v>2306</v>
      </c>
      <c r="D6" s="3536"/>
      <c r="E6" s="3544" t="s">
        <v>2306</v>
      </c>
      <c r="F6" s="3545"/>
      <c r="G6" s="3535" t="s">
        <v>2306</v>
      </c>
      <c r="H6" s="3536"/>
      <c r="I6" s="3535" t="s">
        <v>2306</v>
      </c>
      <c r="J6" s="3536"/>
      <c r="K6" s="567" t="s">
        <v>2307</v>
      </c>
      <c r="L6" s="2910"/>
      <c r="M6" s="2911"/>
      <c r="N6" s="2911"/>
      <c r="O6" s="2911"/>
      <c r="P6" s="3590"/>
      <c r="Q6" s="3526"/>
      <c r="R6" s="3529"/>
      <c r="S6" s="3530"/>
      <c r="T6" s="3531"/>
      <c r="U6" s="3532"/>
      <c r="V6" s="3534"/>
      <c r="W6" s="3534"/>
      <c r="X6" s="1507"/>
      <c r="Y6" s="3531"/>
      <c r="Z6" s="3532"/>
      <c r="AA6" s="3548"/>
      <c r="AB6" s="3548"/>
      <c r="AC6" s="3548"/>
    </row>
    <row r="7" spans="1:30" s="113" customFormat="1" ht="15.75" thickBot="1">
      <c r="A7" s="368" t="s">
        <v>2308</v>
      </c>
      <c r="B7" s="369"/>
      <c r="C7" s="370">
        <f>'数据-取费表'!B2</f>
        <v>44665</v>
      </c>
      <c r="D7" s="371">
        <v>100</v>
      </c>
      <c r="E7" s="372">
        <f>土地案例!K2</f>
        <v>44495.000497685185</v>
      </c>
      <c r="F7" s="373">
        <f>SUMIF(70:70,YEAR(E7)&amp;"-"&amp;INT((MONTH(E7)+2)/3),71:71)</f>
        <v>98</v>
      </c>
      <c r="G7" s="2127">
        <f>土地案例!K3</f>
        <v>44495.000497685185</v>
      </c>
      <c r="H7" s="371">
        <f>SUMIF(70:70,YEAR(G7)&amp;"-"&amp;INT((MONTH(G7)+2)/3),71:71)</f>
        <v>98</v>
      </c>
      <c r="I7" s="2127">
        <f>土地案例!K4</f>
        <v>44495.000497685185</v>
      </c>
      <c r="J7" s="371">
        <f>SUMIF(70:70,YEAR(I7)&amp;"-"&amp;INT((MONTH(I7)+2)/3),71:71)</f>
        <v>98</v>
      </c>
      <c r="K7" s="568"/>
      <c r="L7" s="2912"/>
      <c r="M7" s="2913"/>
      <c r="N7" s="2913"/>
      <c r="O7" s="2913"/>
      <c r="P7" s="3541" t="s">
        <v>2309</v>
      </c>
      <c r="Q7" s="3542"/>
      <c r="R7" s="710" t="s">
        <v>17</v>
      </c>
      <c r="S7" s="711">
        <f t="shared" ref="S7:S15" si="0">F7</f>
        <v>98</v>
      </c>
      <c r="T7" s="710" t="s">
        <v>17</v>
      </c>
      <c r="U7" s="711">
        <f t="shared" ref="U7:U15" si="1">H7</f>
        <v>98</v>
      </c>
      <c r="V7" s="710" t="s">
        <v>17</v>
      </c>
      <c r="W7" s="711">
        <f t="shared" ref="W7:W15" si="2">J7</f>
        <v>98</v>
      </c>
      <c r="X7" s="712"/>
      <c r="Y7" s="3541" t="s">
        <v>2309</v>
      </c>
      <c r="Z7" s="3540"/>
      <c r="AA7" s="713">
        <f>D7/F7</f>
        <v>1.0204081632653061</v>
      </c>
      <c r="AB7" s="713">
        <f>D7/H7</f>
        <v>1.0204081632653061</v>
      </c>
      <c r="AC7" s="713">
        <f>D7/J7</f>
        <v>1.0204081632653061</v>
      </c>
    </row>
    <row r="8" spans="1:30" s="113" customFormat="1" ht="15.75" thickBot="1">
      <c r="A8" s="368" t="s">
        <v>2310</v>
      </c>
      <c r="B8" s="369"/>
      <c r="C8" s="374" t="s">
        <v>2311</v>
      </c>
      <c r="D8" s="371">
        <v>100</v>
      </c>
      <c r="E8" s="374" t="s">
        <v>3222</v>
      </c>
      <c r="F8" s="373">
        <f>SUMIF(73:73,E8,74:74)-SUMIF(73:73,C8,74:74)+100</f>
        <v>100</v>
      </c>
      <c r="G8" s="374" t="s">
        <v>3222</v>
      </c>
      <c r="H8" s="371">
        <f>SUMIF(73:73,G8,74:74)-SUMIF(73:73,C8,74:74)+100</f>
        <v>100</v>
      </c>
      <c r="I8" s="374" t="s">
        <v>3222</v>
      </c>
      <c r="J8" s="371">
        <f>SUMIF(73:73,I8,74:74)-SUMIF(73:73,C8,74:74)+100</f>
        <v>100</v>
      </c>
      <c r="K8" s="568"/>
      <c r="L8" s="2912"/>
      <c r="M8" s="2913"/>
      <c r="N8" s="2913"/>
      <c r="O8" s="2913"/>
      <c r="P8" s="3541" t="s">
        <v>2312</v>
      </c>
      <c r="Q8" s="3540"/>
      <c r="R8" s="710" t="s">
        <v>17</v>
      </c>
      <c r="S8" s="711">
        <f t="shared" si="0"/>
        <v>100</v>
      </c>
      <c r="T8" s="710" t="s">
        <v>17</v>
      </c>
      <c r="U8" s="711">
        <f t="shared" si="1"/>
        <v>100</v>
      </c>
      <c r="V8" s="710" t="s">
        <v>17</v>
      </c>
      <c r="W8" s="711">
        <f t="shared" si="2"/>
        <v>100</v>
      </c>
      <c r="X8" s="712"/>
      <c r="Y8" s="3541" t="s">
        <v>2312</v>
      </c>
      <c r="Z8" s="3540"/>
      <c r="AA8" s="713">
        <f t="shared" ref="AA8:AA45" si="3">D8/F8</f>
        <v>1</v>
      </c>
      <c r="AB8" s="713">
        <f t="shared" ref="AB8:AB45" si="4">D8/H8</f>
        <v>1</v>
      </c>
      <c r="AC8" s="713">
        <f t="shared" ref="AC8:AC45" si="5">D8/J8</f>
        <v>1</v>
      </c>
    </row>
    <row r="9" spans="1:30" s="113" customFormat="1" ht="15">
      <c r="A9" s="375" t="s">
        <v>2313</v>
      </c>
      <c r="B9" s="67" t="s">
        <v>2314</v>
      </c>
      <c r="C9" s="2130" t="s">
        <v>3301</v>
      </c>
      <c r="D9" s="131">
        <v>100</v>
      </c>
      <c r="E9" s="2130" t="s">
        <v>3328</v>
      </c>
      <c r="F9" s="131">
        <f>SUMIF(75:75,E9,76:76)-SUMIF(75:75,C9,76:76)+100</f>
        <v>95</v>
      </c>
      <c r="G9" s="2130" t="s">
        <v>3328</v>
      </c>
      <c r="H9" s="131">
        <f>SUMIF(75:75,G9,76:76)-SUMIF(75:75,C9,76:76)+100</f>
        <v>95</v>
      </c>
      <c r="I9" s="2130" t="s">
        <v>3328</v>
      </c>
      <c r="J9" s="131">
        <f>SUMIF(75:75,I9,76:76)-SUMIF(75:75,C9,76:76)+100</f>
        <v>95</v>
      </c>
      <c r="K9" s="568"/>
      <c r="L9" s="2912"/>
      <c r="M9" s="2913"/>
      <c r="N9" s="2913"/>
      <c r="O9" s="2967"/>
      <c r="P9" s="3500" t="s">
        <v>2315</v>
      </c>
      <c r="Q9" s="1495" t="str">
        <f t="shared" ref="Q9:Q15" si="6">B9</f>
        <v>用途</v>
      </c>
      <c r="R9" s="710" t="s">
        <v>17</v>
      </c>
      <c r="S9" s="711">
        <f t="shared" si="0"/>
        <v>95</v>
      </c>
      <c r="T9" s="710" t="s">
        <v>17</v>
      </c>
      <c r="U9" s="711">
        <f t="shared" si="1"/>
        <v>95</v>
      </c>
      <c r="V9" s="710" t="s">
        <v>17</v>
      </c>
      <c r="W9" s="711">
        <f t="shared" si="2"/>
        <v>95</v>
      </c>
      <c r="X9" s="712"/>
      <c r="Y9" s="3400" t="s">
        <v>2316</v>
      </c>
      <c r="Z9" s="55" t="str">
        <f t="shared" ref="Z9:Z15" si="7">Q9</f>
        <v>用途</v>
      </c>
      <c r="AA9" s="713">
        <f t="shared" si="3"/>
        <v>1.0526315789473684</v>
      </c>
      <c r="AB9" s="713">
        <f t="shared" si="4"/>
        <v>1.0526315789473684</v>
      </c>
      <c r="AC9" s="713">
        <f t="shared" si="5"/>
        <v>1.0526315789473684</v>
      </c>
    </row>
    <row r="10" spans="1:30" s="386" customFormat="1" ht="27">
      <c r="A10" s="380"/>
      <c r="B10" s="381" t="s">
        <v>2317</v>
      </c>
      <c r="C10" s="391"/>
      <c r="D10" s="132">
        <v>100</v>
      </c>
      <c r="E10" s="424"/>
      <c r="F10" s="132">
        <f>ROUND(100/'数据-取费表'!G16,0)</f>
        <v>111</v>
      </c>
      <c r="G10" s="422"/>
      <c r="H10" s="132">
        <f>ROUND(100/'数据-取费表'!G16,0)</f>
        <v>111</v>
      </c>
      <c r="I10" s="422"/>
      <c r="J10" s="132">
        <f>ROUND(100/'数据-取费表'!G16,0)</f>
        <v>111</v>
      </c>
      <c r="K10" s="628"/>
      <c r="L10" s="2914"/>
      <c r="M10" s="2915"/>
      <c r="N10" s="2915"/>
      <c r="O10" s="2968"/>
      <c r="P10" s="3500"/>
      <c r="Q10" s="1495" t="str">
        <f t="shared" si="6"/>
        <v>土地使用年限（年）</v>
      </c>
      <c r="R10" s="710" t="s">
        <v>17</v>
      </c>
      <c r="S10" s="711">
        <f t="shared" si="0"/>
        <v>111</v>
      </c>
      <c r="T10" s="710" t="s">
        <v>17</v>
      </c>
      <c r="U10" s="711">
        <f t="shared" si="1"/>
        <v>111</v>
      </c>
      <c r="V10" s="710" t="s">
        <v>17</v>
      </c>
      <c r="W10" s="711">
        <f t="shared" si="2"/>
        <v>111</v>
      </c>
      <c r="X10" s="712"/>
      <c r="Y10" s="3400"/>
      <c r="Z10" s="55" t="str">
        <f t="shared" si="7"/>
        <v>土地使用年限（年）</v>
      </c>
      <c r="AA10" s="713">
        <f t="shared" si="3"/>
        <v>0.90090090090090091</v>
      </c>
      <c r="AB10" s="713">
        <f t="shared" si="4"/>
        <v>0.90090090090090091</v>
      </c>
      <c r="AC10" s="713">
        <f t="shared" si="5"/>
        <v>0.90090090090090091</v>
      </c>
    </row>
    <row r="11" spans="1:30" ht="15">
      <c r="A11" s="387"/>
      <c r="B11" s="381" t="s">
        <v>2318</v>
      </c>
      <c r="C11" s="388">
        <f>'数据-汇总表'!I7</f>
        <v>5</v>
      </c>
      <c r="D11" s="132">
        <v>100</v>
      </c>
      <c r="E11" s="388">
        <f>土地案例!G2</f>
        <v>2.2000000000000002</v>
      </c>
      <c r="F11" s="132">
        <f>LOOKUP(E11,80:80,81:81)-LOOKUP(C11,80:80,81:81)+100</f>
        <v>106</v>
      </c>
      <c r="G11" s="389">
        <f>土地案例!G3</f>
        <v>2.2000000000000002</v>
      </c>
      <c r="H11" s="132">
        <f>LOOKUP(G11,80:80,81:81)-LOOKUP(C11,80:80,81:81)+100</f>
        <v>106</v>
      </c>
      <c r="I11" s="388">
        <f>土地案例!G4</f>
        <v>3.71</v>
      </c>
      <c r="J11" s="132">
        <f>LOOKUP(I11,80:80,81:81)-LOOKUP(C11,80:80,81:81)+100</f>
        <v>104</v>
      </c>
      <c r="K11" s="629">
        <v>2</v>
      </c>
      <c r="L11" s="2916"/>
      <c r="M11" s="2911"/>
      <c r="N11" s="2911"/>
      <c r="O11" s="2969"/>
      <c r="P11" s="3500"/>
      <c r="Q11" s="1495" t="str">
        <f t="shared" si="6"/>
        <v>容积率</v>
      </c>
      <c r="R11" s="710" t="s">
        <v>17</v>
      </c>
      <c r="S11" s="711">
        <f t="shared" si="0"/>
        <v>106</v>
      </c>
      <c r="T11" s="710" t="s">
        <v>17</v>
      </c>
      <c r="U11" s="711">
        <f t="shared" si="1"/>
        <v>106</v>
      </c>
      <c r="V11" s="710" t="s">
        <v>17</v>
      </c>
      <c r="W11" s="711">
        <f t="shared" si="2"/>
        <v>104</v>
      </c>
      <c r="X11" s="712"/>
      <c r="Y11" s="3400"/>
      <c r="Z11" s="55" t="str">
        <f t="shared" si="7"/>
        <v>容积率</v>
      </c>
      <c r="AA11" s="713">
        <f t="shared" si="3"/>
        <v>0.94339622641509435</v>
      </c>
      <c r="AB11" s="713">
        <f t="shared" si="4"/>
        <v>0.94339622641509435</v>
      </c>
      <c r="AC11" s="713">
        <f t="shared" si="5"/>
        <v>0.96153846153846156</v>
      </c>
    </row>
    <row r="12" spans="1:30" s="113" customFormat="1" ht="15">
      <c r="A12" s="390"/>
      <c r="B12" s="2046" t="s">
        <v>2507</v>
      </c>
      <c r="C12" s="3263"/>
      <c r="D12" s="392">
        <v>100</v>
      </c>
      <c r="E12" s="3264"/>
      <c r="F12" s="132">
        <f>SUMIF(82:82,E12,83:83)-SUMIF(82:82,C12,83:83)+100</f>
        <v>100</v>
      </c>
      <c r="G12" s="3265"/>
      <c r="H12" s="132">
        <f>SUMIF(82:82,G12,83:83)-SUMIF(82:82,C12,83:83)+100</f>
        <v>100</v>
      </c>
      <c r="I12" s="3264"/>
      <c r="J12" s="132">
        <f>SUMIF(82:82,I12,83:83)-SUMIF(82:82,C12,83:83)+100</f>
        <v>100</v>
      </c>
      <c r="K12" s="628"/>
      <c r="L12" s="2912"/>
      <c r="M12" s="2913"/>
      <c r="N12" s="2913"/>
      <c r="O12" s="2967"/>
      <c r="P12" s="3500"/>
      <c r="Q12" s="1495" t="str">
        <f t="shared" si="6"/>
        <v>配建</v>
      </c>
      <c r="R12" s="710" t="s">
        <v>17</v>
      </c>
      <c r="S12" s="711">
        <f t="shared" si="0"/>
        <v>100</v>
      </c>
      <c r="T12" s="710" t="s">
        <v>17</v>
      </c>
      <c r="U12" s="711">
        <f t="shared" si="1"/>
        <v>100</v>
      </c>
      <c r="V12" s="710" t="s">
        <v>17</v>
      </c>
      <c r="W12" s="711">
        <f t="shared" si="2"/>
        <v>100</v>
      </c>
      <c r="X12" s="712"/>
      <c r="Y12" s="3400"/>
      <c r="Z12" s="55" t="str">
        <f t="shared" si="7"/>
        <v>配建</v>
      </c>
      <c r="AA12" s="713">
        <f>D12/F12</f>
        <v>1</v>
      </c>
      <c r="AB12" s="713">
        <f>D12/H12</f>
        <v>1</v>
      </c>
      <c r="AC12" s="713">
        <f>D12/J12</f>
        <v>1</v>
      </c>
    </row>
    <row r="13" spans="1:30" ht="15">
      <c r="A13" s="387"/>
      <c r="B13" s="3266" t="s">
        <v>3308</v>
      </c>
      <c r="C13" s="3267" t="s">
        <v>3308</v>
      </c>
      <c r="D13" s="394">
        <v>100</v>
      </c>
      <c r="E13" s="3269" t="s">
        <v>3329</v>
      </c>
      <c r="F13" s="132">
        <f>SUMIF(84:84,E13,85:85)-SUMIF(84:84,C13,85:85)+100</f>
        <v>105</v>
      </c>
      <c r="G13" s="3270" t="s">
        <v>3329</v>
      </c>
      <c r="H13" s="394">
        <f>SUMIF(84:84,G13,85:85)-SUMIF(84:84,C13,85:85)+100</f>
        <v>105</v>
      </c>
      <c r="I13" s="3268" t="s">
        <v>3308</v>
      </c>
      <c r="J13" s="394">
        <f>SUMIF(84:84,I13,85:85)-SUMIF(84:84,C13,85:85)+100</f>
        <v>100</v>
      </c>
      <c r="K13" s="628"/>
      <c r="L13" s="2917"/>
      <c r="M13" s="2911"/>
      <c r="N13" s="2911"/>
      <c r="O13" s="2969"/>
      <c r="P13" s="3500"/>
      <c r="Q13" s="1495" t="str">
        <f t="shared" si="6"/>
        <v>自持</v>
      </c>
      <c r="R13" s="710" t="s">
        <v>17</v>
      </c>
      <c r="S13" s="711">
        <f t="shared" si="0"/>
        <v>105</v>
      </c>
      <c r="T13" s="710" t="s">
        <v>17</v>
      </c>
      <c r="U13" s="711">
        <f t="shared" si="1"/>
        <v>105</v>
      </c>
      <c r="V13" s="710" t="s">
        <v>17</v>
      </c>
      <c r="W13" s="711">
        <f t="shared" si="2"/>
        <v>100</v>
      </c>
      <c r="X13" s="712"/>
      <c r="Y13" s="3400"/>
      <c r="Z13" s="55" t="str">
        <f t="shared" si="7"/>
        <v>自持</v>
      </c>
      <c r="AA13" s="713">
        <f>D13/F13</f>
        <v>0.95238095238095233</v>
      </c>
      <c r="AB13" s="713">
        <f>D13/H13</f>
        <v>0.95238095238095233</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500"/>
      <c r="Q14" s="1495">
        <f t="shared" si="6"/>
        <v>111</v>
      </c>
      <c r="R14" s="710" t="s">
        <v>17</v>
      </c>
      <c r="S14" s="711">
        <f t="shared" si="0"/>
        <v>100</v>
      </c>
      <c r="T14" s="710" t="s">
        <v>17</v>
      </c>
      <c r="U14" s="711">
        <f t="shared" si="1"/>
        <v>100</v>
      </c>
      <c r="V14" s="710" t="s">
        <v>17</v>
      </c>
      <c r="W14" s="711">
        <f t="shared" si="2"/>
        <v>100</v>
      </c>
      <c r="X14" s="712"/>
      <c r="Y14" s="3400"/>
      <c r="Z14" s="55">
        <f t="shared" si="7"/>
        <v>111</v>
      </c>
      <c r="AA14" s="713">
        <f>D14/F14</f>
        <v>1</v>
      </c>
      <c r="AB14" s="713">
        <f>D14/H14</f>
        <v>1</v>
      </c>
      <c r="AC14" s="713">
        <f>D14/J14</f>
        <v>1</v>
      </c>
    </row>
    <row r="15" spans="1:30" ht="15">
      <c r="A15" s="399" t="s">
        <v>2319</v>
      </c>
      <c r="B15" s="65" t="s">
        <v>1882</v>
      </c>
      <c r="C15" s="2049">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507" t="s">
        <v>2320</v>
      </c>
      <c r="Q15" s="1504" t="str">
        <f t="shared" si="6"/>
        <v>居住社区成熟度</v>
      </c>
      <c r="R15" s="714" t="s">
        <v>17</v>
      </c>
      <c r="S15" s="715">
        <f t="shared" si="0"/>
        <v>100</v>
      </c>
      <c r="T15" s="714" t="s">
        <v>17</v>
      </c>
      <c r="U15" s="715">
        <f t="shared" si="1"/>
        <v>100</v>
      </c>
      <c r="V15" s="714" t="s">
        <v>17</v>
      </c>
      <c r="W15" s="715">
        <f t="shared" si="2"/>
        <v>100</v>
      </c>
      <c r="X15" s="1507"/>
      <c r="Y15" s="3507" t="s">
        <v>2320</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7"/>
      <c r="M16" s="2911"/>
      <c r="N16" s="2911"/>
      <c r="O16" s="2969"/>
      <c r="P16" s="3508"/>
      <c r="Q16" s="1504"/>
      <c r="R16" s="714"/>
      <c r="S16" s="715"/>
      <c r="T16" s="714"/>
      <c r="U16" s="715"/>
      <c r="V16" s="714"/>
      <c r="W16" s="715"/>
      <c r="X16" s="1507"/>
      <c r="Y16" s="3508"/>
      <c r="Z16" s="1508"/>
      <c r="AA16" s="1505">
        <v>1</v>
      </c>
      <c r="AB16" s="1505">
        <v>1</v>
      </c>
      <c r="AC16" s="1505">
        <v>1</v>
      </c>
    </row>
    <row r="17" spans="1:29" ht="15">
      <c r="A17" s="387"/>
      <c r="B17" s="410" t="s">
        <v>2413</v>
      </c>
      <c r="C17" s="2108">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508"/>
      <c r="Q17" s="1504" t="str">
        <f>B17</f>
        <v>商业繁华度</v>
      </c>
      <c r="R17" s="714" t="s">
        <v>17</v>
      </c>
      <c r="S17" s="715">
        <f>F17</f>
        <v>100</v>
      </c>
      <c r="T17" s="714" t="s">
        <v>17</v>
      </c>
      <c r="U17" s="715">
        <f>H17</f>
        <v>100</v>
      </c>
      <c r="V17" s="714" t="s">
        <v>17</v>
      </c>
      <c r="W17" s="715">
        <f>J17</f>
        <v>100</v>
      </c>
      <c r="X17" s="1507"/>
      <c r="Y17" s="3508"/>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7"/>
      <c r="M18" s="2911"/>
      <c r="N18" s="2911"/>
      <c r="O18" s="2969"/>
      <c r="P18" s="3508"/>
      <c r="Q18" s="1504"/>
      <c r="R18" s="714"/>
      <c r="S18" s="715"/>
      <c r="T18" s="714"/>
      <c r="U18" s="715"/>
      <c r="V18" s="714"/>
      <c r="W18" s="715"/>
      <c r="X18" s="1507"/>
      <c r="Y18" s="3508"/>
      <c r="Z18" s="1508"/>
      <c r="AA18" s="1505">
        <v>1</v>
      </c>
      <c r="AB18" s="1505">
        <v>1</v>
      </c>
      <c r="AC18" s="1505">
        <v>1</v>
      </c>
    </row>
    <row r="19" spans="1:29" ht="15">
      <c r="A19" s="387"/>
      <c r="B19" s="410" t="s">
        <v>2447</v>
      </c>
      <c r="C19" s="2108" t="str">
        <f>估价对象房地状况!C17</f>
        <v>好</v>
      </c>
      <c r="D19" s="414">
        <v>100</v>
      </c>
      <c r="E19" s="416"/>
      <c r="F19" s="414">
        <f>SUMIF(92:92,E20,93:93)-SUMIF(92:92,C20,93:93)+100</f>
        <v>90</v>
      </c>
      <c r="G19" s="416"/>
      <c r="H19" s="409">
        <f>SUMIF(92:92,G20,93:93)-SUMIF(92:92,C20,93:93)+100</f>
        <v>90</v>
      </c>
      <c r="I19" s="418"/>
      <c r="J19" s="409">
        <f>SUMIF(92:92,I20,93:93)-SUMIF(92:92,C20,93:93)+100</f>
        <v>95</v>
      </c>
      <c r="K19" s="629">
        <v>5</v>
      </c>
      <c r="L19" s="2917"/>
      <c r="M19" s="2911"/>
      <c r="N19" s="2911"/>
      <c r="O19" s="2969"/>
      <c r="P19" s="3508"/>
      <c r="Q19" s="1504" t="str">
        <f>B19</f>
        <v>办公集聚程度</v>
      </c>
      <c r="R19" s="714" t="s">
        <v>17</v>
      </c>
      <c r="S19" s="715">
        <f>F19</f>
        <v>90</v>
      </c>
      <c r="T19" s="714" t="s">
        <v>17</v>
      </c>
      <c r="U19" s="715">
        <f>H19</f>
        <v>90</v>
      </c>
      <c r="V19" s="714" t="s">
        <v>17</v>
      </c>
      <c r="W19" s="715">
        <f>J19</f>
        <v>95</v>
      </c>
      <c r="X19" s="1507"/>
      <c r="Y19" s="3508"/>
      <c r="Z19" s="1508" t="str">
        <f>Q19</f>
        <v>办公集聚程度</v>
      </c>
      <c r="AA19" s="1505">
        <f t="shared" si="3"/>
        <v>1.1111111111111112</v>
      </c>
      <c r="AB19" s="1505">
        <f t="shared" si="4"/>
        <v>1.1111111111111112</v>
      </c>
      <c r="AC19" s="1505">
        <f t="shared" si="5"/>
        <v>1.0526315789473684</v>
      </c>
    </row>
    <row r="20" spans="1:29" ht="15">
      <c r="A20" s="387"/>
      <c r="B20" s="415"/>
      <c r="C20" s="406" t="s">
        <v>3294</v>
      </c>
      <c r="D20" s="407"/>
      <c r="E20" s="2051" t="s">
        <v>3322</v>
      </c>
      <c r="F20" s="407"/>
      <c r="G20" s="2051" t="s">
        <v>3322</v>
      </c>
      <c r="H20" s="407"/>
      <c r="I20" s="2050" t="s">
        <v>3296</v>
      </c>
      <c r="J20" s="407"/>
      <c r="K20" s="628"/>
      <c r="L20" s="2917"/>
      <c r="M20" s="2911"/>
      <c r="N20" s="2911"/>
      <c r="O20" s="2969"/>
      <c r="P20" s="3508"/>
      <c r="Q20" s="1504"/>
      <c r="R20" s="714"/>
      <c r="S20" s="715"/>
      <c r="T20" s="714"/>
      <c r="U20" s="715"/>
      <c r="V20" s="714"/>
      <c r="W20" s="715"/>
      <c r="X20" s="1507"/>
      <c r="Y20" s="3508"/>
      <c r="Z20" s="1508"/>
      <c r="AA20" s="1505">
        <v>1</v>
      </c>
      <c r="AB20" s="1505">
        <v>1</v>
      </c>
      <c r="AC20" s="1505">
        <v>1</v>
      </c>
    </row>
    <row r="21" spans="1:29" ht="15">
      <c r="A21" s="387"/>
      <c r="B21" s="410" t="s">
        <v>2469</v>
      </c>
      <c r="C21" s="2053" t="str">
        <f>估价对象房地状况!C18</f>
        <v>较好</v>
      </c>
      <c r="D21" s="409">
        <v>100</v>
      </c>
      <c r="E21" s="411"/>
      <c r="F21" s="414">
        <f>SUMIF(94:94,E22,95:95)-SUMIF(94:94,C22,95:95)+100</f>
        <v>97</v>
      </c>
      <c r="G21" s="411"/>
      <c r="H21" s="409">
        <f>SUMIF(94:94,G22,95:95)-SUMIF(94:94,C22,95:95)+100</f>
        <v>97</v>
      </c>
      <c r="I21" s="413"/>
      <c r="J21" s="409">
        <f>SUMIF(94:94,I22,95:95)-SUMIF(94:94,C22,95:95)+100</f>
        <v>97</v>
      </c>
      <c r="K21" s="629">
        <v>3</v>
      </c>
      <c r="L21" s="2917"/>
      <c r="M21" s="2911"/>
      <c r="N21" s="2911"/>
      <c r="O21" s="2969"/>
      <c r="P21" s="3508"/>
      <c r="Q21" s="1504" t="str">
        <f>B21</f>
        <v>交通便捷度</v>
      </c>
      <c r="R21" s="714" t="s">
        <v>17</v>
      </c>
      <c r="S21" s="715">
        <f>F21</f>
        <v>97</v>
      </c>
      <c r="T21" s="714" t="s">
        <v>17</v>
      </c>
      <c r="U21" s="715">
        <f>H21</f>
        <v>97</v>
      </c>
      <c r="V21" s="714" t="s">
        <v>17</v>
      </c>
      <c r="W21" s="715">
        <f>J21</f>
        <v>97</v>
      </c>
      <c r="X21" s="1507"/>
      <c r="Y21" s="3508"/>
      <c r="Z21" s="1508" t="str">
        <f>Q21</f>
        <v>交通便捷度</v>
      </c>
      <c r="AA21" s="1505">
        <f t="shared" si="3"/>
        <v>1.0309278350515463</v>
      </c>
      <c r="AB21" s="1505">
        <f t="shared" si="4"/>
        <v>1.0309278350515463</v>
      </c>
      <c r="AC21" s="1505">
        <f t="shared" si="5"/>
        <v>1.0309278350515463</v>
      </c>
    </row>
    <row r="22" spans="1:29" ht="15">
      <c r="A22" s="387"/>
      <c r="B22" s="1264"/>
      <c r="C22" s="406" t="s">
        <v>3296</v>
      </c>
      <c r="D22" s="409"/>
      <c r="E22" s="2051" t="s">
        <v>3322</v>
      </c>
      <c r="F22" s="407"/>
      <c r="G22" s="2051" t="s">
        <v>3322</v>
      </c>
      <c r="H22" s="407"/>
      <c r="I22" s="2050" t="s">
        <v>3322</v>
      </c>
      <c r="J22" s="407"/>
      <c r="K22" s="628"/>
      <c r="L22" s="2917"/>
      <c r="M22" s="2911"/>
      <c r="N22" s="2911"/>
      <c r="O22" s="2969"/>
      <c r="P22" s="3508"/>
      <c r="Q22" s="1504"/>
      <c r="R22" s="714"/>
      <c r="S22" s="715"/>
      <c r="T22" s="714"/>
      <c r="U22" s="715"/>
      <c r="V22" s="714"/>
      <c r="W22" s="715"/>
      <c r="X22" s="1507"/>
      <c r="Y22" s="3508"/>
      <c r="Z22" s="1508"/>
      <c r="AA22" s="1505">
        <v>1</v>
      </c>
      <c r="AB22" s="1505">
        <v>1</v>
      </c>
      <c r="AC22" s="1505">
        <v>1</v>
      </c>
    </row>
    <row r="23" spans="1:29" ht="15">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7"/>
      <c r="M23" s="2911"/>
      <c r="N23" s="2911"/>
      <c r="O23" s="2969"/>
      <c r="P23" s="3508"/>
      <c r="Q23" s="1504" t="str">
        <f t="shared" ref="Q23:Q37" si="8">B23</f>
        <v>区域土地利用方向</v>
      </c>
      <c r="R23" s="714" t="s">
        <v>17</v>
      </c>
      <c r="S23" s="715">
        <f>F23</f>
        <v>100</v>
      </c>
      <c r="T23" s="714" t="s">
        <v>17</v>
      </c>
      <c r="U23" s="715">
        <f>H23</f>
        <v>100</v>
      </c>
      <c r="V23" s="714" t="s">
        <v>17</v>
      </c>
      <c r="W23" s="715">
        <f>J23</f>
        <v>100</v>
      </c>
      <c r="X23" s="1507"/>
      <c r="Y23" s="3508"/>
      <c r="Z23" s="1508" t="str">
        <f>Q23</f>
        <v>区域土地利用方向</v>
      </c>
      <c r="AA23" s="1505">
        <f t="shared" si="3"/>
        <v>1</v>
      </c>
      <c r="AB23" s="1505">
        <f t="shared" si="4"/>
        <v>1</v>
      </c>
      <c r="AC23" s="1505">
        <f t="shared" si="5"/>
        <v>1</v>
      </c>
    </row>
    <row r="24" spans="1:29" ht="15">
      <c r="A24" s="364"/>
      <c r="B24" s="415"/>
      <c r="C24" s="573" t="s">
        <v>3296</v>
      </c>
      <c r="D24" s="407"/>
      <c r="E24" s="2051" t="s">
        <v>3296</v>
      </c>
      <c r="F24" s="407"/>
      <c r="G24" s="2050" t="s">
        <v>3296</v>
      </c>
      <c r="H24" s="407"/>
      <c r="I24" s="2050" t="s">
        <v>3296</v>
      </c>
      <c r="J24" s="407"/>
      <c r="K24" s="750"/>
      <c r="L24" s="2917"/>
      <c r="M24" s="2911"/>
      <c r="N24" s="2911"/>
      <c r="O24" s="2969"/>
      <c r="P24" s="3508"/>
      <c r="Q24" s="1504"/>
      <c r="R24" s="714"/>
      <c r="S24" s="715"/>
      <c r="T24" s="714"/>
      <c r="U24" s="715"/>
      <c r="V24" s="714"/>
      <c r="W24" s="715"/>
      <c r="X24" s="1507"/>
      <c r="Y24" s="3508"/>
      <c r="Z24" s="1508"/>
      <c r="AA24" s="1505"/>
      <c r="AB24" s="1505"/>
      <c r="AC24" s="1505"/>
    </row>
    <row r="25" spans="1:29" ht="27">
      <c r="A25" s="364"/>
      <c r="B25" s="1264" t="s">
        <v>2509</v>
      </c>
      <c r="C25" s="2108" t="str">
        <f>估价对象房地状况!C20</f>
        <v>较好</v>
      </c>
      <c r="D25" s="409">
        <v>100</v>
      </c>
      <c r="E25" s="411"/>
      <c r="F25" s="409">
        <f>SUMIF(98:98,E26,99:99)-SUMIF(98:98,C26,99:99)+100</f>
        <v>97</v>
      </c>
      <c r="G25" s="411"/>
      <c r="H25" s="409">
        <f>SUMIF(98:98,G26,99:99)-SUMIF(98:98,C26,99:99)+100</f>
        <v>97</v>
      </c>
      <c r="I25" s="413"/>
      <c r="J25" s="409">
        <f>SUMIF(98:98,I26,99:99)-SUMIF(98:98,C26,99:99)+100</f>
        <v>100</v>
      </c>
      <c r="K25" s="629">
        <v>3</v>
      </c>
      <c r="L25" s="2917"/>
      <c r="M25" s="2911"/>
      <c r="N25" s="2911"/>
      <c r="O25" s="2969"/>
      <c r="P25" s="3508"/>
      <c r="Q25" s="1504" t="str">
        <f t="shared" si="8"/>
        <v>自然及人文环境状况</v>
      </c>
      <c r="R25" s="714" t="s">
        <v>17</v>
      </c>
      <c r="S25" s="715">
        <f>F25</f>
        <v>97</v>
      </c>
      <c r="T25" s="714" t="s">
        <v>17</v>
      </c>
      <c r="U25" s="715">
        <f>H25</f>
        <v>97</v>
      </c>
      <c r="V25" s="714" t="s">
        <v>17</v>
      </c>
      <c r="W25" s="715">
        <f>J25</f>
        <v>100</v>
      </c>
      <c r="X25" s="1507"/>
      <c r="Y25" s="3508"/>
      <c r="Z25" s="1508" t="str">
        <f>Q25</f>
        <v>自然及人文环境状况</v>
      </c>
      <c r="AA25" s="1505">
        <f t="shared" si="3"/>
        <v>1.0309278350515463</v>
      </c>
      <c r="AB25" s="1505">
        <f t="shared" si="4"/>
        <v>1.0309278350515463</v>
      </c>
      <c r="AC25" s="1505">
        <f t="shared" si="5"/>
        <v>1</v>
      </c>
    </row>
    <row r="26" spans="1:29" ht="15">
      <c r="A26" s="364"/>
      <c r="B26" s="415"/>
      <c r="C26" s="406" t="s">
        <v>3296</v>
      </c>
      <c r="D26" s="407"/>
      <c r="E26" s="2057" t="s">
        <v>3322</v>
      </c>
      <c r="F26" s="407"/>
      <c r="G26" s="2057" t="s">
        <v>3322</v>
      </c>
      <c r="H26" s="407"/>
      <c r="I26" s="406" t="s">
        <v>3296</v>
      </c>
      <c r="J26" s="407"/>
      <c r="K26" s="628"/>
      <c r="L26" s="2917"/>
      <c r="M26" s="2911"/>
      <c r="N26" s="2911"/>
      <c r="O26" s="2969"/>
      <c r="P26" s="3508"/>
      <c r="Q26" s="1504"/>
      <c r="R26" s="714"/>
      <c r="S26" s="715"/>
      <c r="T26" s="714"/>
      <c r="U26" s="715"/>
      <c r="V26" s="714"/>
      <c r="W26" s="715"/>
      <c r="X26" s="1507"/>
      <c r="Y26" s="3508"/>
      <c r="Z26" s="1508"/>
      <c r="AA26" s="1505">
        <v>1</v>
      </c>
      <c r="AB26" s="1505">
        <v>1</v>
      </c>
      <c r="AC26" s="1505">
        <v>1</v>
      </c>
    </row>
    <row r="27" spans="1:29" s="113" customFormat="1" ht="15">
      <c r="A27" s="605"/>
      <c r="B27" s="1264" t="s">
        <v>2414</v>
      </c>
      <c r="C27" s="2053" t="str">
        <f>估价对象房地状况!C21</f>
        <v>好</v>
      </c>
      <c r="D27" s="409">
        <v>100</v>
      </c>
      <c r="E27" s="411"/>
      <c r="F27" s="409">
        <f>SUMIF(100:100,E28,101:101)-SUMIF(100:100,C28,101:101)+100</f>
        <v>96</v>
      </c>
      <c r="G27" s="411"/>
      <c r="H27" s="409">
        <f>SUMIF(100:100,G28,101:101)-SUMIF(100:100,C28,101:101)+100</f>
        <v>96</v>
      </c>
      <c r="I27" s="413"/>
      <c r="J27" s="409">
        <f>SUMIF(100:100,I28,101:101)-SUMIF(100:100,C28,101:101)+100</f>
        <v>100</v>
      </c>
      <c r="K27" s="629">
        <v>2</v>
      </c>
      <c r="L27" s="2912"/>
      <c r="M27" s="2913"/>
      <c r="N27" s="2913"/>
      <c r="O27" s="2967"/>
      <c r="P27" s="3508"/>
      <c r="Q27" s="1495" t="str">
        <f t="shared" si="8"/>
        <v>公共配套设施</v>
      </c>
      <c r="R27" s="710" t="s">
        <v>17</v>
      </c>
      <c r="S27" s="711">
        <f>F27</f>
        <v>96</v>
      </c>
      <c r="T27" s="710" t="s">
        <v>17</v>
      </c>
      <c r="U27" s="711">
        <f>H27</f>
        <v>96</v>
      </c>
      <c r="V27" s="710" t="s">
        <v>17</v>
      </c>
      <c r="W27" s="711">
        <f>J27</f>
        <v>100</v>
      </c>
      <c r="X27" s="712"/>
      <c r="Y27" s="3508"/>
      <c r="Z27" s="55" t="str">
        <f>Q27</f>
        <v>公共配套设施</v>
      </c>
      <c r="AA27" s="1505">
        <f>D27/F27</f>
        <v>1.0416666666666667</v>
      </c>
      <c r="AB27" s="1505">
        <f>D27/H27</f>
        <v>1.0416666666666667</v>
      </c>
      <c r="AC27" s="1505">
        <f>D27/J27</f>
        <v>1</v>
      </c>
    </row>
    <row r="28" spans="1:29" s="113" customFormat="1" ht="15">
      <c r="A28" s="605"/>
      <c r="B28" s="415"/>
      <c r="C28" s="2131" t="s">
        <v>3294</v>
      </c>
      <c r="D28" s="407"/>
      <c r="E28" s="2057" t="s">
        <v>3322</v>
      </c>
      <c r="F28" s="407"/>
      <c r="G28" s="2057" t="s">
        <v>3322</v>
      </c>
      <c r="H28" s="407"/>
      <c r="I28" s="406" t="s">
        <v>3294</v>
      </c>
      <c r="J28" s="407"/>
      <c r="K28" s="628"/>
      <c r="L28" s="2912"/>
      <c r="M28" s="2913"/>
      <c r="N28" s="2913"/>
      <c r="O28" s="2967"/>
      <c r="P28" s="3508"/>
      <c r="Q28" s="1495"/>
      <c r="R28" s="710"/>
      <c r="S28" s="711"/>
      <c r="T28" s="710"/>
      <c r="U28" s="711"/>
      <c r="V28" s="710"/>
      <c r="W28" s="711"/>
      <c r="X28" s="712"/>
      <c r="Y28" s="3508"/>
      <c r="Z28" s="55"/>
      <c r="AA28" s="1505">
        <v>1</v>
      </c>
      <c r="AB28" s="1505">
        <v>1</v>
      </c>
      <c r="AC28" s="1505">
        <v>1</v>
      </c>
    </row>
    <row r="29" spans="1:29" s="113" customFormat="1" ht="15">
      <c r="A29" s="605"/>
      <c r="B29" s="1264" t="s">
        <v>2415</v>
      </c>
      <c r="C29" s="2053"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2"/>
      <c r="M29" s="2913"/>
      <c r="N29" s="2913"/>
      <c r="O29" s="2967"/>
      <c r="P29" s="3508"/>
      <c r="Q29" s="1495" t="str">
        <f t="shared" ref="Q29" si="9">B29</f>
        <v>基础设施水平</v>
      </c>
      <c r="R29" s="710" t="s">
        <v>17</v>
      </c>
      <c r="S29" s="711">
        <f>F29</f>
        <v>100</v>
      </c>
      <c r="T29" s="710" t="s">
        <v>17</v>
      </c>
      <c r="U29" s="711">
        <f>H29</f>
        <v>100</v>
      </c>
      <c r="V29" s="710" t="s">
        <v>17</v>
      </c>
      <c r="W29" s="711">
        <f>J29</f>
        <v>100</v>
      </c>
      <c r="X29" s="712"/>
      <c r="Y29" s="3508"/>
      <c r="Z29" s="55" t="str">
        <f>Q29</f>
        <v>基础设施水平</v>
      </c>
      <c r="AA29" s="1505">
        <f>D29/F29</f>
        <v>1</v>
      </c>
      <c r="AB29" s="1505">
        <f>D29/H29</f>
        <v>1</v>
      </c>
      <c r="AC29" s="1505">
        <f>D29/J29</f>
        <v>1</v>
      </c>
    </row>
    <row r="30" spans="1:29" s="113" customFormat="1" ht="15">
      <c r="A30" s="605"/>
      <c r="B30" s="415"/>
      <c r="C30" s="2131" t="s">
        <v>3298</v>
      </c>
      <c r="D30" s="407"/>
      <c r="E30" s="2132" t="s">
        <v>3298</v>
      </c>
      <c r="F30" s="407"/>
      <c r="G30" s="2132" t="s">
        <v>3298</v>
      </c>
      <c r="H30" s="407"/>
      <c r="I30" s="2132" t="s">
        <v>3298</v>
      </c>
      <c r="J30" s="407"/>
      <c r="K30" s="628"/>
      <c r="L30" s="2912"/>
      <c r="M30" s="2913"/>
      <c r="N30" s="2913"/>
      <c r="O30" s="2967"/>
      <c r="P30" s="3508"/>
      <c r="Q30" s="1495"/>
      <c r="R30" s="710"/>
      <c r="S30" s="711"/>
      <c r="T30" s="710"/>
      <c r="U30" s="711"/>
      <c r="V30" s="710"/>
      <c r="W30" s="711"/>
      <c r="X30" s="712"/>
      <c r="Y30" s="3508"/>
      <c r="Z30" s="55"/>
      <c r="AA30" s="1505">
        <v>1</v>
      </c>
      <c r="AB30" s="1505">
        <v>1</v>
      </c>
      <c r="AC30" s="1505">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508"/>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508"/>
      <c r="Z31" s="1508" t="str">
        <f t="shared" ref="Z31:Z45" si="13">Q31</f>
        <v>临街状况</v>
      </c>
      <c r="AA31" s="1505">
        <f t="shared" si="3"/>
        <v>1</v>
      </c>
      <c r="AB31" s="1505">
        <f t="shared" si="4"/>
        <v>1</v>
      </c>
      <c r="AC31" s="1505">
        <f t="shared" si="5"/>
        <v>1</v>
      </c>
    </row>
    <row r="32" spans="1:29" ht="27">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508"/>
      <c r="Q32" s="1504" t="str">
        <f t="shared" si="8"/>
        <v>毗邻道路的类型与等级</v>
      </c>
      <c r="R32" s="714" t="s">
        <v>17</v>
      </c>
      <c r="S32" s="715">
        <f t="shared" si="10"/>
        <v>100</v>
      </c>
      <c r="T32" s="714" t="s">
        <v>17</v>
      </c>
      <c r="U32" s="715">
        <f t="shared" si="11"/>
        <v>100</v>
      </c>
      <c r="V32" s="714" t="s">
        <v>17</v>
      </c>
      <c r="W32" s="715">
        <f t="shared" si="12"/>
        <v>100</v>
      </c>
      <c r="X32" s="1507"/>
      <c r="Y32" s="3508"/>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7"/>
      <c r="M33" s="2911"/>
      <c r="N33" s="2911"/>
      <c r="O33" s="2969"/>
      <c r="P33" s="3508"/>
      <c r="Q33" s="1504"/>
      <c r="R33" s="714"/>
      <c r="S33" s="715"/>
      <c r="T33" s="714"/>
      <c r="U33" s="715"/>
      <c r="V33" s="714"/>
      <c r="W33" s="715"/>
      <c r="X33" s="1507"/>
      <c r="Y33" s="3508"/>
      <c r="Z33" s="1508"/>
      <c r="AA33" s="1505">
        <v>1</v>
      </c>
      <c r="AB33" s="1505">
        <v>1</v>
      </c>
      <c r="AC33" s="1505">
        <v>1</v>
      </c>
    </row>
    <row r="34" spans="1:29" ht="15">
      <c r="A34" s="387"/>
      <c r="B34" s="381" t="s">
        <v>2510</v>
      </c>
      <c r="C34" s="573" t="s">
        <v>269</v>
      </c>
      <c r="D34" s="394">
        <v>100</v>
      </c>
      <c r="E34" s="590" t="s">
        <v>56</v>
      </c>
      <c r="F34" s="394">
        <f>SUMIF(108:108,E34,109:109)-SUMIF(108:108,C34,109:109)+100</f>
        <v>92</v>
      </c>
      <c r="G34" s="590" t="s">
        <v>56</v>
      </c>
      <c r="H34" s="394">
        <f>SUMIF(108:108,G34,109:109)-SUMIF(108:108,C34,109:109)+100</f>
        <v>92</v>
      </c>
      <c r="I34" s="573" t="s">
        <v>269</v>
      </c>
      <c r="J34" s="394">
        <f>SUMIF(108:108,I34,109:109)-SUMIF(108:108,C34,109:109)+100</f>
        <v>100</v>
      </c>
      <c r="K34" s="569">
        <v>2</v>
      </c>
      <c r="L34" s="2917"/>
      <c r="M34" s="2911"/>
      <c r="N34" s="2911"/>
      <c r="O34" s="2969"/>
      <c r="P34" s="3508"/>
      <c r="Q34" s="1504" t="str">
        <f t="shared" si="8"/>
        <v>土地级别</v>
      </c>
      <c r="R34" s="714" t="s">
        <v>17</v>
      </c>
      <c r="S34" s="715">
        <f t="shared" si="10"/>
        <v>92</v>
      </c>
      <c r="T34" s="714" t="s">
        <v>17</v>
      </c>
      <c r="U34" s="715">
        <f t="shared" si="11"/>
        <v>92</v>
      </c>
      <c r="V34" s="714" t="s">
        <v>17</v>
      </c>
      <c r="W34" s="715">
        <f t="shared" si="12"/>
        <v>100</v>
      </c>
      <c r="X34" s="1507"/>
      <c r="Y34" s="3508"/>
      <c r="Z34" s="1508" t="str">
        <f t="shared" si="13"/>
        <v>土地级别</v>
      </c>
      <c r="AA34" s="1505">
        <f t="shared" si="3"/>
        <v>1.0869565217391304</v>
      </c>
      <c r="AB34" s="1505">
        <f t="shared" si="4"/>
        <v>1.0869565217391304</v>
      </c>
      <c r="AC34" s="1505">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508"/>
      <c r="Q35" s="1504">
        <f t="shared" si="8"/>
        <v>111</v>
      </c>
      <c r="R35" s="714" t="s">
        <v>17</v>
      </c>
      <c r="S35" s="715">
        <f t="shared" si="10"/>
        <v>100</v>
      </c>
      <c r="T35" s="714" t="s">
        <v>17</v>
      </c>
      <c r="U35" s="715">
        <f t="shared" si="11"/>
        <v>100</v>
      </c>
      <c r="V35" s="714" t="s">
        <v>17</v>
      </c>
      <c r="W35" s="715">
        <f t="shared" si="12"/>
        <v>100</v>
      </c>
      <c r="X35" s="1507"/>
      <c r="Y35" s="3508"/>
      <c r="Z35" s="1508">
        <f t="shared" si="13"/>
        <v>111</v>
      </c>
      <c r="AA35" s="1505">
        <f t="shared" si="3"/>
        <v>1</v>
      </c>
      <c r="AB35" s="1505">
        <f t="shared" si="4"/>
        <v>1</v>
      </c>
      <c r="AC35" s="1505">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594" t="s">
        <v>2325</v>
      </c>
      <c r="Q36" s="1504">
        <f t="shared" si="8"/>
        <v>111</v>
      </c>
      <c r="R36" s="714" t="s">
        <v>17</v>
      </c>
      <c r="S36" s="715">
        <f t="shared" si="10"/>
        <v>100</v>
      </c>
      <c r="T36" s="714" t="s">
        <v>17</v>
      </c>
      <c r="U36" s="715">
        <f t="shared" si="11"/>
        <v>100</v>
      </c>
      <c r="V36" s="714" t="s">
        <v>17</v>
      </c>
      <c r="W36" s="715">
        <f t="shared" si="12"/>
        <v>100</v>
      </c>
      <c r="X36" s="1507"/>
      <c r="Y36" s="3512" t="s">
        <v>2325</v>
      </c>
      <c r="Z36" s="1508">
        <f t="shared" si="13"/>
        <v>111</v>
      </c>
      <c r="AA36" s="1505">
        <f t="shared" si="3"/>
        <v>1</v>
      </c>
      <c r="AB36" s="1505">
        <f t="shared" si="4"/>
        <v>1</v>
      </c>
      <c r="AC36" s="1505">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512"/>
      <c r="Q37" s="1504">
        <f t="shared" si="8"/>
        <v>111</v>
      </c>
      <c r="R37" s="717" t="s">
        <v>17</v>
      </c>
      <c r="S37" s="718">
        <f t="shared" si="10"/>
        <v>100</v>
      </c>
      <c r="T37" s="717" t="s">
        <v>17</v>
      </c>
      <c r="U37" s="718">
        <f t="shared" si="11"/>
        <v>100</v>
      </c>
      <c r="V37" s="717" t="s">
        <v>17</v>
      </c>
      <c r="W37" s="718">
        <f t="shared" si="12"/>
        <v>100</v>
      </c>
      <c r="X37" s="719"/>
      <c r="Y37" s="3512"/>
      <c r="Z37" s="720">
        <f t="shared" si="13"/>
        <v>111</v>
      </c>
      <c r="AA37" s="1505">
        <f t="shared" si="3"/>
        <v>1</v>
      </c>
      <c r="AB37" s="1505">
        <f t="shared" si="4"/>
        <v>1</v>
      </c>
      <c r="AC37" s="1505">
        <f t="shared" si="5"/>
        <v>1</v>
      </c>
    </row>
    <row r="38" spans="1:29" ht="15">
      <c r="A38" s="431" t="s">
        <v>2323</v>
      </c>
      <c r="B38" s="415" t="s">
        <v>2511</v>
      </c>
      <c r="C38" s="635">
        <f>'数据-基础表'!A3</f>
        <v>13001.470000000001</v>
      </c>
      <c r="D38" s="426">
        <v>100</v>
      </c>
      <c r="E38" s="635">
        <f>土地案例!D2</f>
        <v>38252.550000000003</v>
      </c>
      <c r="F38" s="426">
        <f>LOOKUP(E38,117:117,118:118)-LOOKUP(C38,117:117,118:118)+100</f>
        <v>102</v>
      </c>
      <c r="G38" s="635">
        <f>土地案例!D3</f>
        <v>30025.18</v>
      </c>
      <c r="H38" s="426">
        <f>LOOKUP(G38,117:117,118:118)-LOOKUP(C38,117:117,118:118)+100</f>
        <v>102</v>
      </c>
      <c r="I38" s="487">
        <f>土地案例!D4</f>
        <v>5907.54</v>
      </c>
      <c r="J38" s="426">
        <f>LOOKUP(I38,117:117,118:118)-LOOKUP(C38,117:117,118:118)+100</f>
        <v>100</v>
      </c>
      <c r="K38" s="570"/>
      <c r="L38" s="2917"/>
      <c r="M38" s="2911"/>
      <c r="N38" s="2911"/>
      <c r="O38" s="2969"/>
      <c r="P38" s="3512"/>
      <c r="Q38" s="1504" t="str">
        <f>B38</f>
        <v>宗地面积</v>
      </c>
      <c r="R38" s="714" t="s">
        <v>17</v>
      </c>
      <c r="S38" s="715">
        <f t="shared" si="10"/>
        <v>102</v>
      </c>
      <c r="T38" s="714" t="s">
        <v>17</v>
      </c>
      <c r="U38" s="715">
        <f t="shared" si="11"/>
        <v>102</v>
      </c>
      <c r="V38" s="714" t="s">
        <v>17</v>
      </c>
      <c r="W38" s="715">
        <f t="shared" si="12"/>
        <v>100</v>
      </c>
      <c r="X38" s="1507"/>
      <c r="Y38" s="3512"/>
      <c r="Z38" s="1508" t="str">
        <f t="shared" si="13"/>
        <v>宗地面积</v>
      </c>
      <c r="AA38" s="1505">
        <f t="shared" si="3"/>
        <v>0.98039215686274506</v>
      </c>
      <c r="AB38" s="1505">
        <f t="shared" si="4"/>
        <v>0.98039215686274506</v>
      </c>
      <c r="AC38" s="1505">
        <f t="shared" si="5"/>
        <v>1</v>
      </c>
    </row>
    <row r="39" spans="1:29" ht="15">
      <c r="A39" s="431"/>
      <c r="B39" s="381" t="s">
        <v>2512</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7"/>
      <c r="M39" s="2911"/>
      <c r="N39" s="2911"/>
      <c r="O39" s="2969"/>
      <c r="P39" s="3512"/>
      <c r="Q39" s="1504" t="str">
        <f t="shared" ref="Q39:Q45" si="14">B39</f>
        <v>宗地形状</v>
      </c>
      <c r="R39" s="714" t="s">
        <v>17</v>
      </c>
      <c r="S39" s="715">
        <f t="shared" si="10"/>
        <v>100</v>
      </c>
      <c r="T39" s="714" t="s">
        <v>17</v>
      </c>
      <c r="U39" s="715">
        <f t="shared" si="11"/>
        <v>100</v>
      </c>
      <c r="V39" s="714" t="s">
        <v>17</v>
      </c>
      <c r="W39" s="715">
        <f t="shared" si="12"/>
        <v>100</v>
      </c>
      <c r="X39" s="1507"/>
      <c r="Y39" s="3512"/>
      <c r="Z39" s="1508" t="str">
        <f t="shared" si="13"/>
        <v>宗地形状</v>
      </c>
      <c r="AA39" s="1505">
        <f t="shared" si="3"/>
        <v>1</v>
      </c>
      <c r="AB39" s="1505">
        <f t="shared" si="4"/>
        <v>1</v>
      </c>
      <c r="AC39" s="1505">
        <f t="shared" si="5"/>
        <v>1</v>
      </c>
    </row>
    <row r="40" spans="1:29" ht="15">
      <c r="A40" s="431"/>
      <c r="B40" s="381" t="s">
        <v>2513</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7"/>
      <c r="M40" s="2911"/>
      <c r="N40" s="2911"/>
      <c r="O40" s="2969"/>
      <c r="P40" s="3512"/>
      <c r="Q40" s="1504" t="str">
        <f t="shared" si="14"/>
        <v>临街宽度及深度</v>
      </c>
      <c r="R40" s="714" t="s">
        <v>17</v>
      </c>
      <c r="S40" s="715">
        <f t="shared" si="10"/>
        <v>100</v>
      </c>
      <c r="T40" s="714" t="s">
        <v>17</v>
      </c>
      <c r="U40" s="715">
        <f t="shared" si="11"/>
        <v>100</v>
      </c>
      <c r="V40" s="714" t="s">
        <v>17</v>
      </c>
      <c r="W40" s="715">
        <f t="shared" si="12"/>
        <v>100</v>
      </c>
      <c r="X40" s="1507"/>
      <c r="Y40" s="3512"/>
      <c r="Z40" s="1508" t="str">
        <f t="shared" si="13"/>
        <v>临街宽度及深度</v>
      </c>
      <c r="AA40" s="1505">
        <f t="shared" si="3"/>
        <v>1</v>
      </c>
      <c r="AB40" s="1505">
        <f t="shared" si="4"/>
        <v>1</v>
      </c>
      <c r="AC40" s="1505">
        <f t="shared" si="5"/>
        <v>1</v>
      </c>
    </row>
    <row r="41" spans="1:29" s="113" customFormat="1" ht="15">
      <c r="A41" s="432"/>
      <c r="B41" s="381" t="s">
        <v>2514</v>
      </c>
      <c r="C41" s="2133" t="s">
        <v>3314</v>
      </c>
      <c r="D41" s="132">
        <v>100</v>
      </c>
      <c r="E41" s="2133" t="s">
        <v>3316</v>
      </c>
      <c r="F41" s="394">
        <f>SUMIF(123:123,E41,124:124)-SUMIF(123:123,C41,124:124)+100</f>
        <v>98</v>
      </c>
      <c r="G41" s="2133" t="s">
        <v>3316</v>
      </c>
      <c r="H41" s="394">
        <f>SUMIF(123:123,G41,124:124)-SUMIF(123:123,C41,124:124)+100</f>
        <v>98</v>
      </c>
      <c r="I41" s="2133" t="s">
        <v>3319</v>
      </c>
      <c r="J41" s="394">
        <f>SUMIF(123:123,I41,124:124)-SUMIF(123:123,C41,124:124)+100</f>
        <v>94</v>
      </c>
      <c r="K41" s="569">
        <v>2</v>
      </c>
      <c r="L41" s="2912"/>
      <c r="M41" s="2913"/>
      <c r="N41" s="2913"/>
      <c r="O41" s="2967"/>
      <c r="P41" s="3512"/>
      <c r="Q41" s="1504" t="str">
        <f t="shared" si="14"/>
        <v>宗地开发程度</v>
      </c>
      <c r="R41" s="710" t="s">
        <v>17</v>
      </c>
      <c r="S41" s="711">
        <f t="shared" si="10"/>
        <v>98</v>
      </c>
      <c r="T41" s="710" t="s">
        <v>17</v>
      </c>
      <c r="U41" s="711">
        <f t="shared" si="11"/>
        <v>98</v>
      </c>
      <c r="V41" s="710" t="s">
        <v>17</v>
      </c>
      <c r="W41" s="711">
        <f t="shared" si="12"/>
        <v>94</v>
      </c>
      <c r="X41" s="712"/>
      <c r="Y41" s="3512"/>
      <c r="Z41" s="55" t="str">
        <f t="shared" si="13"/>
        <v>宗地开发程度</v>
      </c>
      <c r="AA41" s="713">
        <f t="shared" si="3"/>
        <v>1.0204081632653061</v>
      </c>
      <c r="AB41" s="713">
        <f t="shared" si="4"/>
        <v>1.0204081632653061</v>
      </c>
      <c r="AC41" s="713">
        <f t="shared" si="5"/>
        <v>1.0638297872340425</v>
      </c>
    </row>
    <row r="42" spans="1:29" ht="15">
      <c r="A42" s="431"/>
      <c r="B42" s="381" t="s">
        <v>2515</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7"/>
      <c r="M42" s="2911"/>
      <c r="N42" s="2911"/>
      <c r="O42" s="2969"/>
      <c r="P42" s="3512" t="s">
        <v>2325</v>
      </c>
      <c r="Q42" s="1504" t="str">
        <f t="shared" si="14"/>
        <v>工程地质条件</v>
      </c>
      <c r="R42" s="714" t="s">
        <v>17</v>
      </c>
      <c r="S42" s="715">
        <f t="shared" si="10"/>
        <v>100</v>
      </c>
      <c r="T42" s="714" t="s">
        <v>17</v>
      </c>
      <c r="U42" s="715">
        <f t="shared" si="11"/>
        <v>100</v>
      </c>
      <c r="V42" s="714" t="s">
        <v>17</v>
      </c>
      <c r="W42" s="715">
        <f t="shared" si="12"/>
        <v>100</v>
      </c>
      <c r="X42" s="1507"/>
      <c r="Y42" s="3512" t="s">
        <v>2325</v>
      </c>
      <c r="Z42" s="1508" t="str">
        <f t="shared" si="13"/>
        <v>工程地质条件</v>
      </c>
      <c r="AA42" s="1505">
        <f t="shared" si="3"/>
        <v>1</v>
      </c>
      <c r="AB42" s="1505">
        <f t="shared" si="4"/>
        <v>1</v>
      </c>
      <c r="AC42" s="1505">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512"/>
      <c r="Q43" s="1504">
        <f t="shared" si="14"/>
        <v>111</v>
      </c>
      <c r="R43" s="714" t="s">
        <v>17</v>
      </c>
      <c r="S43" s="715">
        <f t="shared" si="10"/>
        <v>100</v>
      </c>
      <c r="T43" s="714" t="s">
        <v>17</v>
      </c>
      <c r="U43" s="715">
        <f t="shared" si="11"/>
        <v>100</v>
      </c>
      <c r="V43" s="714" t="s">
        <v>17</v>
      </c>
      <c r="W43" s="715">
        <f t="shared" si="12"/>
        <v>100</v>
      </c>
      <c r="X43" s="1507"/>
      <c r="Y43" s="3512"/>
      <c r="Z43" s="1508">
        <f t="shared" si="13"/>
        <v>111</v>
      </c>
      <c r="AA43" s="1505">
        <f t="shared" si="3"/>
        <v>1</v>
      </c>
      <c r="AB43" s="1505">
        <f t="shared" si="4"/>
        <v>1</v>
      </c>
      <c r="AC43" s="1505">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512"/>
      <c r="Q44" s="1504">
        <f t="shared" si="14"/>
        <v>111</v>
      </c>
      <c r="R44" s="714" t="s">
        <v>17</v>
      </c>
      <c r="S44" s="715">
        <f t="shared" si="10"/>
        <v>100</v>
      </c>
      <c r="T44" s="714" t="s">
        <v>17</v>
      </c>
      <c r="U44" s="715">
        <f t="shared" si="11"/>
        <v>100</v>
      </c>
      <c r="V44" s="714" t="s">
        <v>17</v>
      </c>
      <c r="W44" s="715">
        <f t="shared" si="12"/>
        <v>100</v>
      </c>
      <c r="X44" s="1507"/>
      <c r="Y44" s="3512"/>
      <c r="Z44" s="1508">
        <f t="shared" si="13"/>
        <v>111</v>
      </c>
      <c r="AA44" s="1505">
        <f t="shared" si="3"/>
        <v>1</v>
      </c>
      <c r="AB44" s="1505">
        <f t="shared" si="4"/>
        <v>1</v>
      </c>
      <c r="AC44" s="1505">
        <f t="shared" si="5"/>
        <v>1</v>
      </c>
    </row>
    <row r="45" spans="1:29" s="430" customFormat="1" ht="15.75" thickBot="1">
      <c r="A45" s="427"/>
      <c r="B45" s="1267">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512"/>
      <c r="Q45" s="1504">
        <f t="shared" si="14"/>
        <v>111</v>
      </c>
      <c r="R45" s="717" t="s">
        <v>17</v>
      </c>
      <c r="S45" s="718">
        <f t="shared" si="10"/>
        <v>100</v>
      </c>
      <c r="T45" s="717" t="s">
        <v>17</v>
      </c>
      <c r="U45" s="718">
        <f t="shared" si="11"/>
        <v>100</v>
      </c>
      <c r="V45" s="717" t="s">
        <v>17</v>
      </c>
      <c r="W45" s="718">
        <f t="shared" si="12"/>
        <v>100</v>
      </c>
      <c r="X45" s="719"/>
      <c r="Y45" s="3512"/>
      <c r="Z45" s="720">
        <f t="shared" si="13"/>
        <v>111</v>
      </c>
      <c r="AA45" s="1505">
        <f t="shared" si="3"/>
        <v>1</v>
      </c>
      <c r="AB45" s="1505">
        <f t="shared" si="4"/>
        <v>1</v>
      </c>
      <c r="AC45" s="1505">
        <f t="shared" si="5"/>
        <v>1</v>
      </c>
    </row>
    <row r="46" spans="1:29" ht="15">
      <c r="A46" s="438" t="s">
        <v>2480</v>
      </c>
      <c r="B46" s="2135" t="s">
        <v>2516</v>
      </c>
      <c r="C46" s="638" t="s">
        <v>1</v>
      </c>
      <c r="D46" s="440"/>
      <c r="E46" s="441">
        <f>土地案例!Q2</f>
        <v>20795</v>
      </c>
      <c r="F46" s="442"/>
      <c r="G46" s="443">
        <f>土地案例!Q3</f>
        <v>20740</v>
      </c>
      <c r="H46" s="444"/>
      <c r="I46" s="3271">
        <f>土地案例!W4</f>
        <v>29628</v>
      </c>
      <c r="J46" s="444"/>
      <c r="K46" s="723"/>
      <c r="L46" s="2919"/>
      <c r="M46" s="2920"/>
      <c r="N46" s="2911"/>
      <c r="O46" s="2920"/>
      <c r="P46" s="3500" t="str">
        <f>A46</f>
        <v>成交单价</v>
      </c>
      <c r="Q46" s="3500"/>
      <c r="R46" s="3534">
        <f>E46</f>
        <v>20795</v>
      </c>
      <c r="S46" s="3534"/>
      <c r="T46" s="3534">
        <f>G46</f>
        <v>20740</v>
      </c>
      <c r="U46" s="3534"/>
      <c r="V46" s="3534">
        <f>I46</f>
        <v>29628</v>
      </c>
      <c r="W46" s="3534"/>
      <c r="X46" s="699"/>
      <c r="Y46" s="721"/>
      <c r="Z46" s="699"/>
      <c r="AA46" s="699"/>
      <c r="AB46" s="699"/>
      <c r="AC46" s="699"/>
    </row>
    <row r="47" spans="1:29" ht="15.75" thickBot="1">
      <c r="A47" s="445" t="s">
        <v>2429</v>
      </c>
      <c r="B47" s="639"/>
      <c r="C47" s="448">
        <f>R48</f>
        <v>26710</v>
      </c>
      <c r="D47" s="2505" t="s">
        <v>2819</v>
      </c>
      <c r="E47" s="448">
        <f>R47</f>
        <v>24184</v>
      </c>
      <c r="F47" s="2506"/>
      <c r="G47" s="447">
        <f>T47</f>
        <v>24120</v>
      </c>
      <c r="H47" s="2506"/>
      <c r="I47" s="448">
        <f>V47</f>
        <v>31825</v>
      </c>
      <c r="J47" s="2506"/>
      <c r="K47" s="2508">
        <f>F47+H47+J47</f>
        <v>0</v>
      </c>
      <c r="L47" s="2919"/>
      <c r="M47" s="2920"/>
      <c r="N47" s="2920"/>
      <c r="O47" s="2920"/>
      <c r="P47" s="3500" t="str">
        <f>A47</f>
        <v>比较价值（元/平方米）</v>
      </c>
      <c r="Q47" s="3500"/>
      <c r="R47" s="3603">
        <f>ROUND(PRODUCT(R46,AA7:AA45),0)</f>
        <v>24184</v>
      </c>
      <c r="S47" s="3603"/>
      <c r="T47" s="3603">
        <f>ROUND(PRODUCT(T46,AB7:AB45),0)</f>
        <v>24120</v>
      </c>
      <c r="U47" s="3603"/>
      <c r="V47" s="3603">
        <f>ROUND(PRODUCT(V46,AC7:AC45),0)</f>
        <v>31825</v>
      </c>
      <c r="W47" s="3603"/>
      <c r="X47" s="699"/>
      <c r="Y47" s="699"/>
      <c r="Z47" s="699"/>
      <c r="AA47" s="699"/>
      <c r="AB47" s="699"/>
      <c r="AC47" s="699"/>
    </row>
    <row r="48" spans="1:29" ht="15.75" thickBot="1">
      <c r="A48" s="449" t="s">
        <v>2517</v>
      </c>
      <c r="B48" s="450"/>
      <c r="C48" s="451">
        <f>R48</f>
        <v>26710</v>
      </c>
      <c r="D48" s="451"/>
      <c r="E48" s="451"/>
      <c r="F48" s="451"/>
      <c r="G48" s="451"/>
      <c r="H48" s="451"/>
      <c r="I48" s="451"/>
      <c r="J48" s="451"/>
      <c r="K48" s="724"/>
      <c r="L48" s="2919"/>
      <c r="M48" s="2920"/>
      <c r="N48" s="2920"/>
      <c r="O48" s="2920"/>
      <c r="P48" s="3583" t="str">
        <f>A48</f>
        <v>估价对象XX用房的比较价值（楼面单价，元/平方米）</v>
      </c>
      <c r="Q48" s="3584"/>
      <c r="R48" s="3602">
        <f>ROUND(IF(D47="简单平均",AVERAGE(R47:W47),R47*F47+T47*H47+V47*J47),0)</f>
        <v>26710</v>
      </c>
      <c r="S48" s="3602"/>
      <c r="T48" s="3602"/>
      <c r="U48" s="3602"/>
      <c r="V48" s="3602"/>
      <c r="W48" s="3602"/>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f>IF(E46&lt;E47,E47/E46-1,E46/E47-1)</f>
        <v>0.16297186823755716</v>
      </c>
      <c r="F51" s="457" t="str">
        <f>IF(OR(E51&gt;=0.3,E51&lt;=-0.3),"超过30%","")</f>
        <v/>
      </c>
      <c r="G51" s="456">
        <f>IF(G46&lt;G47,G47/G46-1,G46/G47-1)</f>
        <v>0.16297010607521689</v>
      </c>
      <c r="H51" s="457" t="str">
        <f>IF(OR(G51&gt;=0.3,G51&lt;=-0.3),"超过30%","")</f>
        <v/>
      </c>
      <c r="I51" s="456">
        <f>IF(I46&lt;I47,I47/I46-1,I46/I47-1)</f>
        <v>7.4152828405562365E-2</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f>IF(E47&lt;G47,G47/E47-1,E47/G47-1)</f>
        <v>2.6533996683251182E-3</v>
      </c>
      <c r="F52" s="457" t="str">
        <f>IF(OR(E52&gt;=0.2,E52&lt;=-0.2),"超过20%","")</f>
        <v/>
      </c>
      <c r="G52" s="456">
        <f>IF(G47&lt;I47,I47/G47-1,G47/I47-1)</f>
        <v>0.31944444444444442</v>
      </c>
      <c r="H52" s="457" t="str">
        <f>IF(OR(G52&gt;=0.2,G52&lt;=-0.2),"超过20%","")</f>
        <v>超过20%</v>
      </c>
      <c r="I52" s="456">
        <f>IF(I47&lt;E47,E47/I47-1,I47/E47-1)</f>
        <v>0.31595269599735354</v>
      </c>
      <c r="J52" s="457" t="str">
        <f>IF(OR(I52&gt;=0.2,I52&lt;=-0.2),"超过20%","")</f>
        <v>超过20%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f>IF(E46&lt;G46,G46/E46-1,E46/G46-1)</f>
        <v>2.6518804243009786E-3</v>
      </c>
      <c r="F53" s="457" t="str">
        <f>IF(OR(E53&gt;=0.3,E53&lt;=-0.3),"超过30%","")</f>
        <v/>
      </c>
      <c r="G53" s="456">
        <f>IF(G46&lt;I46,I46/G46-1,G46/I46-1)</f>
        <v>0.4285438765670202</v>
      </c>
      <c r="H53" s="457" t="str">
        <f>IF(OR(G53&gt;=0.3,G53&lt;=-0.3),"超过30%","")</f>
        <v>超过30%</v>
      </c>
      <c r="I53" s="456">
        <f>IF(I46&lt;E46,E46/I46-1,I46/E46-1)</f>
        <v>0.42476556864630921</v>
      </c>
      <c r="J53" s="457" t="str">
        <f>IF(OR(I53&gt;=0.3,I53&lt;=-0.3),"超过30%","")</f>
        <v>超过30%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6" t="s">
        <v>2520</v>
      </c>
      <c r="D55" s="2137" t="s">
        <v>2521</v>
      </c>
      <c r="E55" s="642" t="s">
        <v>2522</v>
      </c>
      <c r="F55" s="1020" t="s">
        <v>2523</v>
      </c>
      <c r="G55" s="3517" t="s">
        <v>2524</v>
      </c>
      <c r="H55" s="3596"/>
      <c r="I55" s="140" t="s">
        <v>2525</v>
      </c>
      <c r="J55" s="2138">
        <f>项目基本情况!F35</f>
        <v>0</v>
      </c>
      <c r="K55" s="2139"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f>C48</f>
        <v>26710</v>
      </c>
      <c r="C56" s="646">
        <v>1</v>
      </c>
      <c r="D56" s="1074">
        <v>1</v>
      </c>
      <c r="E56" s="646">
        <f>'数据-汇总表'!E8+'数据-汇总表'!E9</f>
        <v>56521.430000000008</v>
      </c>
      <c r="F56" s="1016">
        <f t="shared" ref="F56:F65" si="15">ROUND(B56*E56/10000,0)</f>
        <v>150969</v>
      </c>
      <c r="G56" s="3499"/>
      <c r="H56" s="3500"/>
      <c r="I56" s="1021">
        <v>1</v>
      </c>
      <c r="J56" s="1024">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f>ROUND($C$48*C57*D57,0)</f>
        <v>0</v>
      </c>
      <c r="C57" s="176">
        <f t="shared" ref="C57:C65" si="16">IF($C$55="北京市系数",I57,J57)</f>
        <v>0</v>
      </c>
      <c r="D57" s="1075">
        <v>0.25</v>
      </c>
      <c r="E57" s="650"/>
      <c r="F57" s="1016">
        <f t="shared" si="15"/>
        <v>0</v>
      </c>
      <c r="G57" s="3597" t="s">
        <v>2529</v>
      </c>
      <c r="H57" s="1017">
        <f>项目基本情况!B37</f>
        <v>0</v>
      </c>
      <c r="I57" s="1021">
        <f>SUMIF(修正!A45:A56,H57,修正!B45:B56)</f>
        <v>0</v>
      </c>
      <c r="J57" s="1025"/>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f t="shared" ref="B58:B65" si="17">ROUND($C$48*C58*D58,0)</f>
        <v>0</v>
      </c>
      <c r="C58" s="176">
        <f t="shared" si="16"/>
        <v>0</v>
      </c>
      <c r="D58" s="1075">
        <v>0.25</v>
      </c>
      <c r="E58" s="650"/>
      <c r="F58" s="1016">
        <f t="shared" si="15"/>
        <v>0</v>
      </c>
      <c r="G58" s="3597"/>
      <c r="H58" s="1017">
        <f>项目基本情况!B37</f>
        <v>0</v>
      </c>
      <c r="I58" s="1021">
        <f>SUMIF(修正!A45:A56,H58,修正!C45:C56)</f>
        <v>0</v>
      </c>
      <c r="J58" s="1025"/>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f t="shared" si="17"/>
        <v>0</v>
      </c>
      <c r="C59" s="176">
        <f t="shared" si="16"/>
        <v>0</v>
      </c>
      <c r="D59" s="1075">
        <v>0.25</v>
      </c>
      <c r="E59" s="650"/>
      <c r="F59" s="1016">
        <f t="shared" si="15"/>
        <v>0</v>
      </c>
      <c r="G59" s="3597"/>
      <c r="H59" s="1017">
        <f>项目基本情况!B37</f>
        <v>0</v>
      </c>
      <c r="I59" s="1021">
        <f>SUMIF(修正!A45:A56,H59,修正!D45:D56)</f>
        <v>0</v>
      </c>
      <c r="J59" s="1025"/>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f t="shared" si="17"/>
        <v>0</v>
      </c>
      <c r="C60" s="176">
        <f t="shared" si="16"/>
        <v>0</v>
      </c>
      <c r="D60" s="1075">
        <v>0.25</v>
      </c>
      <c r="E60" s="650"/>
      <c r="F60" s="1016">
        <f t="shared" si="15"/>
        <v>0</v>
      </c>
      <c r="G60" s="3597"/>
      <c r="H60" s="1017">
        <f>项目基本情况!B37</f>
        <v>0</v>
      </c>
      <c r="I60" s="1021">
        <f>SUMIF(修正!A45:A56,H60,修正!E45:E56)</f>
        <v>0</v>
      </c>
      <c r="J60" s="1025"/>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f t="shared" si="17"/>
        <v>2003</v>
      </c>
      <c r="C61" s="176">
        <f t="shared" si="16"/>
        <v>0.3</v>
      </c>
      <c r="D61" s="1075">
        <v>0.25</v>
      </c>
      <c r="E61" s="223">
        <f>'数据-汇总表'!E11</f>
        <v>3284.7900000000004</v>
      </c>
      <c r="F61" s="1016">
        <f t="shared" si="15"/>
        <v>658</v>
      </c>
      <c r="G61" s="2140" t="s">
        <v>2534</v>
      </c>
      <c r="H61" s="1017" t="str">
        <f>项目基本情况!C37</f>
        <v>二级</v>
      </c>
      <c r="I61" s="1021">
        <f>SUMIF(修正!A45:A56,H61,修正!F45:F56)</f>
        <v>0.3</v>
      </c>
      <c r="J61" s="1025"/>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f t="shared" si="17"/>
        <v>2003</v>
      </c>
      <c r="C62" s="176">
        <f t="shared" si="16"/>
        <v>0.3</v>
      </c>
      <c r="D62" s="1075">
        <v>0.25</v>
      </c>
      <c r="E62" s="223">
        <f>'数据-汇总表'!E12</f>
        <v>0</v>
      </c>
      <c r="F62" s="1016">
        <f t="shared" si="15"/>
        <v>0</v>
      </c>
      <c r="G62" s="1022" t="s">
        <v>2536</v>
      </c>
      <c r="H62" s="1017" t="str">
        <f>IF(G62="商业",项目基本情况!B37,IF(G62="办公",项目基本情况!C37,IF(G62="住宅",项目基本情况!D37,项目基本情况!E37)))</f>
        <v>二级</v>
      </c>
      <c r="I62" s="1021">
        <f>SUMIF(修正!A45:A56,H62,修正!G45:G56)</f>
        <v>0.3</v>
      </c>
      <c r="J62" s="1025"/>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f t="shared" si="17"/>
        <v>0</v>
      </c>
      <c r="C63" s="176">
        <f t="shared" si="16"/>
        <v>0</v>
      </c>
      <c r="D63" s="1075">
        <v>0.25</v>
      </c>
      <c r="E63" s="223">
        <f>'数据-汇总表'!E13</f>
        <v>0</v>
      </c>
      <c r="F63" s="1016">
        <f t="shared" si="15"/>
        <v>0</v>
      </c>
      <c r="G63" s="1022" t="s">
        <v>2538</v>
      </c>
      <c r="H63" s="1017">
        <f>IF(G63="商业",项目基本情况!B37,IF(G63="办公",项目基本情况!C37,IF(G63="住宅",项目基本情况!D37,项目基本情况!E37)))</f>
        <v>0</v>
      </c>
      <c r="I63" s="1021">
        <f>SUMIF(修正!A45:A56,H63,修正!H45:H56)</f>
        <v>0</v>
      </c>
      <c r="J63" s="1025"/>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f t="shared" si="17"/>
        <v>0</v>
      </c>
      <c r="C64" s="176">
        <f t="shared" si="16"/>
        <v>0</v>
      </c>
      <c r="D64" s="1075">
        <v>0.25</v>
      </c>
      <c r="E64" s="223">
        <f>'数据-汇总表'!E14</f>
        <v>0</v>
      </c>
      <c r="F64" s="1016">
        <f t="shared" si="15"/>
        <v>0</v>
      </c>
      <c r="G64" s="2140" t="s">
        <v>2529</v>
      </c>
      <c r="H64" s="1017">
        <f>项目基本情况!B37</f>
        <v>0</v>
      </c>
      <c r="I64" s="1021">
        <f>SUMIF(修正!A45:A56,H64,修正!H45:H56)</f>
        <v>0</v>
      </c>
      <c r="J64" s="1025"/>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f t="shared" si="17"/>
        <v>1669</v>
      </c>
      <c r="C65" s="176">
        <f t="shared" si="16"/>
        <v>0.25</v>
      </c>
      <c r="D65" s="1075">
        <v>0.25</v>
      </c>
      <c r="E65" s="223">
        <f>'数据-汇总表'!E15</f>
        <v>10390.25</v>
      </c>
      <c r="F65" s="1016">
        <f t="shared" si="15"/>
        <v>1734</v>
      </c>
      <c r="G65" s="2141" t="s">
        <v>2534</v>
      </c>
      <c r="H65" s="1027" t="str">
        <f>项目基本情况!C37</f>
        <v>二级</v>
      </c>
      <c r="I65" s="1023">
        <f>SUMIF(修正!A45:A56,H65,修正!H45:H56)</f>
        <v>0.25</v>
      </c>
      <c r="J65" s="1026"/>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70196.47</v>
      </c>
      <c r="F66" s="653">
        <f>IF(B46="楼面地价",SUM(F56:F65),ROUND(C48*E66/10000,0))</f>
        <v>153361</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7"/>
      <c r="K67" s="1018"/>
      <c r="L67" s="1019"/>
      <c r="M67" s="1057"/>
      <c r="N67" s="1057"/>
      <c r="O67" s="1057"/>
      <c r="P67" s="2920"/>
      <c r="Q67" s="2920"/>
      <c r="R67" s="2920"/>
      <c r="S67" s="2920"/>
      <c r="T67" s="2920"/>
      <c r="U67" s="2920"/>
      <c r="V67" s="2920"/>
      <c r="W67" s="2920"/>
      <c r="X67" s="2920"/>
      <c r="Y67" s="2920"/>
      <c r="Z67" s="2920"/>
      <c r="AA67" s="2920"/>
      <c r="AB67" s="2920"/>
      <c r="AC67" s="2920"/>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70"/>
      <c r="K69" s="1071"/>
      <c r="L69" s="1072"/>
      <c r="M69" s="1070"/>
      <c r="N69" s="2964"/>
      <c r="O69" s="2964"/>
      <c r="P69" s="2964"/>
      <c r="Q69" s="2934"/>
      <c r="R69" s="2920"/>
      <c r="S69" s="2920"/>
      <c r="T69" s="2920"/>
      <c r="U69" s="2920"/>
      <c r="V69" s="2920"/>
      <c r="W69" s="2920"/>
      <c r="X69" s="2920"/>
      <c r="Y69" s="2920"/>
      <c r="Z69" s="2920"/>
      <c r="AA69" s="2920"/>
      <c r="AB69" s="2920"/>
      <c r="AC69" s="2920"/>
    </row>
    <row r="70" spans="1:29" s="465" customFormat="1" ht="15">
      <c r="A70" s="2142" t="s">
        <v>2542</v>
      </c>
      <c r="B70" s="1240"/>
      <c r="C70" s="1314" t="str">
        <f>YEAR(C68)&amp;"-"&amp;ROUNDUP(MONTH(C68)/3,0)</f>
        <v>2022-2</v>
      </c>
      <c r="D70" s="1314" t="str">
        <f>YEAR(D68)&amp;"-"&amp;ROUNDUP(MONTH(D68)/3,0)</f>
        <v>2022-1</v>
      </c>
      <c r="E70" s="1314" t="str">
        <f t="shared" ref="E70:O70" si="19">YEAR(E68)&amp;"-"&amp;ROUNDUP(MONTH(E68)/3,0)</f>
        <v>2021-4</v>
      </c>
      <c r="F70" s="1314" t="str">
        <f t="shared" si="19"/>
        <v>2021-3</v>
      </c>
      <c r="G70" s="1314" t="str">
        <f t="shared" si="19"/>
        <v>2021-2</v>
      </c>
      <c r="H70" s="1314" t="str">
        <f t="shared" si="19"/>
        <v>2021-1</v>
      </c>
      <c r="I70" s="1314" t="str">
        <f t="shared" si="19"/>
        <v>2020-4</v>
      </c>
      <c r="J70" s="1314" t="str">
        <f t="shared" si="19"/>
        <v>2020-3</v>
      </c>
      <c r="K70" s="1314" t="str">
        <f t="shared" si="19"/>
        <v>2020-2</v>
      </c>
      <c r="L70" s="1314" t="str">
        <f t="shared" si="19"/>
        <v>2020-1</v>
      </c>
      <c r="M70" s="1314" t="str">
        <f t="shared" si="19"/>
        <v>2019-4</v>
      </c>
      <c r="N70" s="1314" t="str">
        <f t="shared" si="19"/>
        <v>2019-3</v>
      </c>
      <c r="O70" s="1314" t="str">
        <f t="shared" si="19"/>
        <v>2019-2</v>
      </c>
      <c r="P70" s="2971"/>
      <c r="Q70" s="2936"/>
      <c r="R70" s="2936"/>
      <c r="S70" s="2936"/>
      <c r="T70" s="2936"/>
      <c r="U70" s="2936"/>
      <c r="V70" s="2936"/>
      <c r="W70" s="2936"/>
      <c r="X70" s="2936"/>
      <c r="Y70" s="2936"/>
      <c r="Z70" s="2936"/>
      <c r="AA70" s="2936"/>
      <c r="AB70" s="2936"/>
      <c r="AC70" s="2936"/>
    </row>
    <row r="71" spans="1:29" s="113" customFormat="1" ht="30" customHeight="1">
      <c r="A71" s="2143" t="s">
        <v>27</v>
      </c>
      <c r="B71" s="294" t="str">
        <f>"北京市平均增长率"&amp;TEXT(SUMIF(基准地价修正!N21:N25,A71,基准地价修正!P21:P25),"0.00%")</f>
        <v>北京市平均增长率0.00%</v>
      </c>
      <c r="C71" s="560">
        <v>100</v>
      </c>
      <c r="D71" s="552">
        <f>C71-$C$72</f>
        <v>99</v>
      </c>
      <c r="E71" s="552">
        <f t="shared" ref="E71:M71" si="20">D71-$C$72</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11"/>
      <c r="P71" s="2934"/>
      <c r="Q71" s="2854"/>
      <c r="R71" s="2854"/>
      <c r="S71" s="2854"/>
      <c r="T71" s="2854"/>
      <c r="U71" s="2854"/>
      <c r="V71" s="2854"/>
      <c r="W71" s="2854"/>
      <c r="X71" s="2854"/>
      <c r="Y71" s="2854"/>
      <c r="Z71" s="2854"/>
      <c r="AA71" s="2854"/>
      <c r="AB71" s="2854"/>
      <c r="AC71" s="2854"/>
    </row>
    <row r="72" spans="1:29" s="113" customFormat="1" ht="15.75" thickBot="1">
      <c r="A72" s="472" t="s">
        <v>2345</v>
      </c>
      <c r="B72" s="473"/>
      <c r="C72" s="474">
        <v>1</v>
      </c>
      <c r="D72" s="475"/>
      <c r="E72" s="475"/>
      <c r="F72" s="475"/>
      <c r="G72" s="475"/>
      <c r="H72" s="475"/>
      <c r="I72" s="475"/>
      <c r="J72" s="475"/>
      <c r="K72" s="475"/>
      <c r="L72" s="475"/>
      <c r="M72" s="476"/>
      <c r="N72" s="475"/>
      <c r="O72" s="1073"/>
      <c r="P72" s="2934"/>
      <c r="Q72" s="2934"/>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2348</v>
      </c>
      <c r="B75" s="485" t="s">
        <v>2314</v>
      </c>
      <c r="C75" s="3259" t="s">
        <v>3302</v>
      </c>
      <c r="D75" s="487" t="s">
        <v>3303</v>
      </c>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v>100</v>
      </c>
      <c r="D76" s="493">
        <v>95</v>
      </c>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v>0</v>
      </c>
      <c r="D80" s="506">
        <v>1</v>
      </c>
      <c r="E80" s="506">
        <v>2</v>
      </c>
      <c r="F80" s="506">
        <v>3</v>
      </c>
      <c r="G80" s="506">
        <v>4</v>
      </c>
      <c r="H80" s="506">
        <v>5</v>
      </c>
      <c r="I80" s="506">
        <v>6</v>
      </c>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3261" t="s">
        <v>3305</v>
      </c>
      <c r="D82" s="3261" t="s">
        <v>3306</v>
      </c>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v>100</v>
      </c>
      <c r="D83" s="493">
        <v>98</v>
      </c>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t="str">
        <f>B13</f>
        <v>自持</v>
      </c>
      <c r="C84" s="3261" t="s">
        <v>3307</v>
      </c>
      <c r="D84" s="3261" t="s">
        <v>3308</v>
      </c>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v>100</v>
      </c>
      <c r="D85" s="517">
        <v>95</v>
      </c>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2543</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95</v>
      </c>
      <c r="E93" s="501">
        <f>D93-$K19</f>
        <v>90</v>
      </c>
      <c r="F93" s="501">
        <f>E93-$K19</f>
        <v>85</v>
      </c>
      <c r="G93" s="501">
        <f>F93-$K19</f>
        <v>80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97</v>
      </c>
      <c r="E95" s="501">
        <f>D95-$K21</f>
        <v>94</v>
      </c>
      <c r="F95" s="501">
        <f>E95-$K21</f>
        <v>91</v>
      </c>
      <c r="G95" s="501">
        <f>F95-$K21</f>
        <v>88</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2544</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2545</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5"/>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5"/>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3262" t="s">
        <v>3330</v>
      </c>
      <c r="D108" s="3262" t="s">
        <v>3331</v>
      </c>
      <c r="E108" s="3262" t="s">
        <v>3332</v>
      </c>
      <c r="F108" s="3262" t="s">
        <v>3333</v>
      </c>
      <c r="G108" s="3262" t="s">
        <v>3334</v>
      </c>
      <c r="H108" s="3262" t="s">
        <v>3335</v>
      </c>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98</v>
      </c>
      <c r="E109" s="501">
        <f t="shared" ref="E109:M109" si="25">D109-$K34</f>
        <v>96</v>
      </c>
      <c r="F109" s="501">
        <f t="shared" si="25"/>
        <v>94</v>
      </c>
      <c r="G109" s="501">
        <f t="shared" si="25"/>
        <v>92</v>
      </c>
      <c r="H109" s="501">
        <f t="shared" si="25"/>
        <v>90</v>
      </c>
      <c r="I109" s="501">
        <f t="shared" si="25"/>
        <v>88</v>
      </c>
      <c r="J109" s="501">
        <f t="shared" si="25"/>
        <v>86</v>
      </c>
      <c r="K109" s="501">
        <f t="shared" si="25"/>
        <v>84</v>
      </c>
      <c r="L109" s="501">
        <f t="shared" si="25"/>
        <v>82</v>
      </c>
      <c r="M109" s="501">
        <f t="shared" si="25"/>
        <v>80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5">
      <c r="A116" s="484" t="s">
        <v>2323</v>
      </c>
      <c r="B116" s="485" t="s">
        <v>2550</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v>0</v>
      </c>
      <c r="D117" s="552">
        <v>20000</v>
      </c>
      <c r="E117" s="552">
        <v>40000</v>
      </c>
      <c r="F117" s="552">
        <v>60000</v>
      </c>
      <c r="G117" s="552">
        <v>80000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v>100</v>
      </c>
      <c r="D118" s="548">
        <v>102</v>
      </c>
      <c r="E118" s="548">
        <v>104</v>
      </c>
      <c r="F118" s="548">
        <v>106</v>
      </c>
      <c r="G118" s="548">
        <v>108</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2551</v>
      </c>
      <c r="C119" s="3262" t="s">
        <v>3309</v>
      </c>
      <c r="D119" s="3262" t="s">
        <v>3310</v>
      </c>
      <c r="E119" s="3262" t="s">
        <v>3311</v>
      </c>
      <c r="F119" s="3262" t="s">
        <v>3312</v>
      </c>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2552</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2553</v>
      </c>
      <c r="C123" s="3261" t="s">
        <v>3313</v>
      </c>
      <c r="D123" s="3261" t="s">
        <v>3315</v>
      </c>
      <c r="E123" s="3261" t="s">
        <v>3317</v>
      </c>
      <c r="F123" s="3261" t="s">
        <v>3318</v>
      </c>
      <c r="G123" s="3261" t="s">
        <v>3320</v>
      </c>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98</v>
      </c>
      <c r="E124" s="501">
        <f t="shared" ref="E124:M124" si="29">D124-$K41</f>
        <v>96</v>
      </c>
      <c r="F124" s="501">
        <f t="shared" si="29"/>
        <v>94</v>
      </c>
      <c r="G124" s="501">
        <f t="shared" si="29"/>
        <v>92</v>
      </c>
      <c r="H124" s="501">
        <f t="shared" si="29"/>
        <v>90</v>
      </c>
      <c r="I124" s="501">
        <f t="shared" si="29"/>
        <v>88</v>
      </c>
      <c r="J124" s="501">
        <f t="shared" si="29"/>
        <v>86</v>
      </c>
      <c r="K124" s="501">
        <f t="shared" si="29"/>
        <v>84</v>
      </c>
      <c r="L124" s="501">
        <f t="shared" si="29"/>
        <v>82</v>
      </c>
      <c r="M124" s="502">
        <f t="shared" si="29"/>
        <v>80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2554</v>
      </c>
      <c r="C125" s="3261" t="s">
        <v>3321</v>
      </c>
      <c r="D125" s="3261" t="s">
        <v>3323</v>
      </c>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xr:uid="{00000000-0002-0000-3500-000000000000}">
      <formula1>住宅朝向</formula1>
    </dataValidation>
    <dataValidation type="list" allowBlank="1" showInputMessage="1" showErrorMessage="1" sqref="E28 C28 G28 I28" xr:uid="{00000000-0002-0000-3500-000001000000}">
      <formula1>公共配套设施</formula1>
    </dataValidation>
    <dataValidation type="list" allowBlank="1" showInputMessage="1" showErrorMessage="1" sqref="E22 C22 G22 I22" xr:uid="{00000000-0002-0000-3500-000002000000}">
      <formula1>交通便捷度</formula1>
    </dataValidation>
    <dataValidation type="list" allowBlank="1" showInputMessage="1" showErrorMessage="1" sqref="E16 G16 I16 C16" xr:uid="{00000000-0002-0000-3500-000003000000}">
      <formula1>居住社区成熟度</formula1>
    </dataValidation>
    <dataValidation type="list" allowBlank="1" showInputMessage="1" showErrorMessage="1" sqref="C26 E26 G26 I26" xr:uid="{00000000-0002-0000-3500-000004000000}">
      <formula1>环境</formula1>
    </dataValidation>
    <dataValidation type="list" allowBlank="1" showInputMessage="1" showErrorMessage="1" sqref="B46" xr:uid="{00000000-0002-0000-3500-000005000000}">
      <formula1>单价内涵</formula1>
    </dataValidation>
    <dataValidation type="list" allowBlank="1" showInputMessage="1" showErrorMessage="1" sqref="C8 E8 G8 I8" xr:uid="{00000000-0002-0000-3500-000006000000}">
      <formula1>套综交易情况</formula1>
    </dataValidation>
    <dataValidation type="list" allowBlank="1" showInputMessage="1" showErrorMessage="1" sqref="C9 E9 G9 I9" xr:uid="{00000000-0002-0000-3500-000007000000}">
      <formula1>套综用途</formula1>
    </dataValidation>
    <dataValidation type="list" allowBlank="1" showInputMessage="1" showErrorMessage="1" sqref="E18 C18 G18 I18" xr:uid="{00000000-0002-0000-3500-000008000000}">
      <formula1>商业繁华度</formula1>
    </dataValidation>
    <dataValidation type="list" allowBlank="1" showInputMessage="1" showErrorMessage="1" sqref="E20 C20 G20 I20" xr:uid="{00000000-0002-0000-3500-000009000000}">
      <formula1>办公集聚程度</formula1>
    </dataValidation>
    <dataValidation type="list" allowBlank="1" showInputMessage="1" showErrorMessage="1" sqref="C33 E33 G33 I33" xr:uid="{00000000-0002-0000-3500-00000A000000}">
      <formula1>套综道路等级</formula1>
    </dataValidation>
    <dataValidation type="list" allowBlank="1" showInputMessage="1" showErrorMessage="1" sqref="C34 E34 G34 I34" xr:uid="{00000000-0002-0000-3500-00000B000000}">
      <formula1>套综土地级别</formula1>
    </dataValidation>
    <dataValidation type="list" allowBlank="1" showInputMessage="1" showErrorMessage="1" sqref="C39 E39 G39 I39" xr:uid="{00000000-0002-0000-3500-00000C000000}">
      <formula1>套综宗地形状</formula1>
    </dataValidation>
    <dataValidation type="list" allowBlank="1" showInputMessage="1" showErrorMessage="1" sqref="C40 E40 G40 I40" xr:uid="{00000000-0002-0000-3500-00000D000000}">
      <formula1>套综临街宽度及深度</formula1>
    </dataValidation>
    <dataValidation type="list" allowBlank="1" showInputMessage="1" showErrorMessage="1" sqref="C41 E41 G41 I41" xr:uid="{00000000-0002-0000-3500-00000E000000}">
      <formula1>套综宗地内开发程度</formula1>
    </dataValidation>
    <dataValidation type="list" allowBlank="1" showInputMessage="1" showErrorMessage="1" sqref="C42 E42 G42 I42" xr:uid="{00000000-0002-0000-3500-00000F000000}">
      <formula1>套综工程地质条件</formula1>
    </dataValidation>
    <dataValidation type="list" allowBlank="1" showInputMessage="1" showErrorMessage="1" sqref="C31 E31 G31 I31" xr:uid="{00000000-0002-0000-3500-000010000000}">
      <formula1>临街状况</formula1>
    </dataValidation>
    <dataValidation type="list" allowBlank="1" showInputMessage="1" showErrorMessage="1" sqref="E24 G24 I24 C24" xr:uid="{00000000-0002-0000-3500-000011000000}">
      <formula1>区域土地利用方向</formula1>
    </dataValidation>
    <dataValidation type="list" allowBlank="1" showInputMessage="1" showErrorMessage="1" sqref="C55" xr:uid="{00000000-0002-0000-3500-000012000000}">
      <formula1>"北京市系数,其他省市系数"</formula1>
    </dataValidation>
    <dataValidation type="list" allowBlank="1" showInputMessage="1" showErrorMessage="1" sqref="G62" xr:uid="{00000000-0002-0000-3500-000013000000}">
      <formula1>"商业,办公,住宅,工业"</formula1>
    </dataValidation>
    <dataValidation type="list" allowBlank="1" showInputMessage="1" showErrorMessage="1" sqref="G63" xr:uid="{00000000-0002-0000-3500-000014000000}">
      <formula1>"住宅,工业"</formula1>
    </dataValidation>
    <dataValidation type="list" allowBlank="1" showInputMessage="1" showErrorMessage="1" sqref="D57:D65" xr:uid="{00000000-0002-0000-3500-000015000000}">
      <formula1>"25%,1"</formula1>
    </dataValidation>
    <dataValidation type="list" allowBlank="1" showInputMessage="1" showErrorMessage="1" sqref="C30 E30 G30 I30" xr:uid="{00000000-0002-0000-3500-000016000000}">
      <formula1>基础设施水平</formula1>
    </dataValidation>
    <dataValidation type="list" allowBlank="1" showInputMessage="1" showErrorMessage="1" sqref="A71" xr:uid="{00000000-0002-0000-3500-000017000000}">
      <formula1>"综合,商业,办公,住宅"</formula1>
    </dataValidation>
    <dataValidation type="list" allowBlank="1" showInputMessage="1" showErrorMessage="1" sqref="D47" xr:uid="{00000000-0002-0000-35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W10"/>
  <sheetViews>
    <sheetView topLeftCell="M1" workbookViewId="0">
      <selection activeCell="W5" sqref="W5"/>
    </sheetView>
  </sheetViews>
  <sheetFormatPr defaultColWidth="9" defaultRowHeight="13.5"/>
  <cols>
    <col min="1" max="1" width="73.125" style="3250" customWidth="1"/>
    <col min="2" max="3" width="20" style="3250" customWidth="1"/>
    <col min="4" max="4" width="10.875" style="3250" customWidth="1"/>
    <col min="5" max="5" width="8.5" style="3250" customWidth="1"/>
    <col min="6" max="7" width="7.25" style="3250" customWidth="1"/>
    <col min="8" max="8" width="10" style="3250" customWidth="1"/>
    <col min="9" max="9" width="20" style="3250" customWidth="1"/>
    <col min="10" max="10" width="13" style="3250" customWidth="1"/>
    <col min="11" max="11" width="13.5" style="3250" customWidth="1"/>
    <col min="12" max="12" width="9.5" style="3250" customWidth="1"/>
    <col min="13" max="13" width="26.125" style="3250" customWidth="1"/>
    <col min="14" max="14" width="13.375" style="3250" customWidth="1"/>
    <col min="15" max="16" width="12.5" style="3250" customWidth="1"/>
    <col min="17" max="18" width="12.375" style="3250" customWidth="1"/>
    <col min="19" max="19" width="20" style="3250" customWidth="1"/>
    <col min="20" max="16384" width="9" style="3250"/>
  </cols>
  <sheetData>
    <row r="1" spans="1:23" s="3252" customFormat="1" ht="27">
      <c r="A1" s="3252" t="s">
        <v>3227</v>
      </c>
      <c r="B1" s="3252" t="s">
        <v>3228</v>
      </c>
      <c r="C1" s="3252" t="s">
        <v>3229</v>
      </c>
      <c r="D1" s="3252" t="s">
        <v>3230</v>
      </c>
      <c r="E1" s="3252" t="s">
        <v>3231</v>
      </c>
      <c r="F1" s="3252" t="s">
        <v>3232</v>
      </c>
      <c r="G1" s="3253" t="s">
        <v>3293</v>
      </c>
      <c r="H1" s="3252" t="s">
        <v>3233</v>
      </c>
      <c r="I1" s="3252" t="s">
        <v>3234</v>
      </c>
      <c r="J1" s="3252" t="s">
        <v>3235</v>
      </c>
      <c r="K1" s="3252" t="s">
        <v>3236</v>
      </c>
      <c r="L1" s="3252" t="s">
        <v>3237</v>
      </c>
      <c r="M1" s="3252" t="s">
        <v>3238</v>
      </c>
      <c r="N1" s="3252" t="s">
        <v>3239</v>
      </c>
      <c r="O1" s="3252" t="s">
        <v>3240</v>
      </c>
      <c r="P1" s="3252" t="s">
        <v>3241</v>
      </c>
      <c r="Q1" s="3252" t="s">
        <v>3242</v>
      </c>
      <c r="R1" s="3252" t="s">
        <v>3243</v>
      </c>
    </row>
    <row r="2" spans="1:23" s="3254" customFormat="1">
      <c r="A2" s="3260" t="s">
        <v>3304</v>
      </c>
      <c r="B2" s="3254" t="s">
        <v>3244</v>
      </c>
      <c r="C2" s="3254" t="s">
        <v>3245</v>
      </c>
      <c r="D2" s="3254">
        <v>38252.550000000003</v>
      </c>
      <c r="E2" s="3254">
        <v>84155.61</v>
      </c>
      <c r="F2" s="3254">
        <v>2.2000000000000002</v>
      </c>
      <c r="G2" s="3254">
        <f>ROUND(E2/D2,2)</f>
        <v>2.2000000000000002</v>
      </c>
      <c r="H2" s="3254" t="s">
        <v>3246</v>
      </c>
      <c r="I2" s="3254" t="s">
        <v>3247</v>
      </c>
      <c r="J2" s="3255">
        <v>44495.000497685185</v>
      </c>
      <c r="K2" s="3255">
        <v>44495.000497685185</v>
      </c>
      <c r="L2" s="3254" t="s">
        <v>3248</v>
      </c>
      <c r="M2" s="3254" t="s">
        <v>3249</v>
      </c>
      <c r="N2" s="3254" t="s">
        <v>3250</v>
      </c>
      <c r="O2" s="3254">
        <v>35000</v>
      </c>
      <c r="P2" s="3254">
        <v>175000</v>
      </c>
      <c r="Q2" s="3254">
        <v>20795</v>
      </c>
      <c r="R2" s="3254">
        <v>0</v>
      </c>
      <c r="S2" s="3260" t="s">
        <v>3324</v>
      </c>
    </row>
    <row r="3" spans="1:23" s="3254" customFormat="1">
      <c r="A3" s="3254" t="s">
        <v>3251</v>
      </c>
      <c r="B3" s="3254" t="s">
        <v>3252</v>
      </c>
      <c r="C3" s="3254" t="s">
        <v>3245</v>
      </c>
      <c r="D3" s="3254">
        <v>30025.18</v>
      </c>
      <c r="E3" s="3254">
        <v>66055.39</v>
      </c>
      <c r="F3" s="3254">
        <v>2.2000000000000002</v>
      </c>
      <c r="G3" s="3254">
        <f t="shared" ref="G3:G10" si="0">ROUND(E3/D3,2)</f>
        <v>2.2000000000000002</v>
      </c>
      <c r="H3" s="3254" t="s">
        <v>3246</v>
      </c>
      <c r="I3" s="3254" t="s">
        <v>3247</v>
      </c>
      <c r="J3" s="3255">
        <v>44495.000497685185</v>
      </c>
      <c r="K3" s="3255">
        <v>44495.000497685185</v>
      </c>
      <c r="L3" s="3254" t="s">
        <v>3248</v>
      </c>
      <c r="M3" s="3254" t="s">
        <v>3253</v>
      </c>
      <c r="N3" s="3254" t="s">
        <v>3254</v>
      </c>
      <c r="O3" s="3254">
        <v>137000</v>
      </c>
      <c r="P3" s="3254">
        <v>137000</v>
      </c>
      <c r="Q3" s="3254">
        <v>20740</v>
      </c>
      <c r="R3" s="3254">
        <v>0</v>
      </c>
      <c r="S3" s="3260" t="s">
        <v>3324</v>
      </c>
    </row>
    <row r="4" spans="1:23" s="3254" customFormat="1">
      <c r="A4" s="3254" t="s">
        <v>3255</v>
      </c>
      <c r="B4" s="3254" t="s">
        <v>3256</v>
      </c>
      <c r="C4" s="3254" t="s">
        <v>3245</v>
      </c>
      <c r="D4" s="3254">
        <v>5907.54</v>
      </c>
      <c r="E4" s="3254">
        <v>21900</v>
      </c>
      <c r="F4" s="3254">
        <v>3.71</v>
      </c>
      <c r="G4" s="3254">
        <f t="shared" si="0"/>
        <v>3.71</v>
      </c>
      <c r="H4" s="3254" t="s">
        <v>3246</v>
      </c>
      <c r="I4" s="3254" t="s">
        <v>3257</v>
      </c>
      <c r="J4" s="3255">
        <v>44495.000497685185</v>
      </c>
      <c r="K4" s="3255">
        <v>44495.000497685185</v>
      </c>
      <c r="L4" s="3254" t="s">
        <v>3248</v>
      </c>
      <c r="M4" s="3254" t="s">
        <v>3258</v>
      </c>
      <c r="N4" s="3254" t="s">
        <v>3259</v>
      </c>
      <c r="O4" s="3254">
        <v>9500</v>
      </c>
      <c r="P4" s="3254">
        <v>46000</v>
      </c>
      <c r="Q4" s="3254">
        <v>21005</v>
      </c>
      <c r="R4" s="3254">
        <v>0</v>
      </c>
      <c r="S4" s="3260" t="s">
        <v>3325</v>
      </c>
      <c r="T4" s="3260" t="s">
        <v>3326</v>
      </c>
      <c r="U4" s="3260" t="s">
        <v>3327</v>
      </c>
      <c r="V4" s="3254">
        <f>3300+750+295+1271</f>
        <v>5616</v>
      </c>
      <c r="W4" s="3254">
        <f>ROUND((V4*0.4+P4)/(E4-V4)*10000,0)</f>
        <v>29628</v>
      </c>
    </row>
    <row r="5" spans="1:23">
      <c r="A5" s="3250" t="s">
        <v>3260</v>
      </c>
      <c r="B5" s="3250" t="s">
        <v>3261</v>
      </c>
      <c r="C5" s="3250" t="s">
        <v>3245</v>
      </c>
      <c r="D5" s="3250">
        <v>25121.77</v>
      </c>
      <c r="E5" s="3250">
        <v>55267.89</v>
      </c>
      <c r="F5" s="3250">
        <v>2.2000000000000002</v>
      </c>
      <c r="G5" s="3250">
        <f t="shared" si="0"/>
        <v>2.2000000000000002</v>
      </c>
      <c r="H5" s="3250" t="s">
        <v>3246</v>
      </c>
      <c r="I5" s="3250" t="s">
        <v>3247</v>
      </c>
      <c r="J5" s="3251">
        <v>44495.000497685185</v>
      </c>
      <c r="K5" s="3251">
        <v>44495.000497685185</v>
      </c>
      <c r="L5" s="3250" t="s">
        <v>3248</v>
      </c>
      <c r="M5" s="3250" t="s">
        <v>3262</v>
      </c>
      <c r="N5" s="3250" t="s">
        <v>3263</v>
      </c>
      <c r="O5" s="3250">
        <v>23000</v>
      </c>
      <c r="P5" s="3250">
        <v>115000</v>
      </c>
      <c r="Q5" s="3250">
        <v>20808</v>
      </c>
      <c r="R5" s="3250">
        <v>0</v>
      </c>
    </row>
    <row r="6" spans="1:23">
      <c r="A6" s="3250" t="s">
        <v>3264</v>
      </c>
      <c r="B6" s="3250" t="s">
        <v>3265</v>
      </c>
      <c r="C6" s="3250" t="s">
        <v>3245</v>
      </c>
      <c r="D6" s="3250">
        <v>51788.13</v>
      </c>
      <c r="E6" s="3250">
        <v>184800</v>
      </c>
      <c r="F6" s="3250" t="s">
        <v>3266</v>
      </c>
      <c r="G6" s="3250">
        <f t="shared" si="0"/>
        <v>3.57</v>
      </c>
      <c r="H6" s="3250" t="s">
        <v>3246</v>
      </c>
      <c r="I6" s="3250" t="s">
        <v>3267</v>
      </c>
      <c r="J6" s="3251">
        <v>44167.000497685185</v>
      </c>
      <c r="K6" s="3251">
        <v>44167.000497685185</v>
      </c>
      <c r="L6" s="3250" t="s">
        <v>3248</v>
      </c>
      <c r="M6" s="3250" t="s">
        <v>3268</v>
      </c>
      <c r="N6" s="3250" t="s">
        <v>3269</v>
      </c>
      <c r="O6" s="3250">
        <v>115000</v>
      </c>
      <c r="P6" s="3250">
        <v>579500</v>
      </c>
      <c r="Q6" s="3250">
        <v>31358</v>
      </c>
      <c r="R6" s="3250">
        <v>1.58</v>
      </c>
    </row>
    <row r="7" spans="1:23">
      <c r="A7" s="3250" t="s">
        <v>3270</v>
      </c>
      <c r="B7" s="3250" t="s">
        <v>3271</v>
      </c>
      <c r="C7" s="3250" t="s">
        <v>3245</v>
      </c>
      <c r="D7" s="3250">
        <v>7289.19</v>
      </c>
      <c r="E7" s="3250">
        <v>21867.57</v>
      </c>
      <c r="F7" s="3250" t="s">
        <v>3272</v>
      </c>
      <c r="G7" s="3250">
        <f t="shared" si="0"/>
        <v>3</v>
      </c>
      <c r="H7" s="3250" t="s">
        <v>3246</v>
      </c>
      <c r="I7" s="3250" t="s">
        <v>3273</v>
      </c>
      <c r="J7" s="3251">
        <v>43923.000497685185</v>
      </c>
      <c r="K7" s="3251">
        <v>43923.000497685185</v>
      </c>
      <c r="L7" s="3250" t="s">
        <v>3248</v>
      </c>
      <c r="M7" s="3250" t="s">
        <v>3274</v>
      </c>
      <c r="N7" s="3250" t="s">
        <v>3275</v>
      </c>
      <c r="O7" s="3250">
        <v>7100</v>
      </c>
      <c r="P7" s="3250">
        <v>35200</v>
      </c>
      <c r="Q7" s="3250">
        <v>16097</v>
      </c>
      <c r="R7" s="3250">
        <v>0</v>
      </c>
    </row>
    <row r="8" spans="1:23">
      <c r="A8" s="3250" t="s">
        <v>3276</v>
      </c>
      <c r="B8" s="3250" t="s">
        <v>3277</v>
      </c>
      <c r="C8" s="3250" t="s">
        <v>3245</v>
      </c>
      <c r="D8" s="3250">
        <v>70601.070000000007</v>
      </c>
      <c r="E8" s="3250">
        <v>285523</v>
      </c>
      <c r="F8" s="3250" t="s">
        <v>3278</v>
      </c>
      <c r="G8" s="3250">
        <f t="shared" si="0"/>
        <v>4.04</v>
      </c>
      <c r="H8" s="3250" t="s">
        <v>3279</v>
      </c>
      <c r="I8" s="3250" t="s">
        <v>3280</v>
      </c>
      <c r="J8" s="3251">
        <v>43801.000497685185</v>
      </c>
      <c r="K8" s="3251">
        <v>43801.000497685185</v>
      </c>
      <c r="L8" s="3250" t="s">
        <v>3248</v>
      </c>
      <c r="M8" s="3250" t="s">
        <v>3281</v>
      </c>
      <c r="N8" s="3250" t="s">
        <v>3282</v>
      </c>
      <c r="O8" s="3250">
        <v>131000</v>
      </c>
      <c r="P8" s="3250">
        <v>660900</v>
      </c>
      <c r="Q8" s="3250">
        <v>23147</v>
      </c>
      <c r="R8" s="3250">
        <v>0</v>
      </c>
    </row>
    <row r="9" spans="1:23">
      <c r="A9" s="3250" t="s">
        <v>3283</v>
      </c>
      <c r="B9" s="3250" t="s">
        <v>3284</v>
      </c>
      <c r="C9" s="3250" t="s">
        <v>3245</v>
      </c>
      <c r="D9" s="3250">
        <v>22035.93</v>
      </c>
      <c r="E9" s="3250">
        <v>61700.6</v>
      </c>
      <c r="F9" s="3250" t="s">
        <v>3285</v>
      </c>
      <c r="G9" s="3250">
        <f t="shared" si="0"/>
        <v>2.8</v>
      </c>
      <c r="H9" s="3250" t="s">
        <v>3246</v>
      </c>
      <c r="I9" s="3250" t="s">
        <v>3267</v>
      </c>
      <c r="J9" s="3251">
        <v>43650.000497685185</v>
      </c>
      <c r="K9" s="3251">
        <v>43650.000497685185</v>
      </c>
      <c r="L9" s="3250" t="s">
        <v>3248</v>
      </c>
      <c r="M9" s="3250" t="s">
        <v>3286</v>
      </c>
      <c r="N9" s="3250" t="s">
        <v>3287</v>
      </c>
      <c r="O9" s="3250">
        <v>21000</v>
      </c>
      <c r="P9" s="3250">
        <v>103700</v>
      </c>
      <c r="Q9" s="3250">
        <v>16807</v>
      </c>
      <c r="R9" s="3250">
        <v>0</v>
      </c>
    </row>
    <row r="10" spans="1:23">
      <c r="A10" s="3250" t="s">
        <v>3288</v>
      </c>
      <c r="B10" s="3250" t="s">
        <v>3289</v>
      </c>
      <c r="C10" s="3250" t="s">
        <v>3245</v>
      </c>
      <c r="D10" s="3250">
        <v>32158.94</v>
      </c>
      <c r="E10" s="3250">
        <v>96476.82</v>
      </c>
      <c r="F10" s="3250" t="s">
        <v>3272</v>
      </c>
      <c r="G10" s="3250">
        <f t="shared" si="0"/>
        <v>3</v>
      </c>
      <c r="H10" s="3250" t="s">
        <v>3246</v>
      </c>
      <c r="I10" s="3250" t="s">
        <v>3290</v>
      </c>
      <c r="J10" s="3251">
        <v>43613.000497685185</v>
      </c>
      <c r="K10" s="3251">
        <v>43613.000497685185</v>
      </c>
      <c r="L10" s="3250" t="s">
        <v>3248</v>
      </c>
      <c r="M10" s="3250" t="s">
        <v>3291</v>
      </c>
      <c r="N10" s="3250" t="s">
        <v>3292</v>
      </c>
      <c r="O10" s="3250">
        <v>53000</v>
      </c>
      <c r="P10" s="3250">
        <v>263800</v>
      </c>
      <c r="Q10" s="3250">
        <v>27343</v>
      </c>
      <c r="R10" s="3250">
        <v>0</v>
      </c>
    </row>
  </sheetData>
  <phoneticPr fontId="14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323" t="s">
        <v>1567</v>
      </c>
      <c r="B1" s="3323"/>
      <c r="C1" s="3323"/>
      <c r="D1" s="3323"/>
    </row>
    <row r="2" spans="1:4" ht="18">
      <c r="A2" s="3324" t="s">
        <v>1551</v>
      </c>
      <c r="B2" s="3324"/>
      <c r="C2" s="3324"/>
      <c r="D2" s="3324"/>
    </row>
    <row r="3" spans="1:4" ht="18.75">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8">
      <c r="A6" s="3324" t="s">
        <v>1557</v>
      </c>
      <c r="B6" s="3324"/>
      <c r="C6" s="3324"/>
      <c r="D6" s="3324"/>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325" t="s">
        <v>1560</v>
      </c>
      <c r="B11" s="3317"/>
      <c r="C11" s="3317"/>
      <c r="D11" s="3317"/>
    </row>
    <row r="12" spans="1:4" ht="15.75">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2"/>
      <c r="C12" s="3322"/>
      <c r="D12" s="3322"/>
    </row>
    <row r="13" spans="1:4" ht="30" customHeight="1">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2"/>
      <c r="C13" s="3322"/>
      <c r="D13" s="3322"/>
    </row>
    <row r="14" spans="1:4" ht="15.75" customHeight="1">
      <c r="A14" s="3317" t="str">
        <f>IF(项目基本情况!B8="抵押","4.本次评估估价师所知悉的法定优先受偿款情况说明如下：","——")</f>
        <v>4.本次评估估价师所知悉的法定优先受偿款情况说明如下：</v>
      </c>
      <c r="B14" s="3322"/>
      <c r="C14" s="3322"/>
      <c r="D14" s="3322"/>
    </row>
    <row r="15" spans="1:4" ht="42" customHeight="1">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spans="1:4" ht="30" customHeight="1">
      <c r="A16" s="3319" t="s">
        <v>1561</v>
      </c>
      <c r="B16" s="3319"/>
      <c r="C16" s="3319"/>
      <c r="D16" s="3319"/>
    </row>
    <row r="17" spans="1:4" ht="144" customHeight="1">
      <c r="A17" s="3319" t="s">
        <v>1562</v>
      </c>
      <c r="B17" s="3319"/>
      <c r="C17" s="3319"/>
      <c r="D17" s="3319"/>
    </row>
    <row r="18" spans="1:4" ht="15.75" customHeight="1">
      <c r="A18" s="3317" t="str">
        <f>IF(项目基本情况!B8="抵押",结果表!K120,"——")</f>
        <v>故，本次评估不存在估价师知悉的法定优先受偿款</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7"/>
      <c r="C20" s="3317"/>
      <c r="D20" s="3317"/>
    </row>
    <row r="21" spans="1:4" ht="57.75" customHeight="1">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0"/>
      <c r="C21" s="3320"/>
      <c r="D21" s="3320"/>
    </row>
    <row r="22" spans="1:4" ht="18.75" customHeight="1">
      <c r="A22" s="3321" t="s">
        <v>1563</v>
      </c>
      <c r="B22" s="3321"/>
      <c r="C22" s="3321"/>
      <c r="D22" s="3321"/>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318">
        <v>42551</v>
      </c>
      <c r="D31" s="33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331" t="s">
        <v>1574</v>
      </c>
      <c r="B15" s="3326" t="s">
        <v>136</v>
      </c>
      <c r="C15" s="3327"/>
    </row>
    <row r="16" spans="1:7" ht="13.5">
      <c r="A16" s="3332"/>
      <c r="B16" s="3326" t="s">
        <v>69</v>
      </c>
      <c r="C16" s="3327"/>
    </row>
    <row r="17" spans="1:3" ht="13.5">
      <c r="A17" s="3332"/>
      <c r="B17" s="3329" t="s">
        <v>1575</v>
      </c>
      <c r="C17" s="1685" t="s">
        <v>1574</v>
      </c>
    </row>
    <row r="18" spans="1:3" ht="13.5">
      <c r="A18" s="3332"/>
      <c r="B18" s="3329"/>
      <c r="C18" s="1685" t="s">
        <v>1576</v>
      </c>
    </row>
    <row r="19" spans="1:3" ht="13.5">
      <c r="A19" s="3332"/>
      <c r="B19" s="3329"/>
      <c r="C19" s="1685" t="s">
        <v>1577</v>
      </c>
    </row>
    <row r="20" spans="1:3" ht="13.5">
      <c r="A20" s="3333"/>
      <c r="B20" s="3328" t="s">
        <v>1578</v>
      </c>
      <c r="C20" s="3327"/>
    </row>
    <row r="21" spans="1:3" ht="13.5">
      <c r="A21" s="1686" t="s">
        <v>1579</v>
      </c>
      <c r="B21" s="1687"/>
      <c r="C21" s="1688"/>
    </row>
    <row r="22" spans="1:3" ht="13.5">
      <c r="A22" s="3330" t="s">
        <v>1580</v>
      </c>
      <c r="B22" s="3328" t="s">
        <v>1581</v>
      </c>
      <c r="C22" s="3327"/>
    </row>
    <row r="23" spans="1:3" ht="13.5">
      <c r="A23" s="3330"/>
      <c r="B23" s="3328" t="s">
        <v>1582</v>
      </c>
      <c r="C23" s="3327"/>
    </row>
    <row r="24" spans="1:3" ht="13.5">
      <c r="A24" s="3330"/>
      <c r="B24" s="3328" t="s">
        <v>1583</v>
      </c>
      <c r="C24" s="3327"/>
    </row>
    <row r="25" spans="1:3" ht="13.5">
      <c r="A25" s="3330"/>
      <c r="B25" s="3329" t="s">
        <v>1584</v>
      </c>
      <c r="C25" s="1685" t="s">
        <v>1585</v>
      </c>
    </row>
    <row r="26" spans="1:3" ht="13.5">
      <c r="A26" s="3330"/>
      <c r="B26" s="3329"/>
      <c r="C26" s="1685" t="s">
        <v>1586</v>
      </c>
    </row>
    <row r="27" spans="1:3" ht="13.5">
      <c r="A27" s="3330"/>
      <c r="B27" s="3329"/>
      <c r="C27" s="1685" t="s">
        <v>1587</v>
      </c>
    </row>
    <row r="28" spans="1:3" ht="13.5">
      <c r="A28" s="3330"/>
      <c r="B28" s="3329"/>
      <c r="C28" s="1685" t="s">
        <v>1588</v>
      </c>
    </row>
    <row r="29" spans="1:3" ht="13.5">
      <c r="A29" s="3330"/>
      <c r="B29" s="3329"/>
      <c r="C29" s="1685" t="s">
        <v>1589</v>
      </c>
    </row>
    <row r="30" spans="1:3" ht="13.5">
      <c r="A30" s="3330"/>
      <c r="B30" s="3329"/>
      <c r="C30" s="1685" t="s">
        <v>1590</v>
      </c>
    </row>
    <row r="31" spans="1:3" ht="13.5">
      <c r="A31" s="3330"/>
      <c r="B31" s="3329"/>
      <c r="C31" s="1685" t="s">
        <v>1591</v>
      </c>
    </row>
    <row r="32" spans="1:3" ht="13.5">
      <c r="A32" s="3330"/>
      <c r="B32" s="3329"/>
      <c r="C32" s="1685" t="s">
        <v>1592</v>
      </c>
    </row>
    <row r="33" spans="1:3" ht="13.5">
      <c r="A33" s="3330"/>
      <c r="B33" s="3329"/>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2820</v>
      </c>
      <c r="B2" s="2529">
        <f ca="1">TODAY()</f>
        <v>44666</v>
      </c>
      <c r="C2" s="2530" t="s">
        <v>2821</v>
      </c>
      <c r="D2" s="2530"/>
      <c r="E2" s="2530"/>
      <c r="F2" s="2526"/>
      <c r="G2" s="2526"/>
      <c r="H2" s="2526"/>
    </row>
    <row r="3" spans="1:8" ht="24" customHeight="1">
      <c r="A3" s="2531" t="s">
        <v>2822</v>
      </c>
      <c r="B3" s="2532" t="s">
        <v>2823</v>
      </c>
      <c r="C3" s="2532" t="s">
        <v>2824</v>
      </c>
      <c r="D3" s="2533" t="s">
        <v>2825</v>
      </c>
      <c r="E3" s="2534" t="s">
        <v>2826</v>
      </c>
      <c r="F3" s="1442" t="s">
        <v>2827</v>
      </c>
      <c r="G3" s="2532" t="s">
        <v>2824</v>
      </c>
      <c r="H3" s="2533" t="s">
        <v>2828</v>
      </c>
    </row>
    <row r="4" spans="1:8" ht="24" customHeight="1">
      <c r="A4" s="1442" t="s">
        <v>2829</v>
      </c>
      <c r="B4" s="1442">
        <f ca="1">IF(C4&lt;B2,"已过期",1119970066)</f>
        <v>1119970066</v>
      </c>
      <c r="C4" s="2535">
        <v>44876</v>
      </c>
      <c r="D4" s="2536" t="str">
        <f ca="1">A4&amp;"（注册号："&amp;B4&amp;"）"</f>
        <v>梁津（注册号：1119970066）</v>
      </c>
      <c r="E4" s="2537" t="s">
        <v>2829</v>
      </c>
      <c r="F4" s="1442">
        <f ca="1">IF(G4&lt;B2,"已过期",96010014)</f>
        <v>96010014</v>
      </c>
      <c r="G4" s="2538">
        <v>47118</v>
      </c>
      <c r="H4" s="2539" t="str">
        <f ca="1">E4&amp;"（注册号："&amp;F4&amp;"）"</f>
        <v>梁津（注册号：96010014）</v>
      </c>
    </row>
    <row r="5" spans="1:8" ht="24" customHeight="1">
      <c r="A5" s="1442" t="s">
        <v>2830</v>
      </c>
      <c r="B5" s="1442">
        <f ca="1">IF(C5&lt;B2,"已过期",1119970111)</f>
        <v>1119970111</v>
      </c>
      <c r="C5" s="2535">
        <v>44876</v>
      </c>
      <c r="D5" s="2536" t="str">
        <f t="shared" ref="D5:D15" ca="1" si="0">A5&amp;"（注册号："&amp;B5&amp;"）"</f>
        <v>叶凌（注册号：1119970111）</v>
      </c>
      <c r="E5" s="2537" t="s">
        <v>2830</v>
      </c>
      <c r="F5" s="1442">
        <f ca="1">IF(G5&lt;B2,"已过期",94010078)</f>
        <v>94010078</v>
      </c>
      <c r="G5" s="2538">
        <v>46387</v>
      </c>
      <c r="H5" s="2539" t="str">
        <f t="shared" ref="H5:H16" ca="1" si="1">E5&amp;"（注册号："&amp;F5&amp;"）"</f>
        <v>叶凌（注册号：94010078）</v>
      </c>
    </row>
    <row r="6" spans="1:8" ht="24" customHeight="1">
      <c r="A6" s="1442" t="s">
        <v>2831</v>
      </c>
      <c r="B6" s="1442" t="str">
        <f ca="1">IF(C6&lt;B2,"已过期",1120050019)</f>
        <v>已过期</v>
      </c>
      <c r="C6" s="2535">
        <v>44395</v>
      </c>
      <c r="D6" s="2536" t="str">
        <f t="shared" ca="1" si="0"/>
        <v>王鹏（注册号：已过期）</v>
      </c>
      <c r="E6" s="2537" t="s">
        <v>2831</v>
      </c>
      <c r="F6" s="1442">
        <f ca="1">IF(G6&lt;B2,"已过期",2002110030)</f>
        <v>2002110030</v>
      </c>
      <c r="G6" s="2538">
        <v>46387</v>
      </c>
      <c r="H6" s="2539" t="str">
        <f t="shared" ca="1" si="1"/>
        <v>王鹏（注册号：2002110030）</v>
      </c>
    </row>
    <row r="7" spans="1:8" ht="24" customHeight="1">
      <c r="A7" s="1442" t="s">
        <v>2832</v>
      </c>
      <c r="B7" s="1442">
        <f ca="1">IF(C7&lt;B2,"已过期",1120000080)</f>
        <v>1120000080</v>
      </c>
      <c r="C7" s="2535">
        <v>44876</v>
      </c>
      <c r="D7" s="2536" t="str">
        <f t="shared" ca="1" si="0"/>
        <v>欧红伟（注册号：1120000080）</v>
      </c>
      <c r="E7" s="2537" t="s">
        <v>2832</v>
      </c>
      <c r="F7" s="1442">
        <f ca="1">IF(G7&lt;B2,"已过期",2000110082)</f>
        <v>2000110082</v>
      </c>
      <c r="G7" s="2538">
        <v>46387</v>
      </c>
      <c r="H7" s="2539" t="str">
        <f t="shared" ca="1" si="1"/>
        <v>欧红伟（注册号：2000110082）</v>
      </c>
    </row>
    <row r="8" spans="1:8" ht="24" customHeight="1">
      <c r="A8" s="1442" t="s">
        <v>2833</v>
      </c>
      <c r="B8" s="1442">
        <f ca="1">IF(C8&lt;B2,"已过期",1419970001)</f>
        <v>1419970001</v>
      </c>
      <c r="C8" s="2535">
        <v>44899</v>
      </c>
      <c r="D8" s="2536" t="str">
        <f t="shared" ca="1" si="0"/>
        <v>吴薇（注册号：1419970001）</v>
      </c>
      <c r="E8" s="2537" t="s">
        <v>2833</v>
      </c>
      <c r="F8" s="1442">
        <f ca="1">IF(G8&lt;B2,"已过期",2002110125)</f>
        <v>2002110125</v>
      </c>
      <c r="G8" s="2538">
        <v>47118</v>
      </c>
      <c r="H8" s="2539" t="str">
        <f t="shared" ca="1" si="1"/>
        <v>吴薇（注册号：2002110125）</v>
      </c>
    </row>
    <row r="9" spans="1:8" ht="24" customHeight="1">
      <c r="A9" s="1442" t="s">
        <v>2834</v>
      </c>
      <c r="B9" s="1442" t="str">
        <f ca="1">IF(C9&lt;B2,"已过期",1120060040)</f>
        <v>已过期</v>
      </c>
      <c r="C9" s="2540">
        <v>44554</v>
      </c>
      <c r="D9" s="2536" t="str">
        <f t="shared" ca="1" si="0"/>
        <v>陈颖（注册号：已过期）</v>
      </c>
      <c r="E9" s="2537" t="s">
        <v>2834</v>
      </c>
      <c r="F9" s="1442">
        <f ca="1">IF(G9&lt;B2,"已过期",2004110096)</f>
        <v>2004110096</v>
      </c>
      <c r="G9" s="2538">
        <v>47118</v>
      </c>
      <c r="H9" s="2539" t="str">
        <f t="shared" ca="1" si="1"/>
        <v>陈颖（注册号：2004110096）</v>
      </c>
    </row>
    <row r="10" spans="1:8" ht="24" customHeight="1">
      <c r="A10" s="1442" t="s">
        <v>2835</v>
      </c>
      <c r="B10" s="1442">
        <f ca="1">IF(C10&lt;B2,"已过期",1120100036)</f>
        <v>1120100036</v>
      </c>
      <c r="C10" s="2540">
        <v>44675</v>
      </c>
      <c r="D10" s="2536" t="str">
        <f t="shared" ca="1" si="0"/>
        <v>崔锴（注册号：1120100036）</v>
      </c>
      <c r="E10" s="2537" t="s">
        <v>2835</v>
      </c>
      <c r="F10" s="1442">
        <f ca="1">IF(G10&lt;B2,"已过期",2010110070)</f>
        <v>2010110070</v>
      </c>
      <c r="G10" s="2538">
        <v>47907</v>
      </c>
      <c r="H10" s="2539" t="str">
        <f t="shared" ca="1" si="1"/>
        <v>崔锴（注册号：2010110070）</v>
      </c>
    </row>
    <row r="11" spans="1:8" ht="24" customHeight="1">
      <c r="A11" s="1442" t="s">
        <v>2836</v>
      </c>
      <c r="B11" s="1442">
        <f ca="1">IF(C11&lt;B2,"已过期",1120070131)</f>
        <v>1120070131</v>
      </c>
      <c r="C11" s="2535">
        <v>44849</v>
      </c>
      <c r="D11" s="2536" t="str">
        <f t="shared" ca="1" si="0"/>
        <v>郑燚（注册号：1120070131）</v>
      </c>
      <c r="E11" s="2537" t="s">
        <v>2836</v>
      </c>
      <c r="F11" s="1442">
        <f ca="1">IF(G11&lt;B2,"已过期",2014110011)</f>
        <v>2014110011</v>
      </c>
      <c r="G11" s="2538">
        <v>49302</v>
      </c>
      <c r="H11" s="2539" t="str">
        <f t="shared" ca="1" si="1"/>
        <v>郑燚（注册号：2014110011）</v>
      </c>
    </row>
    <row r="12" spans="1:8" ht="24" customHeight="1">
      <c r="A12" s="1442" t="s">
        <v>2837</v>
      </c>
      <c r="B12" s="1442">
        <f ca="1">IF(C12&lt;B2,"已过期",1120040230)</f>
        <v>1120040230</v>
      </c>
      <c r="C12" s="2540">
        <v>44864</v>
      </c>
      <c r="D12" s="2536" t="str">
        <f t="shared" ca="1" si="0"/>
        <v>苏海（注册号：1120040230）</v>
      </c>
      <c r="E12" s="2537" t="s">
        <v>2837</v>
      </c>
      <c r="F12" s="1442">
        <f ca="1">IF(G12&lt;B2,"已过期",98030020)</f>
        <v>98030020</v>
      </c>
      <c r="G12" s="2538">
        <v>47118</v>
      </c>
      <c r="H12" s="2539" t="str">
        <f t="shared" ca="1" si="1"/>
        <v>苏海（注册号：98030020）</v>
      </c>
    </row>
    <row r="13" spans="1:8" ht="24" customHeight="1">
      <c r="A13" s="1442" t="s">
        <v>2838</v>
      </c>
      <c r="B13" s="1442" t="str">
        <f ca="1">IF(C13&lt;B2,"已过期",1120020033)</f>
        <v>已过期</v>
      </c>
      <c r="C13" s="2535">
        <v>44339</v>
      </c>
      <c r="D13" s="2536" t="str">
        <f t="shared" ca="1" si="0"/>
        <v>刘敬东（注册号：已过期）</v>
      </c>
      <c r="E13" s="2537" t="s">
        <v>2838</v>
      </c>
      <c r="F13" s="1442">
        <f ca="1">IF(G13&lt;B2,"已过期",2000110137)</f>
        <v>2000110137</v>
      </c>
      <c r="G13" s="2538">
        <v>46387</v>
      </c>
      <c r="H13" s="2539" t="str">
        <f t="shared" ca="1" si="1"/>
        <v>刘敬东（注册号：2000110137）</v>
      </c>
    </row>
    <row r="14" spans="1:8" ht="24" customHeight="1">
      <c r="A14" s="1442" t="s">
        <v>2839</v>
      </c>
      <c r="B14" s="1442">
        <f ca="1">IF(C14&lt;B2,"已过期",1119980106)</f>
        <v>1119980106</v>
      </c>
      <c r="C14" s="2540">
        <v>44969</v>
      </c>
      <c r="D14" s="2536" t="str">
        <f t="shared" ca="1" si="0"/>
        <v>刘俊财（注册号：1119980106）</v>
      </c>
      <c r="E14" s="2537" t="s">
        <v>2839</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2840</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334" t="s">
        <v>2841</v>
      </c>
      <c r="B17" s="3334"/>
      <c r="C17" s="3334"/>
      <c r="D17" s="3334"/>
      <c r="E17" s="3334"/>
      <c r="F17" s="3334"/>
      <c r="G17" s="3334"/>
      <c r="H17" s="3334"/>
    </row>
    <row r="18" spans="1:8" ht="24" customHeight="1">
      <c r="A18" s="3335" t="s">
        <v>2842</v>
      </c>
      <c r="B18" s="3335"/>
      <c r="C18" s="3335"/>
      <c r="D18" s="2533"/>
      <c r="E18" s="3336" t="s">
        <v>2843</v>
      </c>
      <c r="F18" s="3335"/>
      <c r="G18" s="3335"/>
    </row>
    <row r="19" spans="1:8" s="2544" customFormat="1" ht="24" customHeight="1">
      <c r="A19" s="2543" t="s">
        <v>2844</v>
      </c>
      <c r="B19" s="2532" t="s">
        <v>2845</v>
      </c>
      <c r="C19" s="2532" t="s">
        <v>2824</v>
      </c>
      <c r="D19" s="2533"/>
      <c r="E19" s="2537" t="s">
        <v>2844</v>
      </c>
      <c r="F19" s="2532" t="s">
        <v>2845</v>
      </c>
      <c r="G19" s="2532" t="s">
        <v>2824</v>
      </c>
    </row>
    <row r="20" spans="1:8" s="2544" customFormat="1" ht="24" customHeight="1">
      <c r="A20" s="2545" t="s">
        <v>2846</v>
      </c>
      <c r="B20" s="2545" t="s">
        <v>2847</v>
      </c>
      <c r="C20" s="2538">
        <v>44820</v>
      </c>
      <c r="D20" s="2546"/>
      <c r="E20" s="2547" t="s">
        <v>2848</v>
      </c>
      <c r="F20" s="2545" t="s">
        <v>2849</v>
      </c>
      <c r="G20" s="2548">
        <v>44377</v>
      </c>
    </row>
    <row r="21" spans="1:8" s="2544" customFormat="1" ht="24" customHeight="1">
      <c r="A21" s="2545"/>
      <c r="B21" s="2545"/>
      <c r="C21" s="2549"/>
      <c r="D21" s="2550"/>
      <c r="E21" s="2547" t="s">
        <v>2850</v>
      </c>
      <c r="F21" s="2551" t="s">
        <v>2851</v>
      </c>
      <c r="G21" s="2552">
        <v>44012</v>
      </c>
    </row>
    <row r="22" spans="1:8" ht="24" customHeight="1">
      <c r="C22" s="2553"/>
      <c r="D22" s="2553"/>
      <c r="E22" s="2554"/>
      <c r="F22" s="2555"/>
      <c r="G22" s="2556" t="s">
        <v>2852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71" priority="51">
      <formula>AND($C4-TODAY()&lt;30,TODAY()&lt;$C4)</formula>
    </cfRule>
  </conditionalFormatting>
  <conditionalFormatting sqref="C20:D20">
    <cfRule type="expression" dxfId="270" priority="50">
      <formula>AND($C20-TODAY()&lt;30,TODAY()&lt;$C20)</formula>
    </cfRule>
  </conditionalFormatting>
  <conditionalFormatting sqref="C20:D20 G4 C4:D5 C13:D13">
    <cfRule type="cellIs" dxfId="269" priority="52" stopIfTrue="1" operator="lessThan">
      <formula>$B$2</formula>
    </cfRule>
  </conditionalFormatting>
  <conditionalFormatting sqref="G5 G7 G9">
    <cfRule type="cellIs" dxfId="268" priority="49" stopIfTrue="1" operator="lessThan">
      <formula>$B$2</formula>
    </cfRule>
  </conditionalFormatting>
  <conditionalFormatting sqref="C6:D6 D14 D16">
    <cfRule type="expression" dxfId="267" priority="47">
      <formula>AND($C6-TODAY()&lt;30,TODAY()&lt;$C6)</formula>
    </cfRule>
  </conditionalFormatting>
  <conditionalFormatting sqref="G6 G8 G10 C6:D6 D7:D12 D14 D16">
    <cfRule type="cellIs" dxfId="266" priority="48" stopIfTrue="1" operator="lessThan">
      <formula>$B$2</formula>
    </cfRule>
  </conditionalFormatting>
  <conditionalFormatting sqref="D12">
    <cfRule type="expression" dxfId="265" priority="45">
      <formula>AND($C12-TODAY()&lt;30,TODAY()&lt;$C12)</formula>
    </cfRule>
  </conditionalFormatting>
  <conditionalFormatting sqref="D12">
    <cfRule type="cellIs" dxfId="264" priority="46" stopIfTrue="1" operator="lessThan">
      <formula>$B$2</formula>
    </cfRule>
  </conditionalFormatting>
  <conditionalFormatting sqref="C13:D13">
    <cfRule type="expression" dxfId="263" priority="43">
      <formula>AND($C13-TODAY()&lt;30,TODAY()&lt;$C13)</formula>
    </cfRule>
  </conditionalFormatting>
  <conditionalFormatting sqref="C13:D13">
    <cfRule type="cellIs" dxfId="262" priority="44" stopIfTrue="1" operator="lessThan">
      <formula>$B$2</formula>
    </cfRule>
  </conditionalFormatting>
  <conditionalFormatting sqref="D14">
    <cfRule type="expression" dxfId="261" priority="41">
      <formula>AND($C14-TODAY()&lt;30,TODAY()&lt;$C14)</formula>
    </cfRule>
  </conditionalFormatting>
  <conditionalFormatting sqref="D14">
    <cfRule type="cellIs" dxfId="260" priority="42" stopIfTrue="1" operator="lessThan">
      <formula>$B$2</formula>
    </cfRule>
  </conditionalFormatting>
  <conditionalFormatting sqref="G13">
    <cfRule type="cellIs" dxfId="259" priority="40" stopIfTrue="1" operator="lessThan">
      <formula>$B$2</formula>
    </cfRule>
  </conditionalFormatting>
  <conditionalFormatting sqref="B4:B11 F4:F11 B13 F13:F14">
    <cfRule type="cellIs" dxfId="258" priority="39" stopIfTrue="1" operator="equal">
      <formula>"已过期"</formula>
    </cfRule>
  </conditionalFormatting>
  <conditionalFormatting sqref="G20">
    <cfRule type="expression" dxfId="257" priority="37">
      <formula>AND($E20-TODAY()&lt;30,TODAY()&lt;$E20)</formula>
    </cfRule>
  </conditionalFormatting>
  <conditionalFormatting sqref="G20">
    <cfRule type="cellIs" dxfId="256" priority="38" stopIfTrue="1" operator="lessThan">
      <formula>$B$2</formula>
    </cfRule>
  </conditionalFormatting>
  <conditionalFormatting sqref="C7">
    <cfRule type="expression" dxfId="255" priority="35">
      <formula>AND($C7-TODAY()&lt;30,TODAY()&lt;$C7)</formula>
    </cfRule>
  </conditionalFormatting>
  <conditionalFormatting sqref="C7">
    <cfRule type="cellIs" dxfId="254" priority="36" stopIfTrue="1" operator="lessThan">
      <formula>$B$2</formula>
    </cfRule>
  </conditionalFormatting>
  <conditionalFormatting sqref="C8">
    <cfRule type="expression" dxfId="253" priority="33">
      <formula>AND($C8-TODAY()&lt;30,TODAY()&lt;$C8)</formula>
    </cfRule>
  </conditionalFormatting>
  <conditionalFormatting sqref="C8">
    <cfRule type="cellIs" dxfId="252" priority="34" stopIfTrue="1" operator="lessThan">
      <formula>$B$2</formula>
    </cfRule>
  </conditionalFormatting>
  <conditionalFormatting sqref="C11">
    <cfRule type="expression" dxfId="251" priority="31">
      <formula>AND($C11-TODAY()&lt;30,TODAY()&lt;$C11)</formula>
    </cfRule>
  </conditionalFormatting>
  <conditionalFormatting sqref="C11">
    <cfRule type="cellIs" dxfId="250" priority="32" stopIfTrue="1" operator="lessThan">
      <formula>$B$2</formula>
    </cfRule>
  </conditionalFormatting>
  <conditionalFormatting sqref="A16:C16">
    <cfRule type="cellIs" dxfId="249" priority="30" stopIfTrue="1" operator="equal">
      <formula>"已过期"</formula>
    </cfRule>
  </conditionalFormatting>
  <conditionalFormatting sqref="E16:G16">
    <cfRule type="cellIs" dxfId="248" priority="29" stopIfTrue="1" operator="equal">
      <formula>"已过期"</formula>
    </cfRule>
  </conditionalFormatting>
  <conditionalFormatting sqref="G11">
    <cfRule type="cellIs" dxfId="247" priority="28" stopIfTrue="1" operator="lessThan">
      <formula>$B$2</formula>
    </cfRule>
  </conditionalFormatting>
  <conditionalFormatting sqref="F12">
    <cfRule type="cellIs" dxfId="246" priority="27" stopIfTrue="1" operator="equal">
      <formula>"已过期"</formula>
    </cfRule>
  </conditionalFormatting>
  <conditionalFormatting sqref="G12">
    <cfRule type="cellIs" dxfId="245" priority="26" stopIfTrue="1" operator="lessThan">
      <formula>$B$2</formula>
    </cfRule>
  </conditionalFormatting>
  <conditionalFormatting sqref="C12">
    <cfRule type="cellIs" dxfId="244" priority="25" stopIfTrue="1" operator="lessThan">
      <formula>$B$2</formula>
    </cfRule>
  </conditionalFormatting>
  <conditionalFormatting sqref="C12">
    <cfRule type="expression" dxfId="243" priority="23">
      <formula>AND($C12-TODAY()&lt;30,TODAY()&lt;$C12)</formula>
    </cfRule>
  </conditionalFormatting>
  <conditionalFormatting sqref="C12">
    <cfRule type="cellIs" dxfId="242" priority="24" stopIfTrue="1" operator="lessThan">
      <formula>$B$2</formula>
    </cfRule>
  </conditionalFormatting>
  <conditionalFormatting sqref="B12">
    <cfRule type="cellIs" dxfId="241" priority="22" stopIfTrue="1" operator="equal">
      <formula>"已过期"</formula>
    </cfRule>
  </conditionalFormatting>
  <conditionalFormatting sqref="C9:C10">
    <cfRule type="expression" dxfId="240" priority="20">
      <formula>AND($C9-TODAY()&lt;30,TODAY()&lt;$C9)</formula>
    </cfRule>
  </conditionalFormatting>
  <conditionalFormatting sqref="C9:C10">
    <cfRule type="cellIs" dxfId="239" priority="21" stopIfTrue="1" operator="lessThan">
      <formula>$B$2</formula>
    </cfRule>
  </conditionalFormatting>
  <conditionalFormatting sqref="G21">
    <cfRule type="expression" dxfId="238" priority="18" stopIfTrue="1">
      <formula>AND(#REF!-TODAY()&lt;30,TODAY()&lt;#REF!)</formula>
    </cfRule>
  </conditionalFormatting>
  <conditionalFormatting sqref="G21">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C14">
    <cfRule type="expression" dxfId="234" priority="14">
      <formula>AND($C14-TODAY()&lt;30,TODAY()&lt;$C14)</formula>
    </cfRule>
  </conditionalFormatting>
  <conditionalFormatting sqref="C14">
    <cfRule type="cellIs" dxfId="233" priority="15" stopIfTrue="1" operator="lessThan">
      <formula>$B$2</formula>
    </cfRule>
  </conditionalFormatting>
  <conditionalFormatting sqref="B14">
    <cfRule type="cellIs" dxfId="232" priority="13" stopIfTrue="1" operator="equal">
      <formula>"已过期"</formula>
    </cfRule>
  </conditionalFormatting>
  <conditionalFormatting sqref="G14">
    <cfRule type="cellIs" dxfId="231" priority="12"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D15">
    <cfRule type="expression" dxfId="228" priority="8">
      <formula>AND($C15-TODAY()&lt;30,TODAY()&lt;$C15)</formula>
    </cfRule>
  </conditionalFormatting>
  <conditionalFormatting sqref="D15">
    <cfRule type="cellIs" dxfId="227" priority="9" stopIfTrue="1" operator="lessThan">
      <formula>$B$2</formula>
    </cfRule>
  </conditionalFormatting>
  <conditionalFormatting sqref="F15">
    <cfRule type="cellIs" dxfId="226" priority="7" stopIfTrue="1" operator="equal">
      <formula>"已过期"</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C15">
    <cfRule type="expression" dxfId="223" priority="3">
      <formula>AND($C15-TODAY()&lt;30,TODAY()&lt;$C15)</formula>
    </cfRule>
  </conditionalFormatting>
  <conditionalFormatting sqref="C15">
    <cfRule type="cellIs" dxfId="222" priority="4" stopIfTrue="1" operator="lessThan">
      <formula>$B$2</formula>
    </cfRule>
  </conditionalFormatting>
  <conditionalFormatting sqref="B15">
    <cfRule type="cellIs" dxfId="221" priority="2" stopIfTrue="1" operator="equal">
      <formula>"已过期"</formula>
    </cfRule>
  </conditionalFormatting>
  <conditionalFormatting sqref="G15">
    <cfRule type="cellIs" dxfId="22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166</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结果表合并</vt:lpstr>
      <vt:lpstr>结果表</vt:lpstr>
      <vt:lpstr>成本法 (元)</vt:lpstr>
      <vt:lpstr>假设开发法</vt:lpstr>
      <vt:lpstr>比较法-办公</vt:lpstr>
      <vt:lpstr>典型户型修正 (办公)</vt:lpstr>
      <vt:lpstr>比较法案例</vt:lpstr>
      <vt:lpstr>收益法</vt:lpstr>
      <vt:lpstr>收益法 (元)</vt:lpstr>
      <vt:lpstr>收益法-酒店模型</vt:lpstr>
      <vt:lpstr>结果表 (地下综合)</vt:lpstr>
      <vt:lpstr>成本法</vt:lpstr>
      <vt:lpstr>收益法 (地下综合)</vt:lpstr>
      <vt:lpstr>结果表 (地下车库) </vt:lpstr>
      <vt:lpstr>成本法 (地下车库)</vt:lpstr>
      <vt:lpstr>收益法 (地下车库)</vt:lpstr>
      <vt:lpstr>收益法（汇总）</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(土增税)</vt:lpstr>
      <vt:lpstr>土地比较法-住宅、综合</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(地下车库) '!Print_Area</vt:lpstr>
      <vt:lpstr>'结果表 (地下综合)'!Print_Area</vt:lpstr>
      <vt:lpstr>'结果表 (土增税)'!Print_Area</vt:lpstr>
      <vt:lpstr>收益法!Print_Area</vt:lpstr>
      <vt:lpstr>'收益法 (地下车库)'!Print_Area</vt:lpstr>
      <vt:lpstr>'收益法 (地下综合)'!Print_Area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(办公)'!一修多修正项2</vt:lpstr>
      <vt:lpstr>一修多修正项2</vt:lpstr>
      <vt:lpstr>'典型户型修正 (办公)'!一修多修正项3</vt:lpstr>
      <vt:lpstr>一修多修正项3</vt:lpstr>
      <vt:lpstr>'典型户型修正 (办公)'!一修多修正项4</vt:lpstr>
      <vt:lpstr>一修多修正项4</vt:lpstr>
      <vt:lpstr>'典型户型修正 (办公)'!一修多修正项5</vt:lpstr>
      <vt:lpstr>一修多修正项5</vt:lpstr>
      <vt:lpstr>'典型户型修正 (办公)'!一修多修正项6</vt:lpstr>
      <vt:lpstr>一修多修正项6</vt:lpstr>
      <vt:lpstr>'典型户型修正 (办公)'!一修多修正项7</vt:lpstr>
      <vt:lpstr>一修多修正项7</vt:lpstr>
      <vt:lpstr>'典型户型修正 (办公)'!一修多修正项8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2022-04-15T07:44:38Z</dcterms:modified>
</cp:coreProperties>
</file>