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案例" sheetId="81" r:id="rId21"/>
    <sheet name="大宗案例" sheetId="82" r:id="rId22"/>
    <sheet name="收益法" sheetId="15" r:id="rId23"/>
    <sheet name="租赁台账" sheetId="83" r:id="rId24"/>
    <sheet name="成本法" sheetId="68" r:id="rId25"/>
    <sheet name="成本法 (元)" sheetId="69" state="hidden" r:id="rId26"/>
    <sheet name="假设开发法" sheetId="12" state="hidden" r:id="rId27"/>
    <sheet name="基准地价修正" sheetId="4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案例!$A$1:$W$41</definedName>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23">'[4]比较法-办公'!$B$119:$M$119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23">'[4]比较法-办公'!$B$91:$M$91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23">'[4]比较法-办公'!$B$87:$M$87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23">'[4]比较法-办公'!$B$108:$M$108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23">'[4]比较法-办公'!$B$117:$M$117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23">[4]定义!$M$1:$M$6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23">'[4]比较法-办公'!$B$106:$M$106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23">'[4]比较法-办公'!$B$101:$M$101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23">'[4]比较法-办公'!$A$62:$M$62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23">'[4]比较法-办公'!$B$89:$M$89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23">'[4]比较法-办公'!$B$123:$M$123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23">'[4]比较法-办公'!$B$115:$M$115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23">'[4]比较法-办公'!$B$64:$M$64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23">'[4]比较法-仓储'!$B$77:$M$77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23">'[4]比较法-仓储'!$A$49:$M$49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23">'[4]比较法-仓储'!$B$69:$M$69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23">'[4]比较法-仓储'!$B$82:$M$82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23">'[4]比较法-仓储'!$B$51:$M$51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23">[4]定义!$N$1:$N$6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23">'[4]比较法-车位'!$B$83:$M$83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23">'[4]比较法-车位'!$A$51:$M$51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23">'[4]比较法-车位'!$B$93:$M$93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23">'[4]比较法-车位'!$B$71:$M$71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23">'[4]比较法-车位'!$B$79:$M$79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23">'[4]比较法-车位'!$B$88:$M$88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23">'[4]比较法-车位'!$B$53:$M$53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23">'[4]数据-取费表'!$A$53:$A$63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23">[4]定义!$V$1:$V$3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23">[4]定义!$H$1:$H$9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23">[4]修正!$C$19:$C$51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23">[4]定义!$G$1:$G$6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23">'[4]比较法-工业'!$B$95:$M$95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23">'[4]比较法-工业'!$B$102:$M$102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23">'[4]比较法-工业'!$B$93:$M$93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23">'[4]比较法-工业'!$B$88:$M$88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23">'[4]比较法-工业'!$A$55:$M$55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23">'[4]比较法-工业'!$B$104:$M$104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23">'[4]比较法-工业'!$B$100:$M$100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23">'[4]比较法-工业'!$B$57:$M$57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23">[4]定义!$Q$1:$Q$6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23">[4]定义!$D$1:$D$4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23">[4]定义!$B$1:$B$50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23">[4]定义!$S$1:$S$6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23">[4]定义!$R$1:$R$6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23">[4]定义!$B$54:$B$56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23">[4]定义!$O$1:$O$6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23">[4]定义!$K$1:$K$6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23">[4]定义!$J$1:$J$3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23">[4]定义!$T$1:$T$5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23">[4]定义!$U$1:$U$6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23">[4]修正!$A$8:$A$16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23">[4]定义!$P$1:$P$6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23">'[4]比较法-商业'!$B$116:$M$116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23">[4]定义!$L$1:$L$6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23">'[4]比较法-商业'!$B$107:$M$107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23">'[4]比较法-商业'!$B$112:$M$112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23">'[4]比较法-商业'!$B$105:$M$105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23">'[4]比较法-商业'!$A$61:$M$61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23">[4]修正!$C$71:$C$138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23">'[4]比较法-商业'!$B$120:$M$120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23">'[4]比较法-商业'!$B$100:$M$100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23">'[4]比较法-商业'!$B$86:$M$86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23">'[4]比较法-商业'!$B$92:$M$92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23">'[4]比较法-商业'!$B$122:$M$122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23">'[4]比较法-商业'!$B$90:$M$90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23">'[4]比较法-商业'!$B$114:$M$114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23">'[4]比较法-商业'!$B$63:$M$63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23">'[4]比较法-仓储'!$B$89:$M$89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23">'[4]比较法-车位'!$B$95:$M$95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23">'[4]土地比较法-工业'!$B$97:$M$97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23">'[4]土地比较法-工业'!$B$114:$M$114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23">'[4]土地比较法-住宅、综合'!$A$72:$M$72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23">'[4]土地比较法-工业'!$B$99:$M$99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23">'[4]土地比较法-工业'!$B$70:$M$70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23">'[4]土地比较法-工业'!$B$112:$M$112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23">'[4]土地比较法-工业'!$B$110:$M$110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23">'[4]土地比较法-住宅、综合'!$B$105:$M$105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23">'[4]土地比较法-住宅、综合'!$B$124:$M$124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23">'[4]土地比较法-住宅、综合'!$A$72:$M$72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23">'[4]土地比较法-住宅、综合'!$B$120:$M$120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23">'[4]土地比较法-住宅、综合'!$B$107:$M$107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23">'[4]土地比较法-住宅、综合'!$B$74:$M$74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23">'[4]土地比较法-住宅、综合'!$B$122:$M$122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23">'[4]土地比较法-住宅、综合'!$B$118:$M$118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23">[4]定义!$C$1:$C$14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23">[4]定义!$E$2:$E$4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23">[4]定义!$W$1:$W$6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29">'[7]数据-汇总表'!$C$17:$C$26</definedName>
    <definedName name="项目类型" localSheetId="23">'[4]数据-汇总表'!$C$17:$C$26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23">'[4]比较法-办公'!$B$113:$M$113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23">[4]典型户型修正!$5:$5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23">[4]典型户型修正!$7:$7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23">[4]典型户型修正!$9:$9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23">[4]典型户型修正!$11:$11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23">[4]典型户型修正!$13:$13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23">[4]典型户型修正!$15:$15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23">[4]典型户型修正!$17:$17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23">[4]定义!$A$1:$A$50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23">'[4]比较法-仓储'!$B$84:$M$84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23">[4]定义!$F$1:$F$12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23">'[4]比较法-住宅'!$B$88:$M$88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23">'[4]比较法-住宅'!$B$118:$M$118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23">'[4]比较法-住宅'!$B$109:$M$109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23">'[4]比较法-住宅'!$B$116:$M$116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23">'[4]比较法-住宅'!$B$105:$M$105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23">'[4]比较法-住宅'!$B$100:$M$100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23">'[4]比较法-住宅'!$B$107:$M$107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23">'[4]比较法-住宅'!$A$61:$M$61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23">'[4]比较法-住宅'!$B$86:$M$86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23">'[4]比较法-住宅'!$B$122:$M$122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23">'[4]比较法-住宅'!$B$114:$M$114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23">'[4]比较法-住宅'!$B$63:$M$63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23">[4]估价师及机构信息!$A$3:$A$16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Q71" i="83" l="1"/>
  <c r="O71" i="83"/>
  <c r="N70" i="83"/>
  <c r="N69" i="83"/>
  <c r="N67" i="83"/>
  <c r="N66" i="83"/>
  <c r="H76" i="83"/>
  <c r="D71" i="83"/>
  <c r="O70" i="83"/>
  <c r="J70" i="83"/>
  <c r="J71" i="83" s="1"/>
  <c r="I70" i="83"/>
  <c r="G70" i="83"/>
  <c r="O69" i="83"/>
  <c r="I69" i="83"/>
  <c r="G69" i="83"/>
  <c r="G68" i="83"/>
  <c r="O67" i="83"/>
  <c r="G67" i="83"/>
  <c r="O66" i="83"/>
  <c r="I66" i="83"/>
  <c r="G66" i="83"/>
  <c r="N19" i="1" l="1"/>
  <c r="N6" i="1"/>
  <c r="B14" i="74" l="1"/>
  <c r="H20" i="83" l="1"/>
  <c r="M19" i="83"/>
  <c r="L19" i="83"/>
  <c r="L18" i="83"/>
  <c r="M18" i="83" s="1"/>
  <c r="M17" i="83"/>
  <c r="L17" i="83"/>
  <c r="L16" i="83"/>
  <c r="M16" i="83" s="1"/>
  <c r="M15" i="83"/>
  <c r="L15" i="83"/>
  <c r="L14" i="83"/>
  <c r="M14" i="83" s="1"/>
  <c r="M13" i="83"/>
  <c r="L13" i="83"/>
  <c r="L12" i="83"/>
  <c r="M12" i="83" s="1"/>
  <c r="M11" i="83"/>
  <c r="L11" i="83"/>
  <c r="L10" i="83"/>
  <c r="M10" i="83" s="1"/>
  <c r="M9" i="83"/>
  <c r="L9" i="83"/>
  <c r="L8" i="83"/>
  <c r="M8" i="83" s="1"/>
  <c r="M7" i="83"/>
  <c r="L7" i="83"/>
  <c r="L6" i="83"/>
  <c r="M6" i="83" s="1"/>
  <c r="M5" i="83"/>
  <c r="M20" i="83" s="1"/>
  <c r="L20" i="83" s="1"/>
  <c r="L5" i="83"/>
  <c r="D14" i="9"/>
  <c r="D42" i="43"/>
  <c r="D33" i="43"/>
  <c r="J49" i="15"/>
  <c r="E48" i="34"/>
  <c r="P59" i="34"/>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C37" i="34"/>
  <c r="C34" i="34"/>
  <c r="L27" i="1"/>
  <c r="L26" i="1"/>
  <c r="N27" i="1"/>
  <c r="N26" i="1"/>
  <c r="N25" i="1" l="1"/>
  <c r="L25" i="1"/>
  <c r="M25" i="1" s="1"/>
  <c r="L31" i="1"/>
  <c r="L33" i="1" l="1"/>
  <c r="L30" i="1"/>
  <c r="N30" i="1" s="1"/>
  <c r="L28" i="1"/>
  <c r="N28" i="1" s="1"/>
  <c r="N24" i="1" s="1"/>
  <c r="L24" i="1"/>
  <c r="M24" i="1" l="1"/>
  <c r="M31" i="1" s="1"/>
  <c r="N31" i="1" s="1"/>
  <c r="N33" i="1" s="1"/>
  <c r="M33" i="1" s="1"/>
  <c r="D123" i="34" l="1"/>
  <c r="E123" i="34"/>
  <c r="F123" i="34"/>
  <c r="C123" i="34"/>
  <c r="G117" i="34"/>
  <c r="F117" i="34"/>
  <c r="E117" i="34"/>
  <c r="D117" i="34"/>
  <c r="C117" i="34"/>
  <c r="N7" i="82" l="1"/>
  <c r="AH6" i="1" l="1"/>
  <c r="Y6" i="1"/>
  <c r="B35" i="1"/>
  <c r="B21" i="1"/>
  <c r="G19" i="6"/>
  <c r="F19" i="6"/>
  <c r="K13" i="3"/>
  <c r="I13" i="3"/>
  <c r="E37" i="80"/>
  <c r="E42" i="80" s="1"/>
  <c r="E44" i="80" s="1"/>
  <c r="F36" i="80"/>
  <c r="E36" i="80"/>
  <c r="G36" i="80" s="1"/>
  <c r="E35" i="80"/>
  <c r="M2" i="80"/>
  <c r="N2" i="80" s="1"/>
  <c r="L2" i="80"/>
  <c r="I13" i="4"/>
  <c r="H13" i="4"/>
  <c r="E38" i="80"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44" i="43"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c r="J30" i="34"/>
  <c r="H32" i="34"/>
  <c r="F32" i="34"/>
  <c r="AA32" i="34" s="1"/>
  <c r="J32" i="34"/>
  <c r="W32" i="34" s="1"/>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AB35" i="34"/>
  <c r="U39" i="34"/>
  <c r="AB41" i="34"/>
  <c r="AA25" i="34"/>
  <c r="U28" i="34"/>
  <c r="S17"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7" i="34"/>
  <c r="AC14" i="34"/>
  <c r="AC32" i="34"/>
  <c r="W46" i="34"/>
  <c r="AC46" i="34"/>
  <c r="S32" i="34"/>
  <c r="U30" i="34"/>
  <c r="AB30" i="34"/>
  <c r="S37" i="34"/>
  <c r="S19" i="34"/>
  <c r="AA36" i="34"/>
  <c r="AA8" i="34"/>
  <c r="S8" i="34"/>
  <c r="AB9" i="34"/>
  <c r="U9" i="34"/>
  <c r="S46" i="34"/>
  <c r="U32" i="34"/>
  <c r="AB32" i="34"/>
  <c r="U14" i="34"/>
  <c r="AB14"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4" i="43"/>
  <c r="B62" i="43"/>
  <c r="B65" i="43"/>
  <c r="B69" i="43"/>
  <c r="D23" i="15"/>
  <c r="E4" i="4"/>
  <c r="B5" i="62" s="1"/>
  <c r="B73" i="72" s="1"/>
  <c r="C4" i="4"/>
  <c r="F30" i="68"/>
  <c r="F48" i="68" s="1"/>
  <c r="F31" i="12"/>
  <c r="F52" i="9"/>
  <c r="F30" i="69"/>
  <c r="F48" i="69" s="1"/>
  <c r="F32" i="15"/>
  <c r="F60" i="15" s="1"/>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D34" i="9"/>
  <c r="L47" i="67"/>
  <c r="F6" i="73"/>
  <c r="M24" i="15"/>
  <c r="F40" i="15"/>
  <c r="F37" i="67"/>
  <c r="F13" i="15"/>
  <c r="E7" i="76"/>
  <c r="E9" i="76"/>
  <c r="J15" i="15"/>
  <c r="F7" i="73"/>
  <c r="M26" i="15"/>
  <c r="M9" i="67"/>
  <c r="L48" i="67"/>
  <c r="D35" i="9"/>
  <c r="M29" i="15"/>
  <c r="M8" i="67"/>
  <c r="B11" i="76"/>
  <c r="L48" i="15"/>
  <c r="M8" i="15"/>
  <c r="F16" i="15"/>
  <c r="E11" i="76"/>
  <c r="M23" i="15"/>
  <c r="AO13" i="1"/>
  <c r="M26" i="67"/>
  <c r="M6" i="67"/>
  <c r="F26" i="15"/>
  <c r="F8" i="67"/>
  <c r="F6" i="15"/>
  <c r="E2" i="68"/>
  <c r="B13" i="76"/>
  <c r="F9" i="15"/>
  <c r="B7" i="76"/>
  <c r="F42" i="15"/>
  <c r="F3" i="73"/>
  <c r="F36" i="67"/>
  <c r="M23" i="67"/>
  <c r="B12" i="76"/>
  <c r="F5" i="73"/>
  <c r="E10" i="76"/>
  <c r="F4" i="73"/>
  <c r="F7" i="67"/>
  <c r="F13" i="67"/>
  <c r="M29" i="67"/>
  <c r="F6" i="67"/>
  <c r="F7" i="15"/>
  <c r="J15" i="67"/>
  <c r="F42" i="67"/>
  <c r="F43" i="15"/>
  <c r="M6" i="15"/>
  <c r="F16" i="67"/>
  <c r="L47" i="15"/>
  <c r="F26" i="67"/>
  <c r="F38" i="15"/>
  <c r="E13" i="76"/>
  <c r="B8" i="76"/>
  <c r="F40" i="67"/>
  <c r="B10" i="76"/>
  <c r="D6" i="73"/>
  <c r="M28" i="15"/>
  <c r="F43" i="67"/>
  <c r="C76" i="67"/>
  <c r="F37" i="15"/>
  <c r="E12" i="76"/>
  <c r="E8" i="76"/>
  <c r="F38" i="67"/>
  <c r="F36" i="15"/>
  <c r="C76" i="15"/>
  <c r="B9" i="76"/>
  <c r="F8" i="15"/>
  <c r="M24" i="67"/>
  <c r="M28" i="67"/>
  <c r="M22" i="67"/>
  <c r="F9" i="67"/>
  <c r="M22" i="15"/>
  <c r="M9" i="15"/>
  <c r="F20" i="31"/>
  <c r="J43" i="34" l="1"/>
  <c r="F43" i="34"/>
  <c r="AA43" i="34" s="1"/>
  <c r="H43" i="34"/>
  <c r="AB43" i="34" s="1"/>
  <c r="AA45" i="34"/>
  <c r="AB40" i="34"/>
  <c r="S35" i="34"/>
  <c r="W9" i="34"/>
  <c r="S28" i="34"/>
  <c r="AA11" i="39"/>
  <c r="U43" i="34"/>
  <c r="AC40" i="34"/>
  <c r="AA33" i="34"/>
  <c r="W33" i="34"/>
  <c r="S44" i="34"/>
  <c r="S43" i="34"/>
  <c r="AC36" i="34"/>
  <c r="AB33" i="34"/>
  <c r="S21" i="34"/>
  <c r="AC17" i="34"/>
  <c r="AB17" i="34"/>
  <c r="F78" i="34"/>
  <c r="G78" i="34" s="1"/>
  <c r="F15" i="34"/>
  <c r="AA15" i="34" s="1"/>
  <c r="J15" i="34"/>
  <c r="H15" i="34"/>
  <c r="AB15" i="34" s="1"/>
  <c r="AB45" i="34"/>
  <c r="AC39" i="34"/>
  <c r="AC44" i="34"/>
  <c r="W29" i="34"/>
  <c r="W31" i="34"/>
  <c r="U38" i="34"/>
  <c r="AB36" i="34"/>
  <c r="AB46" i="34"/>
  <c r="AB23" i="34"/>
  <c r="U25" i="34"/>
  <c r="U19" i="34"/>
  <c r="AB8" i="34"/>
  <c r="U21" i="34"/>
  <c r="AA40" i="34"/>
  <c r="S23" i="34"/>
  <c r="B58" i="43"/>
  <c r="B77" i="43"/>
  <c r="B51" i="43"/>
  <c r="F28" i="15"/>
  <c r="F32" i="67"/>
  <c r="F60" i="67" s="1"/>
  <c r="F28" i="67"/>
  <c r="M18" i="15"/>
  <c r="M18" i="67"/>
  <c r="F30" i="11"/>
  <c r="C48" i="11" s="1"/>
  <c r="C40" i="69"/>
  <c r="C40" i="11"/>
  <c r="C21" i="68"/>
  <c r="E19" i="11"/>
  <c r="E19" i="68"/>
  <c r="D22" i="15"/>
  <c r="BC5" i="3"/>
  <c r="F29" i="6"/>
  <c r="A15" i="62"/>
  <c r="B61" i="72" s="1"/>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7" i="73"/>
  <c r="D4" i="73"/>
  <c r="D3" i="73"/>
  <c r="C16" i="15"/>
  <c r="C16" i="67"/>
  <c r="U15" i="34" l="1"/>
  <c r="W43" i="34"/>
  <c r="AC43" i="34"/>
  <c r="E83" i="43"/>
  <c r="B81" i="43" s="1"/>
  <c r="AC15" i="34"/>
  <c r="W15" i="34"/>
  <c r="S15" i="34"/>
  <c r="P6" i="1"/>
  <c r="C13" i="12" s="1"/>
  <c r="G26" i="43"/>
  <c r="J26" i="43"/>
  <c r="N94" i="46"/>
  <c r="F26" i="43"/>
  <c r="E26" i="43"/>
  <c r="D20" i="53"/>
  <c r="B40" i="72"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AC6" i="3" l="1"/>
  <c r="D26" i="43"/>
  <c r="C25" i="43" s="1"/>
  <c r="C33"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G54" i="34" l="1"/>
  <c r="H54" i="34" s="1"/>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11"/>
  <c r="D41" i="11" s="1"/>
  <c r="C26" i="11"/>
  <c r="D22" i="11" s="1"/>
  <c r="C66" i="67"/>
  <c r="C60" i="67"/>
  <c r="D10" i="69"/>
  <c r="C34" i="69"/>
  <c r="D10" i="68"/>
  <c r="C17" i="15"/>
  <c r="C14" i="67"/>
  <c r="C17" i="67"/>
  <c r="C24" i="11" l="1"/>
  <c r="C44" i="68"/>
  <c r="D41" i="68" s="1"/>
  <c r="C25" i="11"/>
  <c r="C22" i="11" s="1"/>
  <c r="C31"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6" i="68"/>
  <c r="C7" i="68" s="1"/>
  <c r="C5" i="68"/>
  <c r="C23"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9" i="1"/>
  <c r="AO11" i="1"/>
  <c r="AO8" i="1"/>
  <c r="C19" i="9"/>
  <c r="AO7" i="1"/>
  <c r="AO10"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G21" i="9" s="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C104" i="9" s="1"/>
  <c r="D118" i="9"/>
  <c r="D4" i="52" s="1"/>
  <c r="B47" i="72" s="1"/>
  <c r="G118" i="9" l="1"/>
  <c r="G4" i="52" s="1"/>
  <c r="B52" i="72" s="1"/>
  <c r="D119" i="9"/>
  <c r="D5" i="52" s="1"/>
  <c r="B49" i="72" s="1"/>
  <c r="H101" i="9"/>
  <c r="D14" i="74" s="1"/>
  <c r="G14" i="74" s="1"/>
  <c r="B6" i="74" s="1"/>
  <c r="D6" i="74" s="1"/>
  <c r="F4" i="52"/>
  <c r="B51" i="72" s="1"/>
  <c r="H119" i="9"/>
  <c r="H5" i="52" s="1"/>
  <c r="H4" i="52"/>
  <c r="I118" i="9"/>
  <c r="F14" i="74" l="1"/>
  <c r="B5" i="74"/>
  <c r="D5" i="74" s="1"/>
  <c r="B1" i="74"/>
  <c r="E14" i="74"/>
  <c r="D5" i="53"/>
  <c r="M48" i="9"/>
  <c r="D45" i="9"/>
  <c r="H107" i="9"/>
  <c r="I4" i="52"/>
  <c r="E118" i="9"/>
  <c r="E4" i="52" s="1"/>
  <c r="B48" i="72" s="1"/>
  <c r="H102" i="9"/>
  <c r="C105" i="9"/>
  <c r="D53" i="9" l="1"/>
  <c r="C72" i="9"/>
  <c r="D55" i="9"/>
  <c r="M53" i="9" s="1"/>
  <c r="D52" i="9"/>
  <c r="C64" i="9"/>
  <c r="C63" i="9" s="1"/>
  <c r="C67" i="9" s="1"/>
  <c r="C85" i="9"/>
  <c r="C93" i="9"/>
  <c r="C86" i="9" s="1"/>
  <c r="C78" i="9"/>
  <c r="C73" i="9" s="1"/>
  <c r="H108" i="9"/>
  <c r="D122" i="9"/>
  <c r="M49" i="9"/>
  <c r="D13" i="53"/>
  <c r="C5" i="74"/>
  <c r="D7" i="53"/>
  <c r="B21" i="72" s="1"/>
  <c r="B20" i="72"/>
  <c r="D6" i="53"/>
  <c r="B22" i="72" s="1"/>
  <c r="L65" i="9" l="1"/>
  <c r="M65" i="9" s="1"/>
  <c r="L67" i="9"/>
  <c r="M67" i="9" s="1"/>
  <c r="L64" i="9"/>
  <c r="M64" i="9" s="1"/>
  <c r="L66" i="9"/>
  <c r="M66" i="9" s="1"/>
  <c r="L68" i="9"/>
  <c r="M68" i="9" s="1"/>
  <c r="L63" i="9"/>
  <c r="M63" i="9" s="1"/>
  <c r="C95" i="9"/>
  <c r="C79" i="9"/>
  <c r="D14" i="53"/>
  <c r="B32" i="72" s="1"/>
  <c r="B30" i="72"/>
  <c r="D8" i="52"/>
  <c r="D123" i="9"/>
  <c r="D9" i="52" s="1"/>
  <c r="D15" i="53"/>
  <c r="B31" i="72" s="1"/>
  <c r="C6" i="74"/>
  <c r="C68" i="9"/>
  <c r="D54" i="9" s="1"/>
  <c r="D59" i="9"/>
  <c r="M55"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作者</author>
    <author>StevenChan</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 ref="D70" authorId="1">
      <text>
        <r>
          <rPr>
            <sz val="9"/>
            <rFont val="宋体"/>
            <family val="3"/>
            <charset val="134"/>
          </rPr>
          <t>其中53.1平米为消防面积减按5.25元/天/平米（含税含物业费）计算，787.3平米按10.5/天/平方米（含税含物业费）计算</t>
        </r>
      </text>
    </comment>
    <comment ref="E70" authorId="1">
      <text>
        <r>
          <rPr>
            <sz val="9"/>
            <rFont val="宋体"/>
            <family val="3"/>
            <charset val="134"/>
          </rPr>
          <t>其中53.1平米为消防面积减按5.25元/天/平米（含税含物业费）计算，787.3平米按10.5/天/平方米（含税含物业费）计算</t>
        </r>
      </text>
    </comment>
    <comment ref="G70" authorId="1">
      <text>
        <r>
          <rPr>
            <sz val="9"/>
            <rFont val="宋体"/>
            <family val="3"/>
            <charset val="134"/>
          </rPr>
          <t>53.1</t>
        </r>
        <r>
          <rPr>
            <sz val="9"/>
            <rFont val="宋体"/>
            <family val="3"/>
            <charset val="134"/>
          </rPr>
          <t>平米消防面积不含税5元/天/平米（含物业费）</t>
        </r>
      </text>
    </comment>
    <comment ref="H70" authorId="1">
      <text>
        <r>
          <rPr>
            <sz val="9"/>
            <rFont val="宋体"/>
            <family val="3"/>
            <charset val="134"/>
          </rPr>
          <t xml:space="preserve">53.1平米消防面积含税5.25元/天/平米（含物业费）
</t>
        </r>
      </text>
    </comment>
    <comment ref="I70" authorId="1">
      <text>
        <r>
          <rPr>
            <sz val="9"/>
            <rFont val="宋体"/>
            <family val="3"/>
            <charset val="134"/>
          </rPr>
          <t xml:space="preserve">总面积840.1平米计算（包含53.1平米消防面积）
</t>
        </r>
      </text>
    </comment>
    <comment ref="J70" authorId="1">
      <text>
        <r>
          <rPr>
            <sz val="9"/>
            <rFont val="宋体"/>
            <family val="3"/>
            <charset val="134"/>
          </rPr>
          <t>总面积840.1平米计算（包含53.1平米消防面积）</t>
        </r>
      </text>
    </comment>
    <comment ref="L70" authorId="1">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<sst xmlns="http://schemas.openxmlformats.org/spreadsheetml/2006/main" count="8873" uniqueCount="4058">
  <si>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</si>
  <si>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</si>
  <si>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</si>
  <si>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</si>
  <si>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</si>
  <si>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</si>
  <si>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</si>
  <si>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</si>
  <si>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</si>
  <si>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</si>
  <si>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</si>
  <si>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</si>
  <si>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</si>
  <si>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</si>
  <si>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</si>
  <si>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</si>
  <si>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</si>
  <si>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</si>
  <si>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</si>
  <si>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</si>
  <si>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</si>
  <si>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</si>
  <si>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</si>
  <si>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</si>
  <si>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</si>
  <si>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</si>
  <si>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</si>
  <si>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</si>
  <si>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</si>
  <si>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</si>
  <si>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</si>
  <si>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</si>
  <si>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</si>
  <si>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</si>
  <si>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</si>
  <si>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</si>
  <si>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</si>
  <si>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</si>
  <si>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</si>
  <si>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</si>
  <si>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</si>
  <si>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</si>
  <si>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</si>
  <si>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</si>
  <si>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</si>
  <si>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</si>
  <si>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</si>
  <si>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</si>
  <si>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</si>
  <si>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</si>
  <si>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</si>
  <si>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</si>
  <si>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</si>
  <si>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</si>
  <si>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</si>
  <si>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</si>
  <si>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</si>
  <si>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</si>
  <si>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</si>
  <si>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</si>
  <si>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</si>
  <si>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</si>
  <si>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</si>
  <si>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</si>
  <si>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</si>
  <si>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</si>
  <si>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</si>
  <si>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</si>
  <si>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</si>
  <si>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</si>
  <si>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</si>
  <si>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</si>
  <si>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</si>
  <si>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</si>
  <si>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</si>
  <si>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</si>
  <si>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</si>
  <si>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</si>
  <si>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</si>
  <si>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</si>
  <si>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</si>
  <si>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</si>
  <si>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</si>
  <si>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</si>
  <si>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</si>
  <si>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</si>
  <si>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</si>
  <si>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</si>
  <si>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</si>
  <si>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</si>
  <si>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</si>
  <si>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</si>
  <si>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</si>
  <si>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</si>
  <si>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</si>
  <si>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</si>
  <si>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</si>
  <si>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</si>
  <si>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</si>
  <si>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</si>
  <si>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</si>
  <si>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</si>
  <si>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</si>
  <si>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</si>
  <si>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</si>
  <si>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</si>
  <si>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</si>
  <si>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</si>
  <si>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</si>
  <si>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</si>
  <si>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</si>
  <si>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</si>
  <si>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</si>
  <si>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</si>
  <si>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</si>
  <si>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</si>
  <si>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</si>
  <si>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</si>
  <si>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</si>
  <si>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</si>
  <si>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</si>
  <si>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</si>
  <si>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</si>
  <si>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</si>
  <si>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</si>
  <si>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</si>
  <si>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</si>
  <si>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</si>
  <si>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</si>
  <si>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</si>
  <si>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</si>
  <si>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</si>
  <si>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</si>
  <si>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</si>
  <si>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</si>
  <si>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</si>
  <si>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</si>
  <si>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</si>
  <si>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</si>
  <si>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</si>
  <si>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</si>
  <si>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</si>
  <si>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</si>
  <si>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</si>
  <si>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</si>
  <si>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</si>
  <si>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</si>
  <si>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</si>
  <si>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</si>
  <si>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</si>
  <si>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</si>
  <si>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</si>
  <si>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</si>
  <si>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</si>
  <si>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</si>
  <si>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</si>
  <si>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</si>
  <si>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</si>
  <si>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</si>
  <si>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</si>
  <si>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</si>
  <si>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</si>
  <si>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</si>
  <si>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</si>
  <si>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</si>
  <si>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</si>
  <si>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</si>
  <si>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</si>
  <si>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</si>
  <si>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</si>
  <si>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</si>
  <si>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</si>
  <si>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</si>
  <si>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</si>
  <si>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</si>
  <si>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</si>
  <si>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</si>
  <si>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</si>
  <si>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</si>
  <si>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</si>
  <si>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</si>
  <si>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</si>
  <si>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</si>
  <si>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</si>
  <si>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</si>
  <si>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</si>
  <si>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</si>
  <si>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</si>
  <si>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</si>
  <si>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</si>
  <si>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</si>
  <si>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</si>
  <si>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</si>
  <si>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</si>
  <si>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</si>
  <si>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</si>
  <si>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</si>
  <si>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</si>
  <si>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</si>
  <si>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</si>
  <si>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</si>
  <si>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</si>
  <si>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</si>
  <si>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</si>
  <si>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</si>
  <si>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</si>
  <si>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</si>
  <si>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</si>
  <si>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</si>
  <si>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</si>
  <si>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</si>
  <si>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</si>
  <si>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</si>
  <si>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</si>
  <si>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</si>
  <si>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</si>
  <si>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</si>
  <si>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</si>
  <si>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</si>
  <si>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</si>
  <si>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</si>
  <si>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</si>
  <si>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</si>
  <si>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</si>
  <si>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</si>
  <si>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</si>
  <si>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</si>
  <si>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</si>
  <si>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</si>
  <si>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</si>
  <si>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</si>
  <si>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</si>
  <si>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</si>
  <si>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</si>
  <si>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</si>
  <si>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</si>
  <si>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</si>
  <si>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</si>
  <si>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</si>
  <si>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</si>
  <si>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</si>
  <si>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</si>
  <si>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</si>
  <si>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</si>
  <si>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</si>
  <si>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</si>
  <si>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</si>
  <si>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</si>
  <si>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</si>
  <si>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</si>
  <si>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</si>
  <si>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</si>
  <si>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</si>
  <si>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</si>
  <si>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</si>
  <si>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</si>
  <si>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</si>
  <si>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</si>
  <si>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</si>
  <si>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</si>
  <si>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</si>
  <si>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</si>
  <si>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</si>
  <si>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</si>
  <si>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</si>
  <si>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</si>
  <si>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</si>
  <si>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</si>
  <si>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</si>
  <si>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</si>
  <si>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</si>
  <si>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</si>
  <si>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</si>
  <si>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</si>
  <si>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</si>
  <si>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</si>
  <si>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</si>
  <si>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</si>
  <si>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</si>
  <si>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</si>
  <si>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</si>
  <si>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</si>
  <si>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</si>
  <si>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</si>
  <si>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</si>
  <si>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</si>
  <si>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</si>
  <si>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</si>
  <si>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</si>
  <si>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</si>
  <si>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</si>
  <si>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</si>
  <si>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</si>
  <si>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</si>
  <si>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</si>
  <si>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</si>
  <si>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</si>
  <si>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</si>
  <si>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</si>
  <si>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</si>
  <si>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</si>
  <si>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</si>
  <si>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</si>
  <si>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</si>
  <si>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</si>
  <si>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</si>
  <si>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</si>
  <si>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</si>
  <si>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</si>
  <si>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</si>
  <si>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</si>
  <si>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</si>
  <si>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</si>
  <si>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</si>
  <si>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</si>
  <si>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</si>
  <si>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</si>
  <si>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</si>
  <si>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</si>
  <si>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</si>
  <si>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</si>
  <si>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</si>
  <si>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</si>
  <si>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</si>
  <si>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</si>
  <si>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</si>
  <si>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</si>
  <si>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</si>
  <si>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</si>
  <si>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</si>
  <si>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</si>
  <si>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</si>
  <si>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</si>
  <si>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</si>
  <si>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</si>
  <si>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</si>
  <si>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</si>
  <si>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</si>
  <si>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</si>
  <si>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</si>
  <si>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</si>
  <si>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</si>
  <si>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</si>
  <si>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</si>
  <si>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</si>
  <si>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</si>
  <si>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</si>
  <si>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</si>
  <si>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</si>
  <si>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</si>
  <si>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</si>
  <si>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</si>
  <si>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</si>
  <si>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</si>
  <si>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</si>
  <si>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</si>
  <si>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</si>
  <si>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</si>
  <si>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</si>
  <si>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</si>
  <si>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</si>
  <si>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</si>
  <si>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</si>
  <si>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</si>
  <si>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</si>
  <si>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</si>
  <si>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</si>
  <si>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</si>
  <si>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</si>
  <si>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</si>
  <si>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</si>
  <si>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</si>
  <si>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</si>
  <si>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</si>
  <si>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</si>
  <si>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</si>
  <si>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</si>
  <si>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</si>
  <si>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</si>
  <si>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</si>
  <si>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</si>
  <si>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</si>
  <si>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</si>
  <si>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</si>
  <si>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</si>
  <si>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</si>
  <si>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</si>
  <si>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</si>
  <si>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</si>
  <si>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</si>
  <si>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</si>
  <si>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</si>
  <si>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</si>
  <si>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</si>
  <si>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</si>
  <si>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</si>
  <si>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</si>
  <si>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</si>
  <si>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</si>
  <si>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</si>
  <si>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</si>
  <si>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</si>
  <si>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</si>
  <si>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</si>
  <si>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</si>
  <si>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</si>
  <si>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</si>
  <si>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</si>
  <si>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</si>
  <si>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</si>
  <si>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</si>
  <si>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</si>
  <si>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</si>
  <si>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</si>
  <si>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</si>
  <si>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</si>
  <si>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</si>
  <si>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</si>
  <si>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</si>
  <si>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</si>
  <si>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</si>
  <si>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</si>
  <si>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</si>
  <si>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</si>
  <si>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</si>
  <si>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</si>
  <si>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</si>
  <si>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</si>
  <si>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</si>
  <si>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</si>
  <si>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</si>
  <si>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</si>
  <si>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</si>
  <si>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</si>
  <si>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</si>
  <si>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</si>
  <si>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</si>
  <si>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</si>
  <si>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</si>
  <si>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</si>
  <si>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</si>
  <si>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</si>
  <si>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</si>
  <si>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</si>
  <si>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</si>
  <si>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</si>
  <si>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</si>
  <si>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</si>
  <si>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</si>
  <si>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</si>
  <si>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</si>
  <si>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</si>
  <si>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</si>
  <si>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</si>
  <si>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</si>
  <si>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</si>
  <si>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</si>
  <si>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</si>
  <si>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</si>
  <si>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</si>
  <si>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</si>
  <si>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</si>
  <si>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</si>
  <si>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</si>
  <si>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</si>
  <si>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</si>
  <si>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</si>
  <si>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</si>
  <si>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</si>
  <si>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</si>
  <si>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</si>
  <si>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</si>
  <si>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</si>
  <si>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</si>
  <si>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</si>
  <si>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</si>
  <si>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</si>
  <si>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</si>
  <si>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</si>
  <si>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</si>
  <si>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</si>
  <si>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</si>
  <si>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</si>
  <si>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</si>
  <si>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</si>
  <si>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</si>
  <si>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</si>
  <si>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</si>
  <si>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</si>
  <si>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</si>
  <si>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</si>
  <si>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</si>
  <si>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</si>
  <si>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</si>
  <si>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</si>
  <si>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</si>
  <si>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</si>
  <si>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</si>
  <si>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</si>
  <si>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</si>
  <si>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</si>
  <si>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</si>
  <si>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</si>
  <si>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</si>
  <si>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</si>
  <si>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</si>
  <si>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</si>
  <si>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</si>
  <si>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</si>
  <si>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</si>
  <si>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</si>
  <si>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</si>
  <si>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</si>
  <si>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</si>
  <si>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</si>
  <si>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</si>
  <si>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</si>
  <si>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</si>
  <si>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</si>
  <si>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</si>
  <si>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</si>
  <si>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</si>
  <si>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</si>
  <si>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</si>
  <si>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</si>
  <si>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</si>
  <si>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</si>
  <si>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</si>
  <si>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</si>
  <si>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</si>
  <si>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</si>
  <si>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</si>
  <si>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</si>
  <si>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</si>
  <si>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</si>
  <si>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</si>
  <si>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</si>
  <si>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</si>
  <si>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</si>
  <si>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</si>
  <si>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</si>
  <si>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</si>
  <si>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</si>
  <si>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</si>
  <si>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</si>
  <si>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</si>
  <si>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</si>
  <si>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</si>
  <si>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</si>
  <si>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</si>
  <si>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</si>
  <si>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</si>
  <si>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</si>
  <si>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</si>
  <si>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</si>
  <si>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</si>
  <si>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</si>
  <si>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</si>
  <si>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</si>
  <si>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</si>
  <si>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</si>
  <si>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</si>
  <si>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</si>
  <si>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</si>
  <si>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</si>
  <si>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</si>
  <si>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</si>
  <si>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</si>
  <si>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</si>
  <si>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</si>
  <si>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</si>
  <si>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</si>
  <si>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</si>
  <si>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</si>
  <si>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</si>
  <si>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</si>
  <si>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</si>
  <si>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</si>
  <si>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</si>
  <si>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</si>
  <si>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</si>
  <si>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</si>
  <si>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</si>
  <si>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</si>
  <si>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</si>
  <si>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</si>
  <si>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</si>
  <si>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</si>
  <si>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</si>
  <si>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</si>
  <si>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</si>
  <si>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</si>
  <si>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</si>
  <si>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</si>
  <si>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</si>
  <si>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</si>
  <si>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</si>
  <si>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</si>
  <si>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</si>
  <si>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</si>
  <si>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</si>
  <si>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</si>
  <si>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</si>
  <si>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</si>
  <si>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</si>
  <si>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</si>
  <si>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</si>
  <si>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</si>
  <si>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</si>
  <si>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</si>
  <si>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</si>
  <si>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</si>
  <si>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</si>
  <si>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</si>
  <si>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</si>
  <si>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</si>
  <si>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</si>
  <si>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</si>
  <si>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</si>
  <si>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</si>
  <si>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</si>
  <si>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</si>
  <si>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</si>
  <si>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</si>
  <si>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</si>
  <si>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</si>
  <si>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</si>
  <si>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</si>
  <si>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</si>
  <si>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</si>
  <si>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</si>
  <si>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</si>
  <si>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</si>
  <si>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</si>
  <si>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</si>
  <si>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</si>
  <si>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</si>
  <si>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</si>
  <si>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</si>
  <si>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</si>
  <si>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</si>
  <si>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</si>
  <si>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</si>
  <si>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</si>
  <si>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</si>
  <si>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</si>
  <si>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</si>
  <si>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</si>
  <si>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</si>
  <si>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</si>
  <si>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</si>
  <si>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</si>
  <si>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</si>
  <si>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</si>
  <si>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</si>
  <si>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</si>
  <si>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</si>
  <si>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</si>
  <si>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</si>
  <si>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</si>
  <si>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</si>
  <si>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</si>
  <si>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</si>
  <si>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</si>
  <si>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</si>
  <si>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</si>
  <si>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</si>
  <si>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</si>
  <si>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</si>
  <si>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</si>
  <si>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</si>
  <si>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</si>
  <si>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</si>
  <si>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</si>
  <si>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</si>
  <si>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</si>
  <si>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</si>
  <si>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</si>
  <si>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</si>
  <si>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</si>
  <si>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</si>
  <si>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</si>
  <si>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</si>
  <si>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</si>
  <si>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</si>
  <si>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</si>
  <si>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</si>
  <si>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</si>
  <si>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</si>
  <si>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</si>
  <si>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</si>
  <si>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</si>
  <si>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</si>
  <si>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</si>
  <si>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</si>
  <si>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</si>
  <si>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</si>
  <si>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</si>
  <si>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</si>
  <si>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</si>
  <si>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</si>
  <si>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</si>
  <si>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</si>
  <si>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</si>
  <si>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</si>
  <si>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</si>
  <si>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</si>
  <si>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</si>
  <si>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</si>
  <si>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</si>
  <si>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</si>
  <si>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</si>
  <si>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</si>
  <si>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</si>
  <si>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</si>
  <si>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</si>
  <si>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</si>
  <si>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</si>
  <si>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</si>
  <si>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</si>
  <si>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</si>
  <si>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</si>
  <si>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</si>
  <si>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</si>
  <si>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</si>
  <si>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</si>
  <si>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</si>
  <si>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</si>
  <si>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</si>
  <si>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</si>
  <si>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</si>
  <si>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</si>
  <si>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</si>
  <si>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</si>
  <si>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</si>
  <si>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</si>
  <si>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</si>
  <si>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</si>
  <si>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</si>
  <si>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</si>
  <si>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</si>
  <si>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</si>
  <si>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</si>
  <si>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</si>
  <si>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</si>
  <si>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</si>
  <si>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</si>
  <si>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</si>
  <si>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</si>
  <si>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</si>
  <si>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</si>
  <si>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</si>
  <si>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</si>
  <si>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</si>
  <si>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</si>
  <si>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</si>
  <si>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</si>
  <si>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</si>
  <si>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</si>
  <si>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</si>
  <si>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</si>
  <si>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</si>
  <si>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</si>
  <si>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</si>
  <si>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</si>
  <si>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</si>
  <si>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</si>
  <si>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</si>
  <si>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</si>
  <si>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</si>
  <si>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</si>
  <si>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</si>
  <si>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</si>
  <si>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</si>
  <si>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</si>
  <si>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</si>
  <si>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</si>
  <si>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</si>
  <si>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</si>
  <si>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</si>
  <si>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</si>
  <si>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</si>
  <si>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</si>
  <si>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</si>
  <si>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</si>
  <si>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</si>
  <si>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</si>
  <si>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</si>
  <si>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</si>
  <si>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</si>
  <si>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</si>
  <si>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</si>
  <si>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</si>
  <si>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</si>
  <si>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</si>
  <si>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</si>
  <si>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</si>
  <si>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</si>
  <si>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</si>
  <si>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</si>
  <si>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</si>
  <si>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</si>
  <si>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</si>
  <si>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</si>
  <si>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</si>
  <si>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</si>
  <si>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</si>
  <si>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</si>
  <si>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</si>
  <si>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</si>
  <si>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</si>
  <si>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</si>
  <si>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</si>
  <si>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</si>
  <si>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</si>
  <si>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</si>
  <si>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</si>
  <si>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</si>
  <si>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</si>
  <si>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</si>
  <si>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</si>
  <si>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</si>
  <si>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</si>
  <si>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</si>
  <si>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</si>
  <si>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</si>
  <si>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</si>
  <si>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</si>
  <si>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</si>
  <si>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</si>
  <si>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</si>
  <si>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</si>
  <si>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</si>
  <si>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</si>
  <si>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</si>
  <si>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</si>
  <si>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</si>
  <si>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</si>
  <si>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</si>
  <si>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</si>
  <si>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</si>
  <si>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</si>
  <si>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</si>
  <si>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</si>
  <si>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</si>
  <si>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</si>
  <si>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</si>
  <si>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</si>
  <si>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</si>
  <si>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</si>
  <si>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</si>
  <si>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</si>
  <si>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</si>
  <si>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</si>
  <si>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</si>
  <si>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</si>
  <si>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</si>
  <si>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</si>
  <si>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</si>
  <si>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</si>
  <si>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</si>
  <si>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</si>
  <si>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</si>
  <si>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</si>
  <si>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</si>
  <si>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</si>
  <si>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</si>
  <si>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</si>
  <si>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</si>
  <si>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</si>
  <si>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</si>
  <si>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</si>
  <si>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</si>
  <si>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</si>
  <si>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</si>
  <si>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</si>
  <si>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</si>
  <si>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</si>
  <si>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</si>
  <si>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</si>
  <si>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</si>
  <si>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</si>
  <si>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</si>
  <si>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</si>
  <si>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</si>
  <si>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</si>
  <si>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</si>
  <si>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</si>
  <si>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</si>
  <si>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</si>
  <si>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</si>
  <si>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</si>
  <si>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</si>
  <si>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</si>
  <si>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</si>
  <si>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</si>
  <si>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</si>
  <si>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</si>
  <si>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</si>
  <si>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</si>
  <si>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</si>
  <si>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</si>
  <si>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</si>
  <si>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</si>
  <si>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</si>
  <si>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</si>
  <si>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</si>
  <si>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</si>
  <si>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</si>
  <si>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</si>
  <si>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</si>
  <si>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</si>
  <si>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</si>
  <si>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</si>
  <si>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</si>
  <si>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</si>
  <si>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</si>
  <si>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</si>
  <si>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</si>
  <si>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</si>
  <si>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</si>
  <si>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</si>
  <si>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</si>
  <si>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</si>
  <si>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</si>
  <si>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</si>
  <si>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</si>
  <si>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</si>
  <si>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</si>
  <si>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</si>
  <si>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</si>
  <si>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</si>
  <si>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</si>
  <si>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</si>
  <si>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</si>
  <si>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</si>
  <si>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</si>
  <si>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</si>
  <si>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</si>
  <si>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</si>
  <si>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</si>
  <si>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</si>
  <si>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</si>
  <si>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</si>
  <si>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</si>
  <si>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</si>
  <si>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</si>
  <si>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</si>
  <si>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</si>
  <si>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</si>
  <si>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</si>
  <si>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</si>
  <si>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</si>
  <si>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</si>
  <si>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</si>
  <si>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</si>
  <si>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</si>
  <si>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</si>
  <si>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</si>
  <si>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</si>
  <si>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</si>
  <si>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</si>
  <si>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</si>
  <si>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</si>
  <si>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</si>
  <si>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</si>
  <si>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</si>
  <si>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</si>
  <si>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</si>
  <si>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</si>
  <si>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</si>
  <si>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</si>
  <si>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</si>
  <si>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</si>
  <si>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</si>
  <si>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</si>
  <si>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</si>
  <si>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</si>
  <si>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</si>
  <si>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</si>
  <si>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</si>
  <si>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</si>
  <si>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</si>
  <si>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</si>
  <si>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</si>
  <si>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</si>
  <si>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</si>
  <si>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</si>
  <si>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</si>
  <si>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</si>
  <si>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</si>
  <si>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</si>
  <si>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</si>
  <si>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</si>
  <si>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</si>
  <si>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</si>
  <si>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</si>
  <si>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</si>
  <si>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</si>
  <si>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</si>
  <si>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</si>
  <si>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</si>
  <si>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</si>
  <si>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</si>
  <si>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</si>
  <si>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</si>
  <si>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</si>
  <si>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</si>
  <si>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</si>
  <si>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</si>
  <si>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</si>
  <si>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</si>
  <si>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</si>
  <si>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</si>
  <si>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</si>
  <si>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</si>
  <si>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</si>
  <si>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</si>
  <si>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</si>
  <si>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</si>
  <si>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</si>
  <si>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</si>
  <si>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</si>
  <si>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</si>
  <si>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</si>
  <si>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</si>
  <si>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</si>
  <si>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</si>
  <si>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</si>
  <si>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</si>
  <si>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</si>
  <si>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</si>
  <si>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</si>
  <si>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</si>
  <si>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</si>
  <si>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</si>
  <si>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</si>
  <si>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</si>
  <si>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</si>
  <si>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</si>
  <si>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</si>
  <si>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</si>
  <si>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</si>
  <si>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</si>
  <si>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</si>
  <si>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</si>
  <si>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</si>
  <si>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</si>
  <si>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</si>
  <si>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</si>
  <si>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</si>
  <si>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</si>
  <si>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</si>
  <si>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</si>
  <si>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</si>
  <si>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</si>
  <si>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</si>
  <si>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</si>
  <si>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</si>
  <si>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</si>
  <si>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</si>
  <si>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</si>
  <si>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</si>
  <si>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</si>
  <si>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</si>
  <si>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</si>
  <si>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</si>
  <si>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</si>
  <si>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</si>
  <si>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</si>
  <si>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</si>
  <si>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</si>
  <si>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</si>
  <si>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</si>
  <si>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</si>
  <si>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</si>
  <si>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</si>
  <si>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</si>
  <si>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</si>
  <si>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</si>
  <si>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</si>
  <si>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</si>
  <si>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</si>
  <si>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</si>
  <si>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</si>
  <si>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</si>
  <si>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</si>
  <si>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</si>
  <si>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</si>
  <si>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</si>
  <si>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</si>
  <si>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</si>
  <si>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</si>
  <si>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</si>
  <si>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</si>
  <si>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</si>
  <si>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</si>
  <si>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</si>
  <si>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</si>
  <si>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</si>
  <si>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</si>
  <si>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</si>
  <si>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</si>
  <si>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</si>
  <si>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</si>
  <si>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</si>
  <si>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</si>
  <si>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</si>
  <si>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</si>
  <si>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</si>
  <si>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</si>
  <si>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</si>
  <si>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</si>
  <si>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</si>
  <si>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</si>
  <si>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</si>
  <si>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</si>
  <si>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</si>
  <si>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</si>
  <si>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</si>
  <si>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</si>
  <si>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</si>
  <si>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</si>
  <si>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</si>
  <si>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</si>
  <si>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</si>
  <si>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</si>
  <si>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</si>
  <si>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</si>
  <si>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</si>
  <si>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</si>
  <si>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</si>
  <si>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</si>
  <si>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</si>
  <si>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</si>
  <si>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</si>
  <si>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</si>
  <si>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</si>
  <si>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</si>
  <si>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</si>
  <si>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</si>
  <si>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</si>
  <si>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</si>
  <si>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</si>
  <si>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</si>
  <si>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</si>
  <si>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</si>
  <si>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</si>
  <si>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</si>
  <si>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</si>
  <si>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</si>
  <si>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</si>
  <si>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</si>
  <si>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</si>
  <si>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</si>
  <si>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</si>
  <si>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</si>
  <si>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</si>
  <si>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</si>
  <si>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</si>
  <si>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</si>
  <si>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</si>
  <si>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</si>
  <si>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</si>
  <si>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</si>
  <si>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</si>
  <si>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</si>
  <si>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</si>
  <si>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</si>
  <si>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</si>
  <si>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</si>
  <si>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</si>
  <si>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</si>
  <si>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</si>
  <si>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</si>
  <si>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</si>
  <si>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</si>
  <si>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</si>
  <si>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</si>
  <si>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</si>
  <si>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</si>
  <si>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</si>
  <si>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</si>
  <si>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</si>
  <si>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</si>
  <si>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</si>
  <si>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</si>
  <si>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</si>
  <si>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</si>
  <si>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</si>
  <si>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</si>
  <si>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</si>
  <si>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</si>
  <si>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</si>
  <si>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</si>
  <si>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</si>
  <si>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</si>
  <si>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</si>
  <si>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</si>
  <si>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</si>
  <si>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</si>
  <si>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</si>
  <si>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</si>
  <si>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</si>
  <si>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</si>
  <si>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</si>
  <si>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</si>
  <si>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</si>
  <si>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</si>
  <si>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</si>
  <si>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</si>
  <si>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</si>
  <si>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</si>
  <si>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</si>
  <si>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</si>
  <si>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</si>
  <si>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</si>
  <si>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</si>
  <si>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</si>
  <si>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</si>
  <si>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</si>
  <si>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</si>
  <si>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</si>
  <si>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</si>
  <si>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</si>
  <si>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</si>
  <si>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</si>
  <si>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</si>
  <si>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</si>
  <si>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</si>
  <si>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</si>
  <si>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</si>
  <si>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</si>
  <si>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</si>
  <si>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</si>
  <si>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</si>
  <si>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</si>
  <si>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</si>
  <si>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</si>
  <si>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</si>
  <si>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</si>
  <si>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</si>
  <si>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</si>
  <si>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</si>
  <si>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</si>
  <si>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</si>
  <si>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</si>
  <si>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</si>
  <si>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</si>
  <si>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</si>
  <si>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</si>
  <si>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</si>
  <si>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</si>
  <si>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</si>
  <si>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</si>
  <si>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</si>
  <si>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</si>
  <si>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</si>
  <si>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</si>
  <si>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</si>
  <si>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</si>
  <si>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</si>
  <si>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</si>
  <si>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</si>
  <si>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</si>
  <si>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</si>
  <si>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</si>
  <si>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</si>
  <si>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</si>
  <si>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</si>
  <si>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</si>
  <si>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</si>
  <si>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</si>
  <si>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</si>
  <si>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</si>
  <si>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</si>
  <si>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</si>
  <si>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</si>
  <si>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</si>
  <si>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</si>
  <si>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</si>
  <si>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</si>
  <si>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</si>
  <si>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</si>
  <si>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</si>
  <si>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</si>
  <si>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</si>
  <si>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</si>
  <si>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</si>
  <si>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</si>
  <si>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</si>
  <si>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</si>
  <si>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</si>
  <si>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</si>
  <si>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</si>
  <si>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</si>
  <si>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</si>
  <si>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</si>
  <si>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</si>
  <si>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</si>
  <si>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</si>
  <si>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</si>
  <si>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</si>
  <si>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</si>
  <si>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</si>
  <si>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</si>
  <si>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</si>
  <si>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</si>
  <si>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</si>
  <si>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</si>
  <si>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</si>
  <si>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</si>
  <si>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</si>
  <si>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</si>
  <si>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</si>
  <si>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</si>
  <si>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</si>
  <si>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</si>
  <si>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</si>
  <si>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</si>
  <si>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</si>
  <si>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</si>
  <si>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</si>
  <si>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</si>
  <si>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</si>
  <si>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</si>
  <si>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</si>
  <si>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</si>
  <si>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</si>
  <si>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</si>
  <si>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</si>
  <si>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</si>
  <si>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</si>
  <si>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</si>
  <si>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</si>
  <si>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</si>
  <si>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</si>
  <si>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</si>
  <si>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</si>
  <si>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</si>
  <si>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</si>
  <si>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</si>
  <si>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</si>
  <si>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</si>
  <si>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</si>
  <si>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</si>
  <si>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</si>
  <si>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</si>
  <si>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</si>
  <si>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</si>
  <si>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</si>
  <si>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</si>
  <si>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</si>
  <si>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</si>
  <si>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</si>
  <si>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</si>
  <si>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</si>
  <si>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</si>
  <si>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</si>
  <si>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</si>
  <si>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</si>
  <si>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</si>
  <si>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</si>
  <si>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</si>
  <si>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</si>
  <si>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</si>
  <si>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</si>
  <si>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</si>
  <si>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</si>
  <si>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</si>
  <si>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</si>
  <si>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</si>
  <si>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</si>
  <si>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</si>
  <si>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</si>
  <si>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</si>
  <si>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</si>
  <si>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</si>
  <si>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</si>
  <si>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</si>
  <si>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</si>
  <si>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</si>
  <si>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</si>
  <si>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</si>
  <si>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</si>
  <si>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</si>
  <si>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</si>
  <si>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</si>
  <si>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</si>
  <si>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</si>
  <si>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</si>
  <si>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</si>
  <si>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</si>
  <si>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</si>
  <si>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</si>
  <si>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</si>
  <si>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</si>
  <si>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</si>
  <si>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</si>
  <si>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</si>
  <si>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</si>
  <si>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</si>
  <si>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</si>
  <si>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</si>
  <si>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</si>
  <si>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</si>
  <si>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</si>
  <si>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</si>
  <si>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</si>
  <si>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</si>
  <si>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</si>
  <si>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</si>
  <si>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</si>
  <si>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</si>
  <si>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</si>
  <si>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</si>
  <si>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</si>
  <si>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</si>
  <si>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</si>
  <si>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</si>
  <si>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</si>
  <si>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</si>
  <si>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</si>
  <si>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</si>
  <si>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</si>
  <si>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</si>
  <si>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</si>
  <si>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</si>
  <si>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</si>
  <si>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</si>
  <si>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</si>
  <si>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</si>
  <si>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</si>
  <si>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</si>
  <si>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</si>
  <si>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</si>
  <si>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</si>
  <si>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</si>
  <si>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</si>
  <si>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</si>
  <si>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</si>
  <si>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</si>
  <si>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</si>
  <si>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</si>
  <si>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</si>
  <si>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</si>
  <si>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</si>
  <si>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</si>
  <si>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</si>
  <si>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</si>
  <si>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</si>
  <si>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</si>
  <si>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</si>
  <si>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</si>
  <si>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</si>
  <si>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</si>
  <si>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</si>
  <si>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</si>
  <si>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</si>
  <si>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</si>
  <si>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</si>
  <si>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</si>
  <si>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</si>
  <si>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</si>
  <si>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</si>
  <si>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</si>
  <si>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</si>
  <si>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</si>
  <si>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</si>
  <si>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</si>
  <si>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</si>
  <si>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</si>
  <si>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</si>
  <si>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</si>
  <si>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</si>
  <si>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</si>
  <si>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</si>
  <si>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</si>
  <si>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</si>
  <si>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</si>
  <si>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</si>
  <si>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</si>
  <si>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</si>
  <si>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</si>
  <si>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</si>
  <si>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</si>
  <si>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</si>
  <si>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</si>
  <si>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</si>
  <si>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</si>
  <si>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</si>
  <si>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</si>
  <si>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</si>
  <si>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</si>
  <si>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</si>
  <si>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</si>
  <si>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</si>
  <si>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</si>
  <si>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</si>
  <si>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</si>
  <si>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</si>
  <si>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</si>
  <si>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</si>
  <si>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</si>
  <si>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</si>
  <si>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</si>
  <si>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</si>
  <si>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</si>
  <si>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</si>
  <si>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</si>
  <si>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</si>
  <si>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</si>
  <si>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</si>
  <si>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</si>
  <si>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</si>
  <si>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</si>
  <si>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</si>
  <si>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</si>
  <si>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</si>
  <si>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</si>
  <si>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</si>
  <si>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</si>
  <si>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</si>
  <si>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</si>
  <si>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</si>
  <si>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</si>
  <si>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</si>
  <si>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</si>
  <si>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</si>
  <si>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</si>
  <si>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</si>
  <si>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</si>
  <si>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</si>
  <si>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</si>
  <si>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</si>
  <si>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</si>
  <si>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</si>
  <si>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</si>
  <si>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</si>
  <si>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</si>
  <si>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</si>
  <si>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</si>
  <si>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</si>
  <si>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</si>
  <si>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</si>
  <si>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</si>
  <si>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</si>
  <si>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</si>
  <si>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</si>
  <si>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</si>
  <si>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</si>
  <si>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</si>
  <si>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</si>
  <si>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</si>
  <si>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</si>
  <si>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</si>
  <si>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</si>
  <si>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</si>
  <si>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</si>
  <si>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</si>
  <si>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</si>
  <si>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</si>
  <si>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</si>
  <si>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</si>
  <si>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</si>
  <si>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</si>
  <si>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</si>
  <si>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</si>
  <si>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</si>
  <si>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</si>
  <si>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</si>
  <si>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</si>
  <si>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</si>
  <si>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</si>
  <si>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</si>
  <si>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</si>
  <si>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</si>
  <si>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</si>
  <si>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</si>
  <si>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</si>
  <si>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</si>
  <si>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</si>
  <si>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</si>
  <si>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</si>
  <si>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</si>
  <si>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</si>
  <si>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</si>
  <si>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</si>
  <si>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</si>
  <si>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</si>
  <si>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</si>
  <si>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</si>
  <si>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</si>
  <si>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</si>
  <si>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</si>
  <si>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</si>
  <si>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</si>
  <si>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</si>
  <si>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</si>
  <si>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</si>
  <si>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</si>
  <si>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</si>
  <si>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</si>
  <si>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</si>
  <si>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</si>
  <si>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</si>
  <si>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</si>
  <si>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</si>
  <si>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</si>
  <si>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</si>
  <si>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</si>
  <si>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</si>
  <si>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</si>
  <si>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</si>
  <si>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</si>
  <si>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</si>
  <si>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</si>
  <si>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</si>
  <si>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</si>
  <si>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</si>
  <si>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</si>
  <si>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</si>
  <si>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</si>
  <si>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</si>
  <si>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</si>
  <si>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</si>
  <si>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</si>
  <si>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</si>
  <si>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</si>
  <si>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</si>
  <si>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</si>
  <si>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</si>
  <si>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</si>
  <si>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</si>
  <si>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</si>
  <si>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</si>
  <si>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</si>
  <si>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</si>
  <si>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</si>
  <si>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</si>
  <si>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</si>
  <si>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</si>
  <si>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</si>
  <si>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</si>
  <si>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</si>
  <si>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</si>
  <si>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</si>
  <si>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</si>
  <si>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</si>
  <si>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</si>
  <si>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</si>
  <si>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</si>
  <si>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</si>
  <si>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</si>
  <si>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</si>
  <si>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</si>
  <si>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</si>
  <si>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</si>
  <si>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</si>
  <si>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</si>
  <si>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</si>
  <si>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</si>
  <si>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</si>
  <si>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</si>
  <si>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</si>
  <si>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</si>
  <si>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</si>
  <si>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</si>
  <si>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</si>
  <si>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</si>
  <si>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</si>
  <si>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</si>
  <si>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</si>
  <si>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</si>
  <si>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</si>
  <si>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</si>
  <si>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</si>
  <si>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</si>
  <si>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</si>
  <si>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</si>
  <si>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</si>
  <si>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</si>
  <si>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</si>
  <si>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</si>
  <si>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</si>
  <si>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</si>
  <si>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</si>
  <si>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</si>
  <si>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</si>
  <si>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</si>
  <si>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</si>
  <si>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</si>
  <si>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</si>
  <si>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</si>
  <si>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</si>
  <si>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</si>
  <si>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</si>
  <si>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</si>
  <si>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</si>
  <si>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</si>
  <si>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</si>
  <si>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</si>
  <si>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</si>
  <si>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</si>
  <si>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</si>
  <si>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</si>
  <si>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</si>
  <si>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</si>
  <si>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</si>
  <si>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</si>
  <si>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</si>
  <si>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</si>
  <si>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</si>
  <si>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</si>
  <si>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</si>
  <si>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</si>
  <si>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</si>
  <si>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</si>
  <si>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</si>
  <si>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</si>
  <si>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</si>
  <si>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</si>
  <si>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</si>
  <si>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</si>
  <si>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</si>
  <si>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</si>
  <si>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</si>
  <si>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</si>
  <si>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</si>
  <si>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</si>
  <si>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</si>
  <si>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</si>
  <si>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</si>
  <si>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</si>
  <si>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</si>
  <si>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</si>
  <si>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</si>
  <si>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</si>
  <si>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</si>
  <si>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</si>
  <si>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</si>
  <si>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</si>
  <si>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</si>
  <si>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</si>
  <si>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</si>
  <si>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</si>
  <si>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</si>
  <si>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</si>
  <si>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</si>
  <si>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</si>
  <si>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</si>
  <si>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</si>
  <si>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</si>
  <si>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</si>
  <si>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</si>
  <si>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</si>
  <si>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</si>
  <si>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</si>
  <si>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</si>
  <si>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</si>
  <si>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</si>
  <si>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</si>
  <si>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</si>
  <si>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</si>
  <si>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</si>
  <si>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</si>
  <si>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</si>
  <si>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</si>
  <si>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</si>
  <si>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</si>
  <si>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</si>
  <si>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</si>
  <si>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</si>
  <si>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</si>
  <si>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</si>
  <si>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</si>
  <si>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</si>
  <si>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</si>
  <si>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</si>
  <si>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</si>
  <si>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</si>
  <si>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</si>
  <si>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</si>
  <si>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</si>
  <si>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</si>
  <si>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</si>
  <si>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</si>
  <si>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</si>
  <si>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</si>
  <si>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</si>
  <si>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</si>
  <si>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</si>
  <si>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</si>
  <si>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</si>
  <si>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</si>
  <si>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</si>
  <si>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</si>
  <si>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</si>
  <si>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</si>
  <si>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</si>
  <si>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</si>
  <si>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</si>
  <si>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</si>
  <si>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</si>
  <si>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</si>
  <si>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</si>
  <si>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</si>
  <si>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</si>
  <si>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</si>
  <si>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</si>
  <si>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</si>
  <si>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</si>
  <si>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</si>
  <si>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</si>
  <si>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</si>
  <si>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</si>
  <si>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</si>
  <si>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</si>
  <si>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</si>
  <si>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</si>
  <si>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</si>
  <si>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</si>
  <si>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</si>
  <si>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</si>
  <si>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</si>
  <si>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</si>
  <si>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</si>
  <si>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</si>
  <si>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</si>
  <si>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</si>
  <si>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</si>
  <si>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</si>
  <si>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</si>
  <si>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</si>
  <si>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</si>
  <si>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</si>
  <si>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</si>
  <si>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</si>
  <si>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</si>
  <si>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</si>
  <si>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</si>
  <si>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</si>
  <si>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</si>
  <si>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</si>
  <si>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</si>
  <si>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</si>
  <si>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</si>
  <si>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</si>
  <si>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</si>
  <si>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</si>
  <si>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</si>
  <si>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</si>
  <si>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</si>
  <si>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</si>
  <si>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</si>
  <si>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</si>
  <si>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</si>
  <si>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</si>
  <si>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</si>
  <si>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</si>
  <si>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</si>
  <si>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</si>
  <si>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</si>
  <si>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</si>
  <si>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</si>
  <si>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</si>
  <si>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</si>
  <si>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</si>
  <si>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</si>
  <si>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</si>
  <si>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</si>
  <si>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</si>
  <si>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</si>
  <si>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</si>
  <si>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</si>
  <si>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</si>
  <si>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</si>
  <si>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</si>
  <si>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</si>
  <si>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</si>
  <si>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</si>
  <si>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</si>
  <si>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</si>
  <si>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</si>
  <si>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</si>
  <si>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</si>
  <si>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</si>
  <si>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</si>
  <si>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</si>
  <si>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</si>
  <si>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</si>
  <si>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</si>
  <si>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</si>
  <si>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</si>
  <si>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</si>
  <si>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</si>
  <si>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</si>
  <si>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</si>
  <si>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</si>
  <si>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</si>
  <si>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</si>
  <si>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</si>
  <si>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</si>
  <si>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</si>
  <si>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</si>
  <si>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</si>
  <si>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</si>
  <si>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</si>
  <si>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</si>
  <si>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</si>
  <si>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</si>
  <si>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</si>
  <si>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</si>
  <si>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</si>
  <si>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</si>
  <si>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</si>
  <si>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</si>
  <si>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</si>
  <si>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</si>
  <si>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</si>
  <si>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</si>
  <si>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</si>
  <si>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</si>
  <si>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</si>
  <si>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</si>
  <si>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</si>
  <si>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</si>
  <si>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</si>
  <si>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</si>
  <si>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</si>
  <si>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</si>
  <si>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</si>
  <si>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</si>
  <si>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</si>
  <si>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</si>
  <si>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</si>
  <si>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</si>
  <si>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</si>
  <si>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</si>
  <si>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</si>
  <si>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</si>
  <si>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</si>
  <si>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</si>
  <si>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</si>
  <si>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</si>
  <si>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</si>
  <si>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</si>
  <si>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</si>
  <si>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</si>
  <si>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</si>
  <si>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</si>
  <si>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</si>
  <si>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</si>
  <si>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</si>
  <si>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</si>
  <si>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</si>
  <si>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</si>
  <si>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</si>
  <si>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</si>
  <si>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</si>
  <si>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</si>
  <si>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</si>
  <si>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</si>
  <si>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</si>
  <si>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</si>
  <si>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</si>
  <si>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</si>
  <si>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</si>
  <si>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</si>
  <si>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</si>
  <si>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</si>
  <si>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</si>
  <si>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</si>
  <si>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</si>
  <si>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</si>
  <si>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</si>
  <si>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</si>
  <si>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</si>
  <si>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</si>
  <si>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</si>
  <si>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</si>
  <si>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</si>
  <si>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</si>
  <si>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</si>
  <si>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</si>
  <si>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</si>
  <si>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</si>
  <si>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</si>
  <si>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</si>
  <si>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</si>
  <si>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</si>
  <si>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</si>
  <si>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</si>
  <si>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</si>
  <si>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</si>
  <si>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</si>
  <si>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</si>
  <si>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</si>
  <si>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</si>
  <si>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</si>
  <si>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</si>
  <si>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</si>
  <si>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</si>
  <si>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</si>
  <si>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</si>
  <si>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</si>
  <si>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</si>
  <si>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</si>
  <si>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</si>
  <si>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</si>
  <si>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</si>
  <si>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</si>
  <si>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</si>
  <si>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</si>
  <si>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</si>
  <si>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</si>
  <si>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</si>
  <si>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</si>
  <si>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</si>
  <si>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</si>
  <si>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</si>
  <si>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</si>
  <si>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</si>
  <si>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</si>
  <si>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</si>
  <si>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</si>
  <si>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</si>
  <si>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</si>
  <si>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</si>
  <si>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</si>
  <si>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</si>
  <si>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</si>
  <si>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</si>
  <si>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</si>
  <si>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</si>
  <si>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</si>
  <si>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</si>
  <si>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</si>
  <si>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</si>
  <si>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</si>
  <si>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</si>
  <si>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</si>
  <si>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</si>
  <si>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</si>
  <si>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</si>
  <si>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</si>
  <si>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</si>
  <si>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</si>
  <si>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</si>
  <si>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</si>
  <si>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</si>
  <si>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</si>
  <si>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</si>
  <si>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</si>
  <si>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</si>
  <si>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</si>
  <si>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</si>
  <si>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</si>
  <si>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</si>
  <si>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</si>
  <si>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</si>
  <si>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</si>
  <si>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</si>
  <si>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</si>
  <si>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</si>
  <si>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</si>
  <si>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</si>
  <si>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</si>
  <si>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</si>
  <si>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</si>
  <si>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</si>
  <si>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</si>
  <si>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</si>
  <si>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</si>
  <si>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</si>
  <si>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</si>
  <si>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</si>
  <si>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</si>
  <si>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</si>
  <si>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</si>
  <si>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</si>
  <si>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</si>
  <si>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</si>
  <si>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</si>
  <si>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</si>
  <si>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</si>
  <si>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</si>
  <si>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</si>
  <si>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</si>
  <si>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</si>
  <si>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</si>
  <si>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</si>
  <si>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</si>
  <si>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</si>
  <si>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</si>
  <si>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</si>
  <si>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</si>
  <si>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</si>
  <si>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</si>
  <si>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</si>
  <si>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</si>
  <si>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</si>
  <si>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</si>
  <si>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</si>
  <si>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</si>
  <si>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</si>
  <si>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</si>
  <si>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</si>
  <si>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</si>
  <si>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</si>
  <si>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</si>
  <si>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</si>
  <si>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</si>
  <si>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</si>
  <si>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</si>
  <si>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</si>
  <si>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</si>
  <si>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</si>
  <si>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</si>
  <si>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</si>
  <si>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</si>
  <si>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</si>
  <si>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</si>
  <si>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</si>
  <si>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</si>
  <si>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</si>
  <si>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</si>
  <si>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</si>
  <si>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</si>
  <si>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</si>
  <si>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</si>
  <si>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</si>
  <si>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</si>
  <si>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</si>
  <si>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</si>
  <si>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</si>
  <si>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</si>
  <si>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</si>
  <si>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</si>
  <si>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</si>
  <si>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</si>
  <si>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</si>
  <si>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</si>
  <si>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</si>
  <si>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</si>
  <si>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</si>
  <si>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</si>
  <si>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</si>
  <si>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</si>
  <si>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</si>
  <si>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</si>
  <si>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</si>
  <si>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</si>
  <si>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</si>
  <si>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</si>
  <si>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</si>
  <si>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</si>
  <si>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</si>
  <si>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</si>
  <si>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</si>
  <si>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</si>
  <si>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</si>
  <si>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</si>
  <si>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</si>
  <si>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</si>
  <si>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</si>
  <si>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</si>
  <si>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</si>
  <si>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</si>
  <si>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</si>
  <si>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</si>
  <si>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</si>
  <si>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</si>
  <si>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</si>
  <si>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</si>
  <si>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</si>
  <si>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</si>
  <si>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</si>
  <si>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</si>
  <si>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</si>
  <si>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</si>
  <si>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</si>
  <si>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</si>
  <si>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</si>
  <si>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</si>
  <si>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</si>
  <si>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</si>
  <si>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</si>
  <si>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</si>
  <si>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</si>
  <si>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</si>
  <si>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</si>
  <si>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</si>
  <si>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</si>
  <si>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</si>
  <si>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</si>
  <si>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</si>
  <si>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</si>
  <si>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</si>
  <si>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</si>
  <si>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</si>
  <si>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</si>
  <si>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</si>
  <si>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</si>
  <si>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</si>
  <si>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</si>
  <si>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</si>
  <si>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</si>
  <si>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</si>
  <si>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</si>
  <si>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</si>
  <si>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</si>
  <si>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</si>
  <si>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</si>
  <si>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</si>
  <si>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</si>
  <si>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</si>
  <si>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</si>
  <si>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</si>
  <si>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</si>
  <si>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</si>
  <si>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</si>
  <si>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</si>
  <si>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</si>
  <si>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</si>
  <si>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</si>
  <si>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</si>
  <si>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</si>
  <si>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</si>
  <si>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</si>
  <si>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</si>
  <si>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</si>
  <si>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</si>
  <si>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</si>
  <si>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</si>
  <si>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</si>
  <si>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</si>
  <si>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</si>
  <si>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</si>
  <si>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</si>
  <si>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</si>
  <si>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</si>
  <si>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</si>
  <si>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</si>
  <si>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</si>
  <si>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</si>
  <si>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</si>
  <si>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</si>
  <si>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</si>
  <si>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</si>
  <si>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</si>
  <si>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</si>
  <si>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</si>
  <si>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</si>
  <si>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</si>
  <si>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</si>
  <si>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</si>
  <si>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</si>
  <si>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</si>
  <si>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</si>
  <si>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</si>
  <si>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</si>
  <si>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</si>
  <si>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</si>
  <si>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</si>
  <si>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</si>
  <si>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</si>
  <si>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</si>
  <si>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</si>
  <si>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</si>
  <si>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</si>
  <si>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</si>
  <si>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</si>
  <si>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</si>
  <si>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</si>
  <si>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</si>
  <si>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</si>
  <si>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</si>
  <si>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</si>
  <si>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</si>
  <si>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</si>
  <si>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</si>
  <si>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</si>
  <si>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</si>
  <si>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</si>
  <si>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</si>
  <si>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</si>
  <si>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</si>
  <si>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</si>
  <si>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</si>
  <si>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</si>
  <si>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</si>
  <si>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</si>
  <si>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</si>
  <si>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</si>
  <si>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</si>
  <si>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</si>
  <si>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</si>
  <si>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</si>
  <si>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</si>
  <si>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</si>
  <si>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</si>
  <si>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</si>
  <si>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</si>
  <si>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</si>
  <si>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</si>
  <si>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</si>
  <si>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</si>
  <si>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</si>
  <si>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</si>
  <si>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</si>
  <si>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</si>
  <si>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</si>
  <si>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</si>
  <si>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</si>
  <si>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</si>
  <si>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</si>
  <si>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</si>
  <si>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</si>
  <si>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</si>
  <si>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</si>
  <si>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</si>
  <si>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</si>
  <si>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</si>
  <si>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</si>
  <si>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</si>
  <si>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</si>
  <si>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</si>
  <si>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</si>
  <si>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</si>
  <si>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</si>
  <si>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</si>
  <si>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</si>
  <si>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</si>
  <si>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</si>
  <si>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</si>
  <si>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</si>
  <si>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</si>
  <si>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</si>
  <si>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</si>
  <si>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</si>
  <si>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</si>
  <si>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</si>
  <si>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</si>
  <si>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</si>
  <si>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</si>
  <si>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</si>
  <si>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</si>
  <si>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</si>
  <si>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</si>
  <si>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</si>
  <si>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</si>
  <si>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</si>
  <si>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</si>
  <si>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</si>
  <si>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</si>
  <si>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</si>
  <si>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</si>
  <si>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</si>
  <si>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</si>
  <si>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</si>
  <si>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</si>
  <si>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</si>
  <si>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</si>
  <si>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</si>
  <si>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</si>
  <si>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</si>
  <si>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</si>
  <si>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</si>
  <si>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</si>
  <si>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</si>
  <si>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</si>
  <si>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</si>
  <si>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</si>
  <si>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</si>
  <si>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</si>
  <si>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</si>
  <si>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</si>
  <si>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</si>
  <si>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</si>
  <si>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</si>
  <si>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</si>
  <si>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</si>
  <si>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</si>
  <si>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</si>
  <si>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</si>
  <si>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</si>
  <si>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</si>
  <si>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</si>
  <si>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</si>
  <si>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</si>
  <si>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</si>
  <si>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</si>
  <si>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</si>
  <si>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</si>
  <si>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</si>
  <si>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</si>
  <si>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</si>
  <si>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</si>
  <si>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</si>
  <si>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</si>
  <si>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</si>
  <si>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</si>
  <si>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</si>
  <si>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</si>
  <si>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</si>
  <si>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</si>
  <si>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</si>
  <si>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</si>
  <si>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</si>
  <si>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</si>
  <si>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</si>
  <si>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</si>
  <si>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</si>
  <si>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</si>
  <si>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</si>
  <si>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</si>
  <si>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</si>
  <si>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</si>
  <si>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</si>
  <si>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</si>
  <si>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</si>
  <si>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</si>
  <si>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</si>
  <si>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</si>
  <si>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</si>
  <si>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</si>
  <si>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</si>
  <si>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</si>
  <si>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</si>
  <si>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</si>
  <si>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</si>
  <si>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</si>
  <si>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</si>
  <si>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</si>
  <si>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</si>
  <si>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</si>
  <si>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</si>
  <si>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</si>
  <si>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</si>
  <si>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</si>
  <si>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</si>
  <si>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</si>
  <si>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</si>
  <si>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</si>
  <si>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</si>
  <si>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</si>
  <si>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</si>
  <si>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</si>
  <si>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</si>
  <si>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</si>
  <si>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</si>
  <si>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</si>
  <si>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</si>
  <si>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</si>
  <si>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</si>
  <si>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</si>
  <si>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</si>
  <si>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</si>
  <si>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</si>
  <si>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</si>
  <si>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</si>
  <si>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</si>
  <si>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</si>
  <si>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</si>
  <si>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</si>
  <si>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</si>
  <si>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</si>
  <si>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</si>
  <si>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</si>
  <si>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</si>
  <si>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</si>
  <si>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</si>
  <si>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</si>
  <si>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</si>
  <si>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</si>
  <si>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</si>
  <si>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</si>
  <si>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</si>
  <si>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</si>
  <si>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</si>
  <si>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</si>
  <si>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</si>
  <si>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</si>
  <si>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</si>
  <si>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</si>
  <si>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</si>
  <si>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</si>
  <si>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</si>
  <si>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</si>
  <si>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</si>
  <si>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</si>
  <si>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</si>
  <si>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</si>
  <si>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</si>
  <si>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</si>
  <si>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</si>
  <si>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</si>
  <si>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</si>
  <si>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</si>
  <si>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</si>
  <si>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</si>
  <si>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</si>
  <si>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</si>
  <si>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</si>
  <si>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</si>
  <si>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</si>
  <si>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</si>
  <si>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</si>
  <si>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</si>
  <si>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</si>
  <si>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</si>
  <si>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</si>
  <si>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</si>
  <si>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</si>
  <si>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</si>
  <si>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</si>
  <si>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</si>
  <si>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</si>
  <si>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</si>
  <si>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</si>
  <si>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</si>
  <si>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</si>
  <si>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</si>
  <si>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</si>
  <si>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</si>
  <si>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</si>
  <si>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</si>
  <si>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</si>
  <si>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</si>
  <si>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</si>
  <si>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</si>
  <si>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</si>
  <si>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</si>
  <si>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</si>
  <si>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</si>
  <si>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</si>
  <si>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</si>
  <si>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</si>
  <si>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</si>
  <si>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</si>
  <si>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</si>
  <si>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</si>
  <si>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</si>
  <si>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</si>
  <si>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</si>
  <si>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</si>
  <si>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</si>
  <si>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</si>
  <si>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</si>
  <si>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</si>
  <si>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</si>
  <si>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</si>
  <si>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</si>
  <si>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</si>
  <si>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</si>
  <si>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</si>
  <si>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</si>
  <si>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</si>
  <si>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</si>
  <si>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</si>
  <si>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</si>
  <si>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</si>
  <si>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</si>
  <si>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</si>
  <si>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</si>
  <si>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</si>
  <si>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</si>
  <si>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</si>
  <si>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</si>
  <si>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</si>
  <si>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</si>
  <si>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</si>
  <si>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</si>
  <si>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</si>
  <si>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</si>
  <si>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</si>
  <si>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</si>
  <si>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</si>
  <si>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</si>
  <si>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</si>
  <si>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</si>
  <si>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</si>
  <si>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</si>
  <si>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</si>
  <si>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</si>
  <si>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</si>
  <si>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</si>
  <si>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</si>
  <si>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</si>
  <si>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</si>
  <si>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</si>
  <si>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</si>
  <si>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</si>
  <si>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</si>
  <si>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</si>
  <si>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</si>
  <si>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</si>
  <si>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</si>
  <si>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</si>
  <si>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</si>
  <si>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</si>
  <si>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</si>
  <si>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</si>
  <si>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</si>
  <si>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</si>
  <si>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</si>
  <si>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</si>
  <si>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</si>
  <si>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</si>
  <si>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</si>
  <si>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</si>
  <si>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</si>
  <si>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</si>
  <si>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</si>
  <si>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</si>
  <si>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</si>
  <si>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</si>
  <si>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</si>
  <si>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</si>
  <si>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</si>
  <si>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</si>
  <si>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</si>
  <si>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</si>
  <si>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</si>
  <si>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</si>
  <si>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</si>
  <si>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</si>
  <si>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</si>
  <si>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</si>
  <si>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</si>
  <si>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</si>
  <si>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</si>
  <si>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</si>
  <si>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</si>
  <si>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</si>
  <si>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</si>
  <si>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</si>
  <si>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</si>
  <si>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</si>
  <si>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</si>
  <si>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</si>
  <si>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</si>
  <si>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</si>
  <si>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</si>
  <si>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</si>
  <si>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</si>
  <si>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</si>
  <si>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</si>
  <si>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</si>
  <si>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</si>
  <si>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</si>
  <si>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</si>
  <si>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</si>
  <si>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</si>
  <si>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</si>
  <si>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</si>
  <si>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</si>
  <si>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</si>
  <si>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</si>
  <si>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</si>
  <si>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</si>
  <si>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</si>
  <si>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</si>
  <si>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</si>
  <si>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</si>
  <si>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</si>
  <si>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</si>
  <si>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</si>
  <si>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</si>
  <si>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</si>
  <si>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</si>
  <si>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</si>
  <si>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</si>
  <si>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</si>
  <si>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</si>
  <si>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</si>
  <si>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</si>
  <si>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</si>
  <si>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</si>
  <si>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</si>
  <si>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</si>
  <si>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</si>
  <si>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</si>
  <si>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</si>
  <si>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</si>
  <si>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</si>
  <si>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</si>
  <si>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</si>
  <si>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</si>
  <si>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</si>
  <si>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</si>
  <si>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</si>
  <si>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</si>
  <si>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</si>
  <si>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</si>
  <si>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</si>
  <si>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</si>
  <si>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</si>
  <si>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</si>
  <si>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</si>
  <si>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</si>
  <si>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</si>
  <si>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</si>
  <si>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</si>
  <si>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</si>
  <si>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</si>
  <si>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</si>
  <si>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</si>
  <si>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</si>
  <si>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</si>
  <si>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</si>
  <si>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</si>
  <si>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</si>
  <si>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</si>
  <si>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</si>
  <si>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</si>
  <si>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</si>
  <si>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</si>
  <si>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</si>
  <si>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</si>
  <si>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</si>
  <si>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</si>
  <si>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</si>
  <si>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</si>
  <si>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</si>
  <si>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</si>
  <si>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</si>
  <si>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</si>
  <si>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</si>
  <si>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</si>
  <si>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</si>
  <si>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</si>
  <si>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</si>
  <si>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</si>
  <si>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</si>
  <si>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</si>
  <si>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</si>
  <si>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</si>
  <si>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</si>
  <si>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</si>
  <si>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</si>
  <si>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</si>
  <si>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</si>
  <si>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</si>
  <si>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</si>
  <si>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</si>
  <si>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</si>
  <si>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</si>
  <si>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</si>
  <si>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</si>
  <si>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</si>
  <si>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</si>
  <si>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</si>
  <si>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</si>
  <si>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</si>
  <si>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</si>
  <si>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</si>
  <si>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</si>
  <si>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</si>
  <si>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</si>
  <si>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</si>
  <si>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</si>
  <si>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</si>
  <si>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</si>
  <si>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</si>
  <si>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</si>
  <si>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</si>
  <si>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</si>
  <si>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</si>
  <si>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</si>
  <si>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</si>
  <si>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</si>
  <si>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</si>
  <si>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</si>
  <si>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</si>
  <si>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</si>
  <si>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</si>
  <si>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</si>
  <si>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</si>
  <si>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</si>
  <si>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</si>
  <si>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</si>
  <si>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</si>
  <si>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</si>
  <si>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</si>
  <si>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</si>
  <si>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</si>
  <si>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</si>
  <si>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</si>
  <si>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</si>
  <si>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</si>
  <si>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</si>
  <si>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</si>
  <si>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</si>
  <si>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</si>
  <si>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</si>
  <si>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</si>
  <si>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</si>
  <si>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</si>
  <si>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</si>
  <si>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</si>
  <si>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</si>
  <si>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</si>
  <si>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</si>
  <si>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</si>
  <si>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</si>
  <si>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</si>
  <si>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</si>
  <si>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</si>
  <si>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</si>
  <si>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</si>
  <si>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</si>
  <si>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</si>
  <si>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</si>
  <si>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</si>
  <si>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</si>
  <si>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</si>
  <si>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</si>
  <si>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</si>
  <si>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</si>
  <si>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</si>
  <si>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</si>
  <si>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</si>
  <si>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</si>
  <si>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</si>
  <si>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</si>
  <si>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</si>
  <si>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</si>
  <si>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</si>
  <si>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</si>
  <si>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</si>
  <si>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</si>
  <si>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</si>
  <si>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</si>
  <si>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</si>
  <si>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</si>
  <si>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</si>
  <si>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</si>
  <si>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</si>
  <si>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</si>
  <si>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</si>
  <si>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</si>
  <si>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</si>
  <si>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</si>
  <si>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</si>
  <si>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</si>
  <si>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</si>
  <si>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</si>
  <si>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</si>
  <si>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</si>
  <si>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</si>
  <si>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</si>
  <si>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</si>
  <si>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</si>
  <si>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</si>
  <si>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</si>
  <si>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</si>
  <si>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</si>
  <si>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</si>
  <si>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</si>
  <si>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</si>
  <si>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</si>
  <si>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</si>
  <si>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</si>
  <si>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</si>
  <si>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</si>
  <si>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</si>
  <si>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</si>
  <si>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</si>
  <si>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</si>
  <si>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</si>
  <si>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</si>
  <si>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</si>
  <si>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</si>
  <si>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</si>
  <si>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</si>
  <si>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</si>
  <si>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</si>
  <si>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</si>
  <si>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</si>
  <si>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</si>
  <si>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</si>
  <si>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</si>
  <si>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</si>
  <si>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</si>
  <si>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</si>
  <si>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</si>
  <si>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</si>
  <si>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</si>
  <si>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</si>
  <si>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</si>
  <si>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</si>
  <si>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</si>
  <si>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</si>
  <si>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</si>
  <si>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</si>
  <si>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</si>
  <si>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</si>
  <si>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</si>
  <si>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</si>
  <si>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</si>
  <si>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</si>
  <si>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</si>
  <si>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</si>
  <si>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</si>
  <si>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</si>
  <si>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</si>
  <si>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</si>
  <si>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</si>
  <si>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</si>
  <si>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</si>
  <si>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</si>
  <si>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</si>
  <si>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</si>
  <si>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</si>
  <si>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</si>
  <si>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</si>
  <si>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</si>
  <si>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</si>
  <si>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</si>
  <si>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</si>
  <si>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</si>
  <si>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</si>
  <si>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</si>
  <si>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</si>
  <si>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</si>
  <si>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</si>
  <si>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</si>
  <si>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</si>
  <si>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</si>
  <si>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</si>
  <si>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</si>
  <si>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</si>
  <si>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</si>
  <si>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</si>
  <si>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</si>
  <si>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</si>
  <si>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</si>
  <si>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</si>
  <si>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</si>
  <si>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</si>
  <si>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</si>
  <si>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</si>
  <si>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</si>
  <si>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</si>
  <si>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</si>
  <si>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</si>
  <si>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</si>
  <si>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</si>
  <si>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</si>
  <si>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</si>
  <si>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</si>
  <si>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</si>
  <si>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</si>
  <si>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</si>
  <si>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</si>
  <si>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</si>
  <si>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</si>
  <si>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</si>
  <si>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</si>
  <si>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</si>
  <si>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</si>
  <si>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</si>
  <si>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</si>
  <si>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</si>
  <si>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</si>
  <si>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</si>
  <si>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</si>
  <si>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</si>
  <si>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</si>
  <si>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</si>
  <si>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</si>
  <si>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</si>
  <si>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</si>
  <si>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</si>
  <si>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</si>
  <si>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</si>
  <si>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</si>
  <si>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</si>
  <si>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</si>
  <si>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</si>
  <si>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</si>
  <si>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</si>
  <si>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</si>
  <si>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</si>
  <si>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</si>
  <si>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</si>
  <si>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</si>
  <si>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</si>
  <si>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</si>
  <si>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</si>
  <si>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</si>
  <si>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</si>
  <si>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</si>
  <si>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</si>
  <si>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</si>
  <si>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</si>
  <si>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</si>
  <si>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</si>
  <si>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</si>
  <si>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</si>
  <si>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</si>
  <si>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</si>
  <si>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</si>
  <si>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</si>
  <si>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</si>
  <si>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</si>
  <si>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</si>
  <si>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</si>
  <si>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</si>
  <si>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</si>
  <si>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</si>
  <si>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</si>
  <si>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</si>
  <si>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</si>
  <si>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</si>
  <si>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</si>
  <si>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</si>
  <si>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</si>
  <si>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</si>
  <si>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</si>
  <si>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</si>
  <si>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</si>
  <si>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</si>
  <si>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</si>
  <si>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</si>
  <si>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</si>
  <si>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</si>
  <si>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</si>
  <si>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</si>
  <si>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</si>
  <si>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</si>
  <si>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</si>
  <si>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</si>
  <si>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</si>
  <si>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</si>
  <si>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</si>
  <si>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</si>
  <si>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</si>
  <si>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</si>
  <si>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</si>
  <si>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</si>
  <si>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</si>
  <si>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</si>
  <si>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</si>
  <si>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</si>
  <si>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</si>
  <si>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</si>
  <si>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</si>
  <si>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</si>
  <si>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</si>
  <si>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</si>
  <si>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</si>
  <si>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</si>
  <si>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</si>
  <si>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</si>
  <si>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</si>
  <si>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</si>
  <si>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</si>
  <si>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</si>
  <si>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</si>
  <si>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</si>
  <si>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</si>
  <si>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</si>
  <si>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</si>
  <si>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</si>
  <si>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</si>
  <si>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</si>
  <si>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</si>
  <si>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</si>
  <si>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</si>
  <si>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</si>
  <si>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</si>
  <si>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</si>
  <si>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</si>
  <si>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</si>
  <si>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</si>
  <si>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</si>
  <si>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</si>
  <si>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</si>
  <si>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</si>
  <si>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</si>
  <si>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</si>
  <si>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</si>
  <si>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</si>
  <si>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</si>
  <si>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</si>
  <si>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</si>
  <si>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</si>
  <si>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</si>
  <si>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</si>
  <si>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</si>
  <si>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</si>
  <si>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</si>
  <si>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</si>
  <si>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</si>
  <si>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</si>
  <si>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</si>
  <si>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</si>
  <si>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</si>
  <si>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</si>
  <si>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</si>
  <si>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</si>
  <si>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</si>
  <si>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</si>
  <si>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</si>
  <si>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</si>
  <si>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</si>
  <si>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</si>
  <si>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</si>
  <si>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</si>
  <si>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</si>
  <si>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</si>
  <si>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</si>
  <si>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</si>
  <si>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</si>
  <si>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</si>
  <si>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</si>
  <si>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</si>
  <si>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</si>
  <si>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</si>
  <si>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</si>
  <si>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</si>
  <si>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</si>
  <si>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</si>
  <si>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</si>
  <si>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</si>
  <si>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</si>
  <si>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</si>
  <si>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</si>
  <si>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</si>
  <si>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</si>
  <si>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</si>
  <si>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</si>
  <si>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</si>
  <si>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</si>
  <si>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</si>
  <si>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</si>
  <si>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</si>
  <si>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</si>
  <si>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</si>
  <si>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</si>
  <si>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</si>
  <si>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</si>
  <si>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</si>
  <si>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</si>
  <si>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</si>
  <si>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</si>
  <si>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</si>
  <si>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</si>
  <si>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</si>
  <si>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</si>
  <si>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</si>
  <si>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</si>
  <si>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</si>
  <si>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</si>
  <si>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</si>
  <si>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</si>
  <si>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</si>
  <si>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</si>
  <si>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</si>
  <si>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</si>
  <si>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</si>
  <si>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</si>
  <si>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</si>
  <si>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</si>
  <si>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</si>
  <si>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</si>
  <si>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</si>
  <si>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</si>
  <si>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</si>
  <si>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</si>
  <si>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</si>
  <si>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</si>
  <si>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</si>
  <si>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</si>
  <si>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</si>
  <si>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</si>
  <si>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</si>
  <si>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</si>
  <si>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</si>
  <si>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</si>
  <si>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</si>
  <si>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</si>
  <si>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</si>
  <si>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</si>
  <si>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</si>
  <si>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</si>
  <si>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</si>
  <si>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</si>
  <si>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</si>
  <si>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</si>
  <si>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</si>
  <si>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</si>
  <si>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</si>
  <si>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</si>
  <si>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</si>
  <si>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</si>
  <si>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</si>
  <si>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</si>
  <si>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</si>
  <si>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</si>
  <si>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</si>
  <si>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</si>
  <si>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</si>
  <si>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</si>
  <si>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</si>
  <si>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</si>
  <si>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</si>
  <si>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</si>
  <si>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</si>
  <si>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</si>
  <si>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</si>
  <si>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</si>
  <si>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</si>
  <si>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</si>
  <si>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</si>
  <si>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</si>
  <si>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</si>
  <si>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</si>
  <si>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</si>
  <si>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</si>
  <si>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</si>
  <si>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</si>
  <si>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</si>
  <si>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</si>
  <si>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</si>
  <si>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</si>
  <si>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</si>
  <si>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</si>
  <si>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</si>
  <si>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</si>
  <si>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</si>
  <si>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</si>
  <si>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</si>
  <si>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</si>
  <si>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</si>
  <si>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</si>
  <si>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</si>
  <si>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</si>
  <si>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</si>
  <si>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</si>
  <si>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</si>
  <si>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</si>
  <si>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</si>
  <si>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</si>
  <si>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</si>
  <si>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</si>
  <si>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</si>
  <si>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</si>
  <si>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</si>
  <si>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</si>
  <si>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</si>
  <si>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</si>
  <si>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</si>
  <si>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</si>
  <si>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</si>
  <si>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</si>
  <si>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</si>
  <si>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</si>
  <si>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</si>
  <si>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</si>
  <si>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</si>
  <si>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</si>
  <si>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</si>
  <si>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</si>
  <si>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</si>
  <si>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</si>
  <si>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</si>
  <si>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</si>
  <si>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</si>
  <si>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</si>
  <si>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</si>
  <si>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</si>
  <si>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</si>
  <si>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</si>
  <si>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</si>
  <si>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</si>
  <si>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</si>
  <si>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</si>
  <si>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</si>
  <si>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</si>
  <si>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</si>
  <si>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</si>
  <si>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</si>
  <si>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</si>
  <si>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</si>
  <si>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</si>
  <si>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</si>
  <si>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</si>
  <si>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</si>
  <si>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</si>
  <si>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</si>
  <si>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</si>
  <si>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</si>
  <si>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</si>
  <si>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</si>
  <si>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</si>
  <si>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</si>
  <si>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</si>
  <si>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</si>
  <si>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</si>
  <si>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</si>
  <si>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</si>
  <si>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</si>
  <si>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</si>
  <si>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</si>
  <si>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</si>
  <si>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</si>
  <si>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</si>
  <si>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</si>
  <si>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</si>
  <si>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</si>
  <si>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</si>
  <si>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</si>
  <si>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</si>
  <si>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</si>
  <si>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</si>
  <si>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</si>
  <si>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</si>
  <si>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</si>
  <si>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</si>
  <si>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</si>
  <si>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</si>
  <si>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</si>
  <si>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</si>
  <si>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</si>
  <si>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</si>
  <si>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</si>
  <si>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</si>
  <si>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</si>
  <si>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</si>
  <si>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</si>
  <si>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</si>
  <si>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</si>
  <si>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</si>
  <si>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</si>
  <si>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</si>
  <si>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</si>
  <si>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</si>
  <si>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</si>
  <si>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</si>
  <si>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</si>
  <si>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</si>
  <si>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</si>
  <si>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</si>
  <si>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</si>
  <si>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</si>
  <si>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</si>
  <si>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</si>
  <si>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</si>
  <si>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</si>
  <si>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</si>
  <si>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</si>
  <si>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</si>
  <si>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</si>
  <si>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</si>
  <si>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</si>
  <si>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</si>
  <si>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</si>
  <si>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</si>
  <si>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</si>
  <si>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</si>
  <si>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</si>
  <si>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</si>
  <si>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</si>
  <si>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</si>
  <si>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</si>
  <si>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</si>
  <si>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</si>
  <si>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</si>
  <si>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</si>
  <si>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</si>
  <si>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</si>
  <si>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</si>
  <si>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</si>
  <si>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</si>
  <si>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</si>
  <si>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</si>
  <si>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</si>
  <si>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</si>
  <si>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</si>
  <si>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</si>
  <si>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崔锴</t>
  </si>
  <si>
    <t>郑燚</t>
  </si>
  <si>
    <t>抵押</t>
  </si>
  <si>
    <t>房地产抵押价值</t>
  </si>
  <si>
    <t>北京市</t>
  </si>
  <si>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7" type="noConversion"/>
  </si>
  <si>
    <t>企业</t>
  </si>
  <si>
    <t>复印件</t>
  </si>
  <si>
    <t>Ⅳ-电子城西</t>
  </si>
  <si>
    <t>序号</t>
    <phoneticPr fontId="135" type="noConversion"/>
  </si>
  <si>
    <t>不动产权证号</t>
    <phoneticPr fontId="135" type="noConversion"/>
  </si>
  <si>
    <t>不动产权利人</t>
    <phoneticPr fontId="135" type="noConversion"/>
  </si>
  <si>
    <t>坐落</t>
    <phoneticPr fontId="135" type="noConversion"/>
  </si>
  <si>
    <t>建筑面积</t>
    <phoneticPr fontId="135" type="noConversion"/>
  </si>
  <si>
    <t>规划用途</t>
    <phoneticPr fontId="135" type="noConversion"/>
  </si>
  <si>
    <t>所在楼层</t>
    <phoneticPr fontId="135" type="noConversion"/>
  </si>
  <si>
    <t>总层数</t>
    <phoneticPr fontId="135" type="noConversion"/>
  </si>
  <si>
    <t>京（2016）朝阳区不动产权第0036187号</t>
    <phoneticPr fontId="135" type="noConversion"/>
  </si>
  <si>
    <t>北京恒基伟业移动通讯技术有限公司</t>
    <phoneticPr fontId="135" type="noConversion"/>
  </si>
  <si>
    <t>朝阳区望京东路4号院1号楼-1层-204</t>
    <phoneticPr fontId="135" type="noConversion"/>
  </si>
  <si>
    <t>地下车库</t>
    <phoneticPr fontId="135" type="noConversion"/>
  </si>
  <si>
    <t>B2</t>
    <phoneticPr fontId="135" type="noConversion"/>
  </si>
  <si>
    <t>8（-02）</t>
    <phoneticPr fontId="135" type="noConversion"/>
  </si>
  <si>
    <t>京（2016）朝阳区不动产权第0036505号</t>
    <phoneticPr fontId="135" type="noConversion"/>
  </si>
  <si>
    <t>朝阳区望京东路4号院1号楼-1层-106</t>
    <phoneticPr fontId="135" type="noConversion"/>
  </si>
  <si>
    <t>地下车库</t>
    <phoneticPr fontId="135" type="noConversion"/>
  </si>
  <si>
    <t>B1</t>
    <phoneticPr fontId="135" type="noConversion"/>
  </si>
  <si>
    <t>8（-02）</t>
    <phoneticPr fontId="135" type="noConversion"/>
  </si>
  <si>
    <t>京（2016）朝阳区不动产权第0036201号</t>
    <phoneticPr fontId="135" type="noConversion"/>
  </si>
  <si>
    <t>朝阳区望京东路4号院1号楼1层103</t>
    <phoneticPr fontId="135" type="noConversion"/>
  </si>
  <si>
    <t>研发中心</t>
    <phoneticPr fontId="135" type="noConversion"/>
  </si>
  <si>
    <t>研发中心</t>
    <phoneticPr fontId="135" type="noConversion"/>
  </si>
  <si>
    <t>有查封</t>
    <phoneticPr fontId="135" type="noConversion"/>
  </si>
  <si>
    <t>京（2016）朝阳区不动产权第0036496号</t>
    <phoneticPr fontId="135" type="noConversion"/>
  </si>
  <si>
    <t>朝阳区望京东路4号院1号楼1层104</t>
  </si>
  <si>
    <t>京（2016）朝阳区不动产权第0036495号</t>
    <phoneticPr fontId="135" type="noConversion"/>
  </si>
  <si>
    <t>朝阳区望京东路4号院1号楼1层105</t>
  </si>
  <si>
    <t>京（2016）朝阳区不动产权第0036504号</t>
    <phoneticPr fontId="135" type="noConversion"/>
  </si>
  <si>
    <t>朝阳区望京东路4号院1号楼1层106</t>
  </si>
  <si>
    <t>京（2016）朝阳区不动产权第0036203号</t>
    <phoneticPr fontId="135" type="noConversion"/>
  </si>
  <si>
    <t>朝阳区望京东路4号院1号楼1层107</t>
    <phoneticPr fontId="135" type="noConversion"/>
  </si>
  <si>
    <t>京（2016）朝阳区不动产权第0036205号</t>
    <phoneticPr fontId="135" type="noConversion"/>
  </si>
  <si>
    <t>朝阳区望京东路4号院1号楼2层202</t>
    <phoneticPr fontId="135" type="noConversion"/>
  </si>
  <si>
    <t>京（2016）朝阳区不动产权第0036214号</t>
    <phoneticPr fontId="135" type="noConversion"/>
  </si>
  <si>
    <t>朝阳区望京东路4号院1号楼2层203</t>
  </si>
  <si>
    <t>京（2016）朝阳区不动产权第0036212号</t>
    <phoneticPr fontId="135" type="noConversion"/>
  </si>
  <si>
    <t>朝阳区望京东路4号院1号楼2层204</t>
  </si>
  <si>
    <t>京（2016）朝阳区不动产权第0036209号</t>
    <phoneticPr fontId="135" type="noConversion"/>
  </si>
  <si>
    <t>朝阳区望京东路4号院1号楼2层205</t>
  </si>
  <si>
    <t>京（2016）朝阳区不动产权第0036503号</t>
    <phoneticPr fontId="135" type="noConversion"/>
  </si>
  <si>
    <t>朝阳区望京东路4号院1号楼3层302</t>
    <phoneticPr fontId="135" type="noConversion"/>
  </si>
  <si>
    <t>京（2016）朝阳区不动产权第0036502号</t>
    <phoneticPr fontId="135" type="noConversion"/>
  </si>
  <si>
    <t>朝阳区望京东路4号院1号楼3层303</t>
  </si>
  <si>
    <t>京（2016）朝阳区不动产权第0036501号</t>
    <phoneticPr fontId="135" type="noConversion"/>
  </si>
  <si>
    <t>朝阳区望京东路4号院1号楼3层304</t>
  </si>
  <si>
    <t>京（2016）朝阳区不动产权第0036500号</t>
    <phoneticPr fontId="135" type="noConversion"/>
  </si>
  <si>
    <t>朝阳区望京东路4号院1号楼4层402</t>
    <phoneticPr fontId="135" type="noConversion"/>
  </si>
  <si>
    <t>京（2016）朝阳区不动产权第0036499号</t>
    <phoneticPr fontId="135" type="noConversion"/>
  </si>
  <si>
    <t>朝阳区望京东路4号院1号楼4层403</t>
  </si>
  <si>
    <t>京（2016）朝阳区不动产权第0036498号</t>
    <phoneticPr fontId="135" type="noConversion"/>
  </si>
  <si>
    <t>朝阳区望京东路4号院1号楼4层404</t>
  </si>
  <si>
    <t>京（2016）朝阳区不动产权第0036497号</t>
    <phoneticPr fontId="135" type="noConversion"/>
  </si>
  <si>
    <t>朝阳区望京东路4号院1号楼4层405</t>
  </si>
  <si>
    <t>京（2016）朝阳区不动产权第0036208号</t>
    <phoneticPr fontId="135" type="noConversion"/>
  </si>
  <si>
    <t>朝阳区望京东路4号院1号楼5层502</t>
    <phoneticPr fontId="135" type="noConversion"/>
  </si>
  <si>
    <t>研发中心</t>
    <phoneticPr fontId="135" type="noConversion"/>
  </si>
  <si>
    <t>8（-02）</t>
    <phoneticPr fontId="135" type="noConversion"/>
  </si>
  <si>
    <t>京（2016）朝阳区不动产权第0036207号</t>
    <phoneticPr fontId="135" type="noConversion"/>
  </si>
  <si>
    <t>朝阳区望京东路4号院1号楼5层503</t>
  </si>
  <si>
    <t>京（2016）朝阳区不动产权第0036507号</t>
    <phoneticPr fontId="135" type="noConversion"/>
  </si>
  <si>
    <t>朝阳区望京东路4号院1号楼5层504</t>
  </si>
  <si>
    <t>京（2016）朝阳区不动产权第0036178号</t>
    <phoneticPr fontId="135" type="noConversion"/>
  </si>
  <si>
    <t>朝阳区望京东路4号院1号楼6层602</t>
    <phoneticPr fontId="135" type="noConversion"/>
  </si>
  <si>
    <t>京（2016）朝阳区不动产权第0036179号</t>
  </si>
  <si>
    <t>朝阳区望京东路4号院1号楼6层603</t>
  </si>
  <si>
    <t>京（2016）朝阳区不动产权第0036181号</t>
    <phoneticPr fontId="135" type="noConversion"/>
  </si>
  <si>
    <t>朝阳区望京东路4号院1号楼6层604</t>
  </si>
  <si>
    <t>京（2016）朝阳区不动产权第0036184号</t>
    <phoneticPr fontId="135" type="noConversion"/>
  </si>
  <si>
    <t>朝阳区望京东路4号院1号楼6层605</t>
  </si>
  <si>
    <t>京（2016）朝阳区不动产权第0036506号</t>
    <phoneticPr fontId="135" type="noConversion"/>
  </si>
  <si>
    <t>朝阳区望京东路4号院1号楼7层702</t>
    <phoneticPr fontId="135" type="noConversion"/>
  </si>
  <si>
    <t>京（2016）朝阳区不动产权第0036191号</t>
    <phoneticPr fontId="135" type="noConversion"/>
  </si>
  <si>
    <t>朝阳区望京东路4号院1号楼7层703</t>
  </si>
  <si>
    <t>京（2016）朝阳区不动产权第0036192号</t>
    <phoneticPr fontId="135" type="noConversion"/>
  </si>
  <si>
    <t>朝阳区望京东路4号院1号楼7层704</t>
  </si>
  <si>
    <t>京（2016）朝阳区不动产权第0036195号</t>
    <phoneticPr fontId="135" type="noConversion"/>
  </si>
  <si>
    <t>朝阳区望京东路4号院1号楼7层705</t>
  </si>
  <si>
    <t>京（2016）朝阳区不动产权第0036196号</t>
    <phoneticPr fontId="135" type="noConversion"/>
  </si>
  <si>
    <t>朝阳区望京东路4号院1号楼8层802</t>
    <phoneticPr fontId="135" type="noConversion"/>
  </si>
  <si>
    <t>京（2016）朝阳区不动产权第0036197号</t>
    <phoneticPr fontId="135" type="noConversion"/>
  </si>
  <si>
    <t>朝阳区望京东路4号院1号楼8层803</t>
  </si>
  <si>
    <t>京（2016）朝阳区不动产权第0036199号</t>
    <phoneticPr fontId="135" type="noConversion"/>
  </si>
  <si>
    <t>朝阳区望京东路4号院1号楼8层804</t>
  </si>
  <si>
    <t>京（2016）朝阳区不动产权第0036200号</t>
    <phoneticPr fontId="135" type="noConversion"/>
  </si>
  <si>
    <t>朝阳区望京东路4号院1号楼8层805</t>
  </si>
  <si>
    <t>合计</t>
    <phoneticPr fontId="135" type="noConversion"/>
  </si>
  <si>
    <t>——</t>
    <phoneticPr fontId="135" type="noConversion"/>
  </si>
  <si>
    <t>BC座</t>
    <phoneticPr fontId="135" type="noConversion"/>
  </si>
  <si>
    <t>其中：地下车库</t>
    <phoneticPr fontId="135" type="noConversion"/>
  </si>
  <si>
    <t>其中：地下车库</t>
    <phoneticPr fontId="135" type="noConversion"/>
  </si>
  <si>
    <t>地下占比</t>
    <phoneticPr fontId="135" type="noConversion"/>
  </si>
  <si>
    <t>A座</t>
    <phoneticPr fontId="135" type="noConversion"/>
  </si>
  <si>
    <t>总地上</t>
    <phoneticPr fontId="135" type="noConversion"/>
  </si>
  <si>
    <t>总土地</t>
    <phoneticPr fontId="135" type="noConversion"/>
  </si>
  <si>
    <t>地上容积率</t>
    <phoneticPr fontId="135" type="noConversion"/>
  </si>
  <si>
    <t>是</t>
  </si>
  <si>
    <t>地上</t>
  </si>
  <si>
    <t>地下</t>
  </si>
  <si>
    <t>研发中心</t>
  </si>
  <si>
    <t>研发中心</t>
    <phoneticPr fontId="8" type="noConversion"/>
  </si>
  <si>
    <t>建成</t>
    <phoneticPr fontId="4" type="noConversion"/>
  </si>
  <si>
    <t>直线</t>
    <phoneticPr fontId="4" type="noConversion"/>
  </si>
  <si>
    <t>成新度</t>
  </si>
  <si>
    <t>收益法</t>
  </si>
  <si>
    <t>较好</t>
  </si>
  <si>
    <t>较好</t>
    <phoneticPr fontId="41" type="noConversion"/>
  </si>
  <si>
    <t>较好</t>
    <phoneticPr fontId="25" type="noConversion"/>
  </si>
  <si>
    <t>较好</t>
    <phoneticPr fontId="41" type="noConversion"/>
  </si>
  <si>
    <t>七通</t>
  </si>
  <si>
    <t>七通</t>
    <phoneticPr fontId="25" type="noConversion"/>
  </si>
  <si>
    <t>首特钢大厦2号楼</t>
  </si>
  <si>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</si>
  <si>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</si>
  <si>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</si>
  <si>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</si>
  <si>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</si>
  <si>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</si>
  <si>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</si>
  <si>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</si>
  <si>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</si>
  <si>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</si>
  <si>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</si>
  <si>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</si>
  <si>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</si>
  <si>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</si>
  <si>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</si>
  <si>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</si>
  <si>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</si>
  <si>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</si>
  <si>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</si>
  <si>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</si>
  <si>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</si>
  <si>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</si>
  <si>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</si>
  <si>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</si>
  <si>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</si>
  <si>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</si>
  <si>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</si>
  <si>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</si>
  <si>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</si>
  <si>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</si>
  <si>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</si>
  <si>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</si>
  <si>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</si>
  <si>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</si>
  <si>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</si>
  <si>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</si>
  <si>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</si>
  <si>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</si>
  <si>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</si>
  <si>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</si>
  <si>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</si>
  <si>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</si>
  <si>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</si>
  <si>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</si>
  <si>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</si>
  <si>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</si>
  <si>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</si>
  <si>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</si>
  <si>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</si>
  <si>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</si>
  <si>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</si>
  <si>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</si>
  <si>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</si>
  <si>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</si>
  <si>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</si>
  <si>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</si>
  <si>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</si>
  <si>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</si>
  <si>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</si>
  <si>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</si>
  <si>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</si>
  <si>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</si>
  <si>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</si>
  <si>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</si>
  <si>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</si>
  <si>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</si>
  <si>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</si>
  <si>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</si>
  <si>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</si>
  <si>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</si>
  <si>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</si>
  <si>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</si>
  <si>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</si>
  <si>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</si>
  <si>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</si>
  <si>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</si>
  <si>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</si>
  <si>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</si>
  <si>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</si>
  <si>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</si>
  <si>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</si>
  <si>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</si>
  <si>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</si>
  <si>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</si>
  <si>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</si>
  <si>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</si>
  <si>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</si>
  <si>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</si>
  <si>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</si>
  <si>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</si>
  <si>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</si>
  <si>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</si>
  <si>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</si>
  <si>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</si>
  <si>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</si>
  <si>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</si>
  <si>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</si>
  <si>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</si>
  <si>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</si>
  <si>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</si>
  <si>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</si>
  <si>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</si>
  <si>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</si>
  <si>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</si>
  <si>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</si>
  <si>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</si>
  <si>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</si>
  <si>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</si>
  <si>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</si>
  <si>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</si>
  <si>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</si>
  <si>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</si>
  <si>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</si>
  <si>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</si>
  <si>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</si>
  <si>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</si>
  <si>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</si>
  <si>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</si>
  <si>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</si>
  <si>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</si>
  <si>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</si>
  <si>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</si>
  <si>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</si>
  <si>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</si>
  <si>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</si>
  <si>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</si>
  <si>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</si>
  <si>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</si>
  <si>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</si>
  <si>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</si>
  <si>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</si>
  <si>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</si>
  <si>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</si>
  <si>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</si>
  <si>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</si>
  <si>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</si>
  <si>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</si>
  <si>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</si>
  <si>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</si>
  <si>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</si>
  <si>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</si>
  <si>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</si>
  <si>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</si>
  <si>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</si>
  <si>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</si>
  <si>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</si>
  <si>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</si>
  <si>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</si>
  <si>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</si>
  <si>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</si>
  <si>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</si>
  <si>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</si>
  <si>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</si>
  <si>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</si>
  <si>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</si>
  <si>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</si>
  <si>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</si>
  <si>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</si>
  <si>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</si>
  <si>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</si>
  <si>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</si>
  <si>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</si>
  <si>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</si>
  <si>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</si>
  <si>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</si>
  <si>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</si>
  <si>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</si>
  <si>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</si>
  <si>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</si>
  <si>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</si>
  <si>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</si>
  <si>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</si>
  <si>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</si>
  <si>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</si>
  <si>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</si>
  <si>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</si>
  <si>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</si>
  <si>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</si>
  <si>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</si>
  <si>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</si>
  <si>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</si>
  <si>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</si>
  <si>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</si>
  <si>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</si>
  <si>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</si>
  <si>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</si>
  <si>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</si>
  <si>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</si>
  <si>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</si>
  <si>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</si>
  <si>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</si>
  <si>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</si>
  <si>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</si>
  <si>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</si>
  <si>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</si>
  <si>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</si>
  <si>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</si>
  <si>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</si>
  <si>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</si>
  <si>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</si>
  <si>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</si>
  <si>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</si>
  <si>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</si>
  <si>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</si>
  <si>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</si>
  <si>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</si>
  <si>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</si>
  <si>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</si>
  <si>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</si>
  <si>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</si>
  <si>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</si>
  <si>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</si>
  <si>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</si>
  <si>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</si>
  <si>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</si>
  <si>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</si>
  <si>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</si>
  <si>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</si>
  <si>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</si>
  <si>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</si>
  <si>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</si>
  <si>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</si>
  <si>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</si>
  <si>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</si>
  <si>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</si>
  <si>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</si>
  <si>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</si>
  <si>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</si>
  <si>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</si>
  <si>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</si>
  <si>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</si>
  <si>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</si>
  <si>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</si>
  <si>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</si>
  <si>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</si>
  <si>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</si>
  <si>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</si>
  <si>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</si>
  <si>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</si>
  <si>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</si>
  <si>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</si>
  <si>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</si>
  <si>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</si>
  <si>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</si>
  <si>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</si>
  <si>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</si>
  <si>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</si>
  <si>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</si>
  <si>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</si>
  <si>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</si>
  <si>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</si>
  <si>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</si>
  <si>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</si>
  <si>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</si>
  <si>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</si>
  <si>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</si>
  <si>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</si>
  <si>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</si>
  <si>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</si>
  <si>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</si>
  <si>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</si>
  <si>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</si>
  <si>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</si>
  <si>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</si>
  <si>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</si>
  <si>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</si>
  <si>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</si>
  <si>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</si>
  <si>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</si>
  <si>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</si>
  <si>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</si>
  <si>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</si>
  <si>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</si>
  <si>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</si>
  <si>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</si>
  <si>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</si>
  <si>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</si>
  <si>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</si>
  <si>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</si>
  <si>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</si>
  <si>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</si>
  <si>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</si>
  <si>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</si>
  <si>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</si>
  <si>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</si>
  <si>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</si>
  <si>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</si>
  <si>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</si>
  <si>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</si>
  <si>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</si>
  <si>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</si>
  <si>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</si>
  <si>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</si>
  <si>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</si>
  <si>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</si>
  <si>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</si>
  <si>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</si>
  <si>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</si>
  <si>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</si>
  <si>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</si>
  <si>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</si>
  <si>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</si>
  <si>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</si>
  <si>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</si>
  <si>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</si>
  <si>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</si>
  <si>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</si>
  <si>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</si>
  <si>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</si>
  <si>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</si>
  <si>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</si>
  <si>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</si>
  <si>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</si>
  <si>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</si>
  <si>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</si>
  <si>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</si>
  <si>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</si>
  <si>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</si>
  <si>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</si>
  <si>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</si>
  <si>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</si>
  <si>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</si>
  <si>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</si>
  <si>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</si>
  <si>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</si>
  <si>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</si>
  <si>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</si>
  <si>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</si>
  <si>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</si>
  <si>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</si>
  <si>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</si>
  <si>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</si>
  <si>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</si>
  <si>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</si>
  <si>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</si>
  <si>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</si>
  <si>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</si>
  <si>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</si>
  <si>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</si>
  <si>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</si>
  <si>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</si>
  <si>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</si>
  <si>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</si>
  <si>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</si>
  <si>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</si>
  <si>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</si>
  <si>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</si>
  <si>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</si>
  <si>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</si>
  <si>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</si>
  <si>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</si>
  <si>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</si>
  <si>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</si>
  <si>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</si>
  <si>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</si>
  <si>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</si>
  <si>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</si>
  <si>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</si>
  <si>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</si>
  <si>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</si>
  <si>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</si>
  <si>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</si>
  <si>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</si>
  <si>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</si>
  <si>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</si>
  <si>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</si>
  <si>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</si>
  <si>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</si>
  <si>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</si>
  <si>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</si>
  <si>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</si>
  <si>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</si>
  <si>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</si>
  <si>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</si>
  <si>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</si>
  <si>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</si>
  <si>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</si>
  <si>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</si>
  <si>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</si>
  <si>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</si>
  <si>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</si>
  <si>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</si>
  <si>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</si>
  <si>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</si>
  <si>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</si>
  <si>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</si>
  <si>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</si>
  <si>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</si>
  <si>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</si>
  <si>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</si>
  <si>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</si>
  <si>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</si>
  <si>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</si>
  <si>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</si>
  <si>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</si>
  <si>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</si>
  <si>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</si>
  <si>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</si>
  <si>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</si>
  <si>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</si>
  <si>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</si>
  <si>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</si>
  <si>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</si>
  <si>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</si>
  <si>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</si>
  <si>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</si>
  <si>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</si>
  <si>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</si>
  <si>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</si>
  <si>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</si>
  <si>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</si>
  <si>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</si>
  <si>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</si>
  <si>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</si>
  <si>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</si>
  <si>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</si>
  <si>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</si>
  <si>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</si>
  <si>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</si>
  <si>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</si>
  <si>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</si>
  <si>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</si>
  <si>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M4科研用地</t>
  </si>
  <si>
    <t>自定义容积率</t>
  </si>
  <si>
    <t>不临65条商业街</t>
  </si>
  <si>
    <t>通路</t>
  </si>
  <si>
    <t>通电</t>
  </si>
  <si>
    <t>通讯</t>
  </si>
  <si>
    <t>通上水</t>
  </si>
  <si>
    <t>通下水</t>
  </si>
  <si>
    <t>平整</t>
  </si>
  <si>
    <t>与级别开发程度不一致</t>
  </si>
  <si>
    <t>好</t>
  </si>
  <si>
    <t>未包含在土地购买价格中</t>
  </si>
  <si>
    <t>已包含在土地取得成本中</t>
  </si>
  <si>
    <t>去年</t>
    <phoneticPr fontId="9" type="noConversion"/>
  </si>
  <si>
    <t>比较法-办公</t>
  </si>
  <si>
    <t>总价</t>
  </si>
  <si>
    <t>装修</t>
    <phoneticPr fontId="4" type="noConversion"/>
  </si>
  <si>
    <t>《租赁情况》</t>
    <phoneticPr fontId="135" type="noConversion"/>
  </si>
  <si>
    <t>状态</t>
    <phoneticPr fontId="135" type="noConversion"/>
  </si>
  <si>
    <t>客户名称</t>
  </si>
  <si>
    <t>开始日期</t>
    <phoneticPr fontId="135" type="noConversion"/>
  </si>
  <si>
    <t>结束日期</t>
    <phoneticPr fontId="135" type="noConversion"/>
  </si>
  <si>
    <t>项目位置</t>
  </si>
  <si>
    <t>面积</t>
  </si>
  <si>
    <t>签约价格</t>
  </si>
  <si>
    <t>签约价格单位</t>
    <phoneticPr fontId="135" type="noConversion"/>
  </si>
  <si>
    <t>合同金额</t>
  </si>
  <si>
    <t>执行</t>
  </si>
  <si>
    <t>兴业银行股份有限公司北京分行</t>
    <phoneticPr fontId="135" type="noConversion"/>
  </si>
  <si>
    <t>电子城·国际电子总部二期</t>
  </si>
  <si>
    <t>电子城国际电子总部二期-7号楼1层103单元部分</t>
    <phoneticPr fontId="135" type="noConversion"/>
  </si>
  <si>
    <t>月/平方米/元</t>
    <phoneticPr fontId="135" type="noConversion"/>
  </si>
  <si>
    <t>北京梦想蜂连锁商业有限公司</t>
    <phoneticPr fontId="135" type="noConversion"/>
  </si>
  <si>
    <t>电子城国际电子总部二期-7号楼1层103单元</t>
    <phoneticPr fontId="135" type="noConversion"/>
  </si>
  <si>
    <t>北京汇印至美广告传媒有限公司</t>
    <phoneticPr fontId="135" type="noConversion"/>
  </si>
  <si>
    <t>电子城国际电子总部二期-7号楼1层105单元</t>
    <phoneticPr fontId="135" type="noConversion"/>
  </si>
  <si>
    <t>月/平方米/元</t>
    <phoneticPr fontId="135" type="noConversion"/>
  </si>
  <si>
    <t>泰克科技（中国）有限公司北京分公司</t>
    <phoneticPr fontId="135" type="noConversion"/>
  </si>
  <si>
    <t>电子城国际电子总部二期-7号楼3层303单元</t>
  </si>
  <si>
    <t>泰克科技（中国）有限公司</t>
    <phoneticPr fontId="135" type="noConversion"/>
  </si>
  <si>
    <t>电子城国际电子总部二期-7号楼2层203单元</t>
  </si>
  <si>
    <t>北京福禄克世禄仪器维修和服务有限公司</t>
    <phoneticPr fontId="135" type="noConversion"/>
  </si>
  <si>
    <t>电子城国际电子总部二期-7号楼3层301单元</t>
  </si>
  <si>
    <t>普华永道中天会计师事务所（特殊普通合伙）北京分所</t>
    <phoneticPr fontId="135" type="noConversion"/>
  </si>
  <si>
    <t>电子城国际电子总部二期-7号楼8-10层</t>
  </si>
  <si>
    <t>招商银行股份有限公司北京分行</t>
    <phoneticPr fontId="135" type="noConversion"/>
  </si>
  <si>
    <t>电子城国际电子总部二期-7号楼1层101单元和102单元</t>
  </si>
  <si>
    <t>招商银行股份有限公司北京分行</t>
  </si>
  <si>
    <t>电子城国际电子总部二期-7号楼4层402单元</t>
  </si>
  <si>
    <t>福迪威医疗器械（上海）有限公司</t>
    <phoneticPr fontId="135" type="noConversion"/>
  </si>
  <si>
    <t>电子城国际电子总部二期-7号楼4层401单元</t>
  </si>
  <si>
    <t>月/平方米/元</t>
    <phoneticPr fontId="135" type="noConversion"/>
  </si>
  <si>
    <t>北京新蓝道尔辐射监测技术有限公司</t>
    <phoneticPr fontId="135" type="noConversion"/>
  </si>
  <si>
    <t>电子城国际电子总部二期-7号楼4层404单元</t>
  </si>
  <si>
    <t>梅特勒—托利多国际贸易（上海）有限公司北京分公司</t>
    <phoneticPr fontId="135" type="noConversion"/>
  </si>
  <si>
    <t>电子城国际电子总部二期-7号楼4层403单元</t>
  </si>
  <si>
    <t>深圳市博商管理科学研究院股份有限公司</t>
    <phoneticPr fontId="135" type="noConversion"/>
  </si>
  <si>
    <t>电子城国际电子总部二期-7号楼11层</t>
    <phoneticPr fontId="135" type="noConversion"/>
  </si>
  <si>
    <t>电子城华平东久（宁波）投资管理有限公司</t>
    <phoneticPr fontId="135" type="noConversion"/>
  </si>
  <si>
    <t>电子城·国际电子总部二期</t>
    <phoneticPr fontId="135" type="noConversion"/>
  </si>
  <si>
    <t>电子城国际电子总部二期-7号楼2层201单元</t>
    <phoneticPr fontId="135" type="noConversion"/>
  </si>
  <si>
    <t>中国联合重型燃气轮机技术有限公司</t>
    <phoneticPr fontId="135" type="noConversion"/>
  </si>
  <si>
    <t>电子城国际电子总部二期-4号楼1-15层</t>
  </si>
  <si>
    <t>天/平方米/元</t>
    <phoneticPr fontId="135" type="noConversion"/>
  </si>
  <si>
    <t>现房</t>
  </si>
  <si>
    <t>项目局部</t>
  </si>
  <si>
    <t>五通</t>
  </si>
  <si>
    <t>公共服务</t>
  </si>
  <si>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</si>
  <si>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</si>
  <si>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</si>
  <si>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</si>
  <si>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</si>
  <si>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</si>
  <si>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</si>
  <si>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</si>
  <si>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</si>
  <si>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</si>
  <si>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</si>
  <si>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</si>
  <si>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</si>
  <si>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</si>
  <si>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</si>
  <si>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</si>
  <si>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总价</t>
    <phoneticPr fontId="135" type="noConversion"/>
  </si>
  <si>
    <t>美团</t>
  </si>
  <si>
    <t>北京三快在线科技有限公司</t>
    <phoneticPr fontId="135" type="noConversion"/>
  </si>
  <si>
    <t>北京市朝阳区望京东路4号院B、C座，除B座6层和C座下沉广场上方1层的1500平方米</t>
  </si>
  <si>
    <t>2015/3/1-2025/2/28</t>
    <phoneticPr fontId="135" type="noConversion"/>
  </si>
  <si>
    <t>租期前三年租金涨幅不变，之后租金按照每两年涨幅10%，在原基础上每两年涨幅10%</t>
  </si>
  <si>
    <t>北京三快在线科技有限公司</t>
  </si>
  <si>
    <t>北京市朝阳区望京东路4号院B座6层</t>
  </si>
  <si>
    <t>2020/5/6-2025/2/28</t>
  </si>
  <si>
    <t>租金按照每两年涨幅10%，在原基础上每两年涨幅10%</t>
  </si>
  <si>
    <t>2019/12/1-2022/11/30</t>
  </si>
  <si>
    <t>2022/12/1-2025/2/28</t>
  </si>
  <si>
    <t>映月湾</t>
  </si>
  <si>
    <t>北京映月湾商贸有限公司</t>
    <phoneticPr fontId="135" type="noConversion"/>
  </si>
  <si>
    <t>北京市朝阳区望京东路4号院C座一层</t>
  </si>
  <si>
    <t>2022/3/15-2032/3/14</t>
  </si>
  <si>
    <t>租金按照每三年涨幅5%</t>
  </si>
  <si>
    <t>租金</t>
    <phoneticPr fontId="135" type="noConversion"/>
  </si>
  <si>
    <t>锐创国际</t>
    <phoneticPr fontId="135" type="noConversion"/>
  </si>
  <si>
    <t>望京科创大厦</t>
    <phoneticPr fontId="135" type="noConversion"/>
  </si>
  <si>
    <t>中轻大厦</t>
    <phoneticPr fontId="135" type="noConversion"/>
  </si>
  <si>
    <t>金辉大厦</t>
    <phoneticPr fontId="135" type="noConversion"/>
  </si>
  <si>
    <t>8.8-12</t>
    <phoneticPr fontId="135" type="noConversion"/>
  </si>
  <si>
    <t>中航产融大厦</t>
    <phoneticPr fontId="135" type="noConversion"/>
  </si>
  <si>
    <t>6.5-8.5</t>
    <phoneticPr fontId="135" type="noConversion"/>
  </si>
  <si>
    <t>君康人寿大厦</t>
    <phoneticPr fontId="135" type="noConversion"/>
  </si>
  <si>
    <t>11-12.5</t>
    <phoneticPr fontId="135" type="noConversion"/>
  </si>
  <si>
    <t>绿地中心</t>
    <phoneticPr fontId="135" type="noConversion"/>
  </si>
  <si>
    <t>7-8.5</t>
    <phoneticPr fontId="135" type="noConversion"/>
  </si>
  <si>
    <t>博泰嘉华大厦</t>
    <phoneticPr fontId="135" type="noConversion"/>
  </si>
  <si>
    <t>启明国际大厦</t>
    <phoneticPr fontId="135" type="noConversion"/>
  </si>
  <si>
    <t>众运大厦</t>
    <phoneticPr fontId="135" type="noConversion"/>
  </si>
  <si>
    <t>洛娃大厦</t>
    <phoneticPr fontId="135" type="noConversion"/>
  </si>
  <si>
    <t>5.5-6</t>
    <phoneticPr fontId="135" type="noConversion"/>
  </si>
  <si>
    <t>中辰大厦</t>
    <phoneticPr fontId="135" type="noConversion"/>
  </si>
  <si>
    <t>博雅国际</t>
    <phoneticPr fontId="135" type="noConversion"/>
  </si>
  <si>
    <t>叶青大厦</t>
    <phoneticPr fontId="135" type="noConversion"/>
  </si>
  <si>
    <t>华彩大厦</t>
    <phoneticPr fontId="135" type="noConversion"/>
  </si>
  <si>
    <t>6.5-7</t>
    <phoneticPr fontId="135" type="noConversion"/>
  </si>
  <si>
    <t>东湖国际中心</t>
    <phoneticPr fontId="135" type="noConversion"/>
  </si>
  <si>
    <t>朝来高科技产业园</t>
    <phoneticPr fontId="135" type="noConversion"/>
  </si>
  <si>
    <t>4.5-6</t>
    <phoneticPr fontId="135" type="noConversion"/>
  </si>
  <si>
    <t>融新科技中心</t>
    <phoneticPr fontId="135" type="noConversion"/>
  </si>
  <si>
    <t>11.5-12.5</t>
    <phoneticPr fontId="135" type="noConversion"/>
  </si>
  <si>
    <t>融创动力产业园</t>
    <phoneticPr fontId="135" type="noConversion"/>
  </si>
  <si>
    <t>诚盈中心</t>
    <phoneticPr fontId="135" type="noConversion"/>
  </si>
  <si>
    <t>6-8.5</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</si>
</sst>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 "/>
  </numFmts>
  <fonts count="28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0"/>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60"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4"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5" fillId="0" borderId="0"/>
    <xf numFmtId="0" fontId="96" fillId="0" borderId="0">
      <alignment vertical="center"/>
    </xf>
    <xf numFmtId="0" fontId="1" fillId="0" borderId="0">
      <alignment vertical="center"/>
    </xf>
    <xf numFmtId="191" fontId="20" fillId="0" borderId="0"/>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60"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9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08" fillId="0" borderId="0" xfId="10" applyFont="1" applyAlignment="1">
      <alignment horizontal="left" vertical="center" wrapText="1"/>
    </xf>
    <xf numFmtId="0" fontId="108" fillId="0" borderId="0" xfId="10" applyFont="1" applyAlignment="1">
      <alignment vertical="center" wrapText="1"/>
    </xf>
    <xf numFmtId="0" fontId="272" fillId="0" borderId="0" xfId="10" applyFont="1" applyAlignment="1">
      <alignment horizontal="left" vertical="center" wrapText="1"/>
    </xf>
    <xf numFmtId="0" fontId="272" fillId="0" borderId="0" xfId="10" applyFont="1" applyAlignment="1">
      <alignment vertical="center" wrapText="1"/>
    </xf>
    <xf numFmtId="9" fontId="108" fillId="0" borderId="0" xfId="19" applyFont="1" applyAlignment="1">
      <alignment vertical="center" wrapText="1"/>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6"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7" fillId="24" borderId="176" xfId="38" applyFont="1" applyFill="1" applyBorder="1" applyAlignment="1">
      <alignment vertical="center"/>
    </xf>
    <xf numFmtId="31" fontId="277" fillId="24" borderId="176" xfId="38" applyNumberFormat="1" applyFont="1" applyFill="1" applyBorder="1" applyAlignment="1">
      <alignment vertical="center"/>
    </xf>
    <xf numFmtId="9" fontId="277"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1" fillId="5" borderId="176" xfId="38" applyFont="1" applyFill="1" applyBorder="1" applyAlignment="1">
      <alignment vertical="center"/>
    </xf>
    <xf numFmtId="0" fontId="277" fillId="9" borderId="176" xfId="38" applyFont="1" applyFill="1" applyBorder="1" applyAlignment="1">
      <alignment vertical="center"/>
    </xf>
    <xf numFmtId="31" fontId="277"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1"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9"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81" fontId="45" fillId="9" borderId="1" xfId="0" applyNumberFormat="1" applyFont="1" applyFill="1" applyBorder="1" applyAlignment="1" applyProtection="1">
      <alignment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60" fillId="0" borderId="0" xfId="12" applyFill="1"/>
    <xf numFmtId="0" fontId="280" fillId="0" borderId="13" xfId="12" applyFont="1" applyFill="1" applyBorder="1" applyAlignment="1">
      <alignment horizontal="center" vertical="center" wrapText="1"/>
    </xf>
    <xf numFmtId="196" fontId="280" fillId="0" borderId="13" xfId="12" applyNumberFormat="1" applyFont="1" applyFill="1" applyBorder="1" applyAlignment="1">
      <alignment horizontal="center" vertical="center" wrapText="1"/>
    </xf>
    <xf numFmtId="43" fontId="280" fillId="0" borderId="13" xfId="49" applyFont="1" applyFill="1" applyBorder="1" applyAlignment="1">
      <alignment horizontal="center" vertical="center" wrapText="1"/>
    </xf>
    <xf numFmtId="0" fontId="281" fillId="0" borderId="1" xfId="40" applyNumberFormat="1" applyFont="1" applyFill="1" applyBorder="1" applyAlignment="1">
      <alignment horizontal="center" vertical="center" wrapText="1"/>
    </xf>
    <xf numFmtId="0" fontId="281" fillId="0" borderId="1" xfId="40" applyNumberFormat="1" applyFont="1" applyFill="1" applyBorder="1" applyAlignment="1">
      <alignment horizontal="left" vertical="center" wrapText="1"/>
    </xf>
    <xf numFmtId="196" fontId="282" fillId="0" borderId="1" xfId="49" applyNumberFormat="1" applyFont="1" applyFill="1" applyBorder="1" applyAlignment="1">
      <alignment horizontal="center" vertical="center"/>
    </xf>
    <xf numFmtId="43" fontId="283" fillId="0" borderId="1" xfId="49" applyFont="1" applyFill="1" applyBorder="1" applyAlignment="1" applyProtection="1">
      <alignment horizontal="center" vertical="center" wrapText="1"/>
    </xf>
    <xf numFmtId="43" fontId="282" fillId="0" borderId="1" xfId="49" applyFont="1" applyFill="1" applyBorder="1" applyAlignment="1">
      <alignment horizontal="center" vertical="center" wrapText="1"/>
    </xf>
    <xf numFmtId="43" fontId="282" fillId="0" borderId="1" xfId="49" applyFont="1" applyFill="1" applyBorder="1" applyAlignment="1" applyProtection="1">
      <alignment horizontal="center" vertical="center" wrapText="1"/>
    </xf>
    <xf numFmtId="0" fontId="160" fillId="9" borderId="0" xfId="12" applyFill="1"/>
    <xf numFmtId="0" fontId="281" fillId="0" borderId="9" xfId="40" applyNumberFormat="1" applyFont="1" applyFill="1" applyBorder="1" applyAlignment="1">
      <alignment horizontal="center" vertical="center" wrapText="1"/>
    </xf>
    <xf numFmtId="0" fontId="281" fillId="0" borderId="9" xfId="40" applyNumberFormat="1" applyFont="1" applyFill="1" applyBorder="1" applyAlignment="1">
      <alignment horizontal="left" vertical="center" wrapText="1"/>
    </xf>
    <xf numFmtId="196" fontId="282" fillId="0" borderId="9" xfId="49" applyNumberFormat="1" applyFont="1" applyFill="1" applyBorder="1" applyAlignment="1">
      <alignment horizontal="center" vertical="center"/>
    </xf>
    <xf numFmtId="43" fontId="283" fillId="0" borderId="9" xfId="49" applyFont="1" applyFill="1" applyBorder="1" applyAlignment="1" applyProtection="1">
      <alignment horizontal="center" vertical="center" wrapText="1"/>
    </xf>
    <xf numFmtId="43" fontId="282" fillId="0" borderId="9" xfId="49" applyFont="1" applyFill="1" applyBorder="1" applyAlignment="1" applyProtection="1">
      <alignment horizontal="center" vertical="center" wrapText="1"/>
    </xf>
    <xf numFmtId="0" fontId="281" fillId="0" borderId="32" xfId="40" applyNumberFormat="1" applyFont="1" applyFill="1" applyBorder="1" applyAlignment="1">
      <alignment horizontal="center" vertical="center" wrapText="1"/>
    </xf>
    <xf numFmtId="0" fontId="281" fillId="0" borderId="32" xfId="40" applyNumberFormat="1" applyFont="1" applyFill="1" applyBorder="1" applyAlignment="1">
      <alignment horizontal="left" vertical="center" wrapText="1"/>
    </xf>
    <xf numFmtId="196" fontId="282" fillId="0" borderId="32" xfId="49" applyNumberFormat="1" applyFont="1" applyFill="1" applyBorder="1" applyAlignment="1">
      <alignment horizontal="center" vertical="center"/>
    </xf>
    <xf numFmtId="43" fontId="283" fillId="0" borderId="32" xfId="49" applyFont="1" applyFill="1" applyBorder="1" applyAlignment="1" applyProtection="1">
      <alignment horizontal="center" vertical="center" wrapText="1"/>
    </xf>
    <xf numFmtId="43" fontId="282" fillId="0" borderId="32" xfId="49" applyFont="1" applyFill="1" applyBorder="1" applyAlignment="1" applyProtection="1">
      <alignment horizontal="center" vertical="center" wrapText="1"/>
    </xf>
    <xf numFmtId="0" fontId="283" fillId="0" borderId="1" xfId="12" applyFont="1" applyFill="1" applyBorder="1" applyAlignment="1">
      <alignment horizontal="left" vertical="center"/>
    </xf>
    <xf numFmtId="0" fontId="281" fillId="0" borderId="2" xfId="40" applyNumberFormat="1" applyFont="1" applyFill="1" applyBorder="1" applyAlignment="1">
      <alignment horizontal="center" vertical="center" wrapText="1"/>
    </xf>
    <xf numFmtId="196" fontId="282" fillId="0" borderId="2" xfId="49" applyNumberFormat="1" applyFont="1" applyFill="1" applyBorder="1" applyAlignment="1">
      <alignment horizontal="center" vertical="center"/>
    </xf>
    <xf numFmtId="43" fontId="282" fillId="0" borderId="2" xfId="49" applyFont="1" applyFill="1" applyBorder="1" applyAlignment="1" applyProtection="1">
      <alignment horizontal="center" vertical="center" wrapText="1"/>
    </xf>
    <xf numFmtId="43" fontId="160" fillId="0" borderId="0" xfId="12" applyNumberFormat="1"/>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108" fillId="0" borderId="0" xfId="10" applyFont="1" applyAlignment="1">
      <alignment horizontal="left"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78" fillId="0" borderId="0" xfId="12" applyFont="1" applyFill="1" applyAlignment="1">
      <alignment horizontal="center"/>
    </xf>
    <xf numFmtId="0" fontId="279" fillId="0" borderId="0" xfId="12" applyFont="1" applyFill="1" applyAlignment="1">
      <alignment horizont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81" fontId="45" fillId="26" borderId="1" xfId="0" applyNumberFormat="1" applyFont="1" applyFill="1" applyBorder="1" applyAlignment="1" applyProtection="1">
      <alignment vertical="center"/>
      <protection locked="0"/>
    </xf>
    <xf numFmtId="179" fontId="45" fillId="26" borderId="23" xfId="0" applyNumberFormat="1" applyFont="1" applyFill="1" applyBorder="1" applyAlignment="1" applyProtection="1">
      <alignment horizontal="center" vertical="center"/>
      <protection locked="0"/>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0" fontId="20" fillId="0" borderId="13" xfId="0" applyFont="1" applyBorder="1" applyAlignment="1">
      <alignment horizontal="left" vertical="center" wrapText="1"/>
    </xf>
    <xf numFmtId="0" fontId="20" fillId="0" borderId="4" xfId="0" applyFont="1" applyBorder="1" applyAlignment="1">
      <alignment horizontal="left" vertical="center" wrapText="1"/>
    </xf>
    <xf numFmtId="0" fontId="20" fillId="0" borderId="7" xfId="0" applyFont="1" applyBorder="1" applyAlignment="1">
      <alignment horizontal="left" vertical="center" wrapText="1"/>
    </xf>
    <xf numFmtId="0" fontId="20" fillId="0" borderId="1" xfId="0" applyFont="1" applyBorder="1" applyAlignment="1">
      <alignment horizontal="left" vertical="center" wrapText="1"/>
    </xf>
    <xf numFmtId="197" fontId="20" fillId="0" borderId="5" xfId="0" applyNumberFormat="1" applyFont="1" applyBorder="1" applyAlignment="1">
      <alignment horizontal="left" vertical="center" wrapText="1"/>
    </xf>
    <xf numFmtId="197" fontId="20" fillId="0" borderId="3" xfId="0" applyNumberFormat="1" applyFont="1" applyBorder="1" applyAlignment="1">
      <alignment horizontal="left" vertical="center" wrapText="1"/>
    </xf>
    <xf numFmtId="0" fontId="108" fillId="0" borderId="0" xfId="0" applyFont="1">
      <alignment vertical="center"/>
    </xf>
    <xf numFmtId="0" fontId="20" fillId="0" borderId="2" xfId="0" applyFont="1" applyBorder="1" applyAlignment="1">
      <alignment horizontal="left" vertical="center" wrapText="1"/>
    </xf>
    <xf numFmtId="197" fontId="20" fillId="0" borderId="1" xfId="0" applyNumberFormat="1" applyFont="1" applyBorder="1" applyAlignment="1">
      <alignment horizontal="left" vertical="center" wrapText="1"/>
    </xf>
    <xf numFmtId="0" fontId="108" fillId="0" borderId="0" xfId="0" applyFont="1" applyAlignment="1">
      <alignment horizontal="left" vertical="center"/>
    </xf>
    <xf numFmtId="0" fontId="20" fillId="0" borderId="1" xfId="0" applyFont="1" applyBorder="1" applyAlignment="1">
      <alignment horizontal="left" vertical="center"/>
    </xf>
    <xf numFmtId="197" fontId="20" fillId="0" borderId="1" xfId="0" applyNumberFormat="1" applyFont="1" applyBorder="1" applyAlignment="1">
      <alignment horizontal="left" vertical="center"/>
    </xf>
    <xf numFmtId="197" fontId="20" fillId="5" borderId="1" xfId="0" applyNumberFormat="1" applyFont="1" applyFill="1" applyBorder="1" applyAlignment="1">
      <alignment horizontal="left" vertical="center"/>
    </xf>
    <xf numFmtId="197" fontId="108" fillId="0" borderId="0" xfId="0" applyNumberFormat="1" applyFont="1" applyAlignment="1">
      <alignment horizontal="left" vertical="center"/>
    </xf>
    <xf numFmtId="197" fontId="108" fillId="0" borderId="0" xfId="0" applyNumberFormat="1" applyFont="1">
      <alignment vertical="center"/>
    </xf>
    <xf numFmtId="0" fontId="108" fillId="26" borderId="0" xfId="0" applyFont="1" applyFill="1" applyAlignment="1">
      <alignment horizontal="left" vertical="center"/>
    </xf>
  </cellXfs>
  <cellStyles count="53">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6</xdr:col>
      <xdr:colOff>1112205</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9</xdr:col>
      <xdr:colOff>542684</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北京市朝阳区望京东路4号院1号楼房地产抵押价值预评估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受贵公司委托，我公司对北京市朝阳区望京东路4号院1号楼房地产抵押价值进行了预评估。</v>
      </c>
    </row>
    <row r="7" spans="1:2" s="1203" customFormat="1">
      <c r="A7" s="1201" t="s">
        <v>566</v>
      </c>
      <c r="B7" s="1202" t="str">
        <f>'预评函-1'!A7</f>
        <v>估价对象为北京市朝阳区望京东路4号院1号楼房地产，为所有。根据《国有土地使用证》[]，估价对象（分摊）出让国有建设用地使用权面积为0平方米，建筑面积为55858.87平方米。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东路4号院1号楼房地产,属开发建设的，该项目尚在开发建设中。根据《国有土地使用证》[]，估价对象（分摊）出让国有建设用地使用权面积为0平方米，规划建筑面积为55858.87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180489</v>
      </c>
    </row>
    <row r="21" spans="1:2" s="1203" customFormat="1">
      <c r="A21" s="1201" t="s">
        <v>537</v>
      </c>
      <c r="B21" s="1202">
        <f ca="1">'预评函-2'!D7</f>
        <v>32312</v>
      </c>
    </row>
    <row r="22" spans="1:2" s="1203" customFormat="1">
      <c r="A22" s="1201" t="s">
        <v>538</v>
      </c>
      <c r="B22" s="1202" t="str">
        <f ca="1">'预评函-2'!D6</f>
        <v>壹拾捌亿零肆佰捌拾玖万元整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180489</v>
      </c>
    </row>
    <row r="31" spans="1:2" s="1203" customFormat="1">
      <c r="A31" s="1201" t="s">
        <v>576</v>
      </c>
      <c r="B31" s="1202">
        <f ca="1">'预评函-2'!D15</f>
        <v>32312</v>
      </c>
    </row>
    <row r="32" spans="1:2" s="1203" customFormat="1">
      <c r="A32" s="1201" t="s">
        <v>543</v>
      </c>
      <c r="B32" s="1202" t="str">
        <f ca="1">'预评函-2'!D14</f>
        <v>壹拾捌亿零肆佰捌拾玖万元整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北京市朝阳区望京东路4号院1号楼房地产</v>
      </c>
    </row>
    <row r="42" spans="1:2" s="1203" customFormat="1">
      <c r="A42" s="1201" t="s">
        <v>590</v>
      </c>
      <c r="B42" s="1202" t="str">
        <f>'预评函-3'!B2</f>
        <v>建筑面积</v>
      </c>
    </row>
    <row r="43" spans="1:2" s="1203" customFormat="1">
      <c r="A43" s="1201" t="s">
        <v>591</v>
      </c>
      <c r="B43" s="1202">
        <f>'预评函-3'!B4</f>
        <v>55858.869999999981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2287</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4" t="s">
        <v>385</v>
      </c>
      <c r="C54" s="1551" t="s">
        <v>583</v>
      </c>
    </row>
    <row r="55" spans="1:4">
      <c r="A55" s="3600"/>
      <c r="B55" s="1554" t="s">
        <v>386</v>
      </c>
      <c r="C55" s="1551" t="s">
        <v>584</v>
      </c>
    </row>
    <row r="56" spans="1:4">
      <c r="A56" s="3600"/>
      <c r="B56" s="1554" t="s">
        <v>387</v>
      </c>
      <c r="C56" s="1551" t="s">
        <v>588</v>
      </c>
    </row>
    <row r="57" spans="1:4">
      <c r="A57" s="36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2496</v>
      </c>
      <c r="B1" s="3012"/>
      <c r="C1" s="3012"/>
      <c r="D1" s="3012"/>
      <c r="E1" s="3012"/>
      <c r="F1" s="3013"/>
      <c r="I1" s="3435" t="s">
        <v>2589</v>
      </c>
      <c r="J1" s="3224"/>
      <c r="K1" s="3224"/>
      <c r="L1" s="3224"/>
      <c r="M1" s="3224"/>
      <c r="N1" s="3436"/>
      <c r="O1" s="3436"/>
      <c r="P1" s="3436"/>
      <c r="Q1" s="3436"/>
      <c r="R1" s="3436"/>
    </row>
    <row r="2" spans="1:18">
      <c r="A2" s="3015"/>
      <c r="B2" s="3016"/>
      <c r="C2" s="3016"/>
      <c r="D2" s="3016"/>
      <c r="E2" s="3016"/>
      <c r="F2" s="3017"/>
      <c r="I2" s="3601" t="s">
        <v>2576</v>
      </c>
      <c r="J2" s="3601"/>
      <c r="K2" s="3601"/>
      <c r="L2" s="3601"/>
      <c r="M2" s="3601"/>
      <c r="N2" s="3601"/>
      <c r="O2" s="3601"/>
      <c r="P2" s="3601"/>
      <c r="Q2" s="3601"/>
      <c r="R2" s="3601"/>
    </row>
    <row r="3" spans="1:18">
      <c r="A3" s="3018" t="s">
        <v>2497</v>
      </c>
      <c r="B3" s="3019">
        <f>项目基本情况!D3</f>
        <v>45587</v>
      </c>
      <c r="C3" s="3021"/>
      <c r="D3" s="3021"/>
      <c r="E3" s="3021"/>
      <c r="F3" s="3017"/>
      <c r="I3" s="3437"/>
      <c r="J3" s="3437" t="s">
        <v>2580</v>
      </c>
      <c r="K3" s="3437" t="s">
        <v>2581</v>
      </c>
      <c r="L3" s="3437" t="s">
        <v>2582</v>
      </c>
      <c r="M3" s="3437" t="s">
        <v>2583</v>
      </c>
      <c r="N3" s="3438" t="s">
        <v>2584</v>
      </c>
      <c r="O3" s="3438" t="s">
        <v>2585</v>
      </c>
      <c r="P3" s="3438" t="s">
        <v>2586</v>
      </c>
      <c r="Q3" s="3438" t="s">
        <v>2587</v>
      </c>
      <c r="R3" s="3438" t="s">
        <v>2588</v>
      </c>
    </row>
    <row r="4" spans="1:18">
      <c r="A4" s="3018" t="s">
        <v>2498</v>
      </c>
      <c r="B4" s="3021" t="s">
        <v>2499</v>
      </c>
      <c r="C4" s="3021" t="s">
        <v>2500</v>
      </c>
      <c r="D4" s="3021" t="s">
        <v>2501</v>
      </c>
      <c r="E4" s="3021" t="s">
        <v>2502</v>
      </c>
      <c r="F4" s="3017"/>
      <c r="I4" s="3437" t="s">
        <v>2577</v>
      </c>
      <c r="J4" s="3437">
        <v>80</v>
      </c>
      <c r="K4" s="3437">
        <v>70</v>
      </c>
      <c r="L4" s="3437">
        <v>20</v>
      </c>
      <c r="M4" s="3437">
        <v>30</v>
      </c>
      <c r="N4" s="3021">
        <v>45</v>
      </c>
      <c r="O4" s="3021">
        <v>60</v>
      </c>
      <c r="P4" s="3021">
        <v>50</v>
      </c>
      <c r="Q4" s="3021">
        <v>20</v>
      </c>
      <c r="R4" s="3021">
        <v>375</v>
      </c>
    </row>
    <row r="5" spans="1:18">
      <c r="A5" s="3022">
        <v>40</v>
      </c>
      <c r="B5" s="3019">
        <v>46375</v>
      </c>
      <c r="C5" s="3021">
        <f>ROUNDDOWN(MIN((B5-B3)/365,A5),2)</f>
        <v>2.15</v>
      </c>
      <c r="D5" s="3023">
        <f>IF(ISERROR(ROUND(POWER(1+E5,A5-C5)*(POWER(1+E5,C5)-1)/(POWER(1+E5,A5)-1),3)),0,ROUND(POWER(1+E5,A5-C5)*(POWER(1+E5,C5)-1)/(POWER(1+E5,A5)-1),4))</f>
        <v>0.1021</v>
      </c>
      <c r="E5" s="3024">
        <v>0.04</v>
      </c>
      <c r="F5" s="3017"/>
      <c r="I5" s="3437" t="s">
        <v>2578</v>
      </c>
      <c r="J5" s="3437">
        <v>70</v>
      </c>
      <c r="K5" s="3437">
        <v>60</v>
      </c>
      <c r="L5" s="3437">
        <v>15</v>
      </c>
      <c r="M5" s="3437">
        <v>25</v>
      </c>
      <c r="N5" s="3021">
        <v>40</v>
      </c>
      <c r="O5" s="3021">
        <v>50</v>
      </c>
      <c r="P5" s="3021">
        <v>40</v>
      </c>
      <c r="Q5" s="3021">
        <v>15</v>
      </c>
      <c r="R5" s="3021">
        <v>315</v>
      </c>
    </row>
    <row r="6" spans="1:18">
      <c r="A6" s="3022">
        <v>50</v>
      </c>
      <c r="B6" s="3019">
        <v>50028</v>
      </c>
      <c r="C6" s="3021">
        <f>ROUNDDOWN(MIN((B6-B3)/365,A6),2)</f>
        <v>12.16</v>
      </c>
      <c r="D6" s="3023">
        <f>IF(ISERROR(ROUND(POWER(1+E6,A6-C6)*(POWER(1+E6,C6)-1)/(POWER(1+E6,A6)-1),3)),0,ROUND(POWER(1+E6,A6-C6)*(POWER(1+E6,C6)-1)/(POWER(1+E6,A6)-1),4))</f>
        <v>0.44140000000000001</v>
      </c>
      <c r="E6" s="3024">
        <v>0.04</v>
      </c>
      <c r="F6" s="3017"/>
      <c r="I6" s="3437" t="s">
        <v>2579</v>
      </c>
      <c r="J6" s="3437">
        <v>60</v>
      </c>
      <c r="K6" s="3437">
        <v>50</v>
      </c>
      <c r="L6" s="3437">
        <v>10</v>
      </c>
      <c r="M6" s="3437">
        <v>20</v>
      </c>
      <c r="N6" s="3021">
        <v>35</v>
      </c>
      <c r="O6" s="3021">
        <v>40</v>
      </c>
      <c r="P6" s="3021">
        <v>30</v>
      </c>
      <c r="Q6" s="3021">
        <v>10</v>
      </c>
      <c r="R6" s="3021">
        <v>255</v>
      </c>
    </row>
    <row r="7" spans="1:18">
      <c r="A7" s="3022">
        <v>70</v>
      </c>
      <c r="B7" s="3019">
        <v>57333</v>
      </c>
      <c r="C7" s="3021">
        <f>ROUNDDOWN(MIN((B7-B3)/365,A7),2)</f>
        <v>32.18</v>
      </c>
      <c r="D7" s="3023">
        <f>IF(ISERROR(ROUND(POWER(1+E7,A7-C7)*(POWER(1+E7,C7)-1)/(POWER(1+E7,A7)-1),3)),0,ROUND(POWER(1+E7,A7-C7)*(POWER(1+E7,C7)-1)/(POWER(1+E7,A7)-1),4))</f>
        <v>0.7661</v>
      </c>
      <c r="E7" s="3024">
        <v>0.04</v>
      </c>
      <c r="F7" s="3017"/>
    </row>
    <row r="8" spans="1:18">
      <c r="A8" s="3015"/>
      <c r="B8" s="3016"/>
      <c r="C8" s="3016"/>
      <c r="D8" s="3016"/>
      <c r="E8" s="3016"/>
      <c r="F8" s="3017"/>
    </row>
    <row r="9" spans="1:18">
      <c r="A9" s="3018" t="s">
        <v>2503</v>
      </c>
      <c r="B9" s="3021"/>
      <c r="C9" s="3021"/>
      <c r="D9" s="3021"/>
      <c r="E9" s="3021"/>
      <c r="F9" s="3025"/>
    </row>
    <row r="10" spans="1:18">
      <c r="A10" s="3018" t="s">
        <v>2504</v>
      </c>
      <c r="B10" s="3021"/>
      <c r="C10" s="3021"/>
      <c r="D10" s="3021" t="s">
        <v>2502</v>
      </c>
      <c r="E10" s="3021"/>
      <c r="F10" s="3025" t="s">
        <v>2501</v>
      </c>
    </row>
    <row r="11" spans="1:18">
      <c r="A11" s="3018" t="s">
        <v>2505</v>
      </c>
      <c r="B11" s="3026">
        <v>70</v>
      </c>
      <c r="C11" s="3021" t="s">
        <v>2506</v>
      </c>
      <c r="D11" s="3027">
        <v>4.4999999999999998E-2</v>
      </c>
      <c r="E11" s="3021" t="s">
        <v>2507</v>
      </c>
      <c r="F11" s="3028">
        <f>ROUND(1-(1/(POWER(1+D11,B11))),4)</f>
        <v>0.95409999999999995</v>
      </c>
    </row>
    <row r="12" spans="1:18">
      <c r="A12" s="3018" t="s">
        <v>2508</v>
      </c>
      <c r="B12" s="3026">
        <v>40</v>
      </c>
      <c r="C12" s="3021" t="s">
        <v>2509</v>
      </c>
      <c r="D12" s="3027">
        <v>4.4999999999999998E-2</v>
      </c>
      <c r="E12" s="3021" t="s">
        <v>2510</v>
      </c>
      <c r="F12" s="3028">
        <f>ROUND(1-(1/(POWER(1+D12,B12))),4)</f>
        <v>0.82809999999999995</v>
      </c>
    </row>
    <row r="13" spans="1:18">
      <c r="A13" s="3018" t="s">
        <v>2511</v>
      </c>
      <c r="B13" s="3021"/>
      <c r="C13" s="3021"/>
      <c r="D13" s="3016"/>
      <c r="E13" s="3016"/>
      <c r="F13" s="3017"/>
    </row>
    <row r="14" spans="1:18">
      <c r="A14" s="3018" t="s">
        <v>2512</v>
      </c>
      <c r="B14" s="3026">
        <v>5000</v>
      </c>
      <c r="C14" s="3020"/>
      <c r="D14" s="3016"/>
      <c r="E14" s="3016"/>
      <c r="F14" s="3017"/>
    </row>
    <row r="15" spans="1:18">
      <c r="A15" s="3018" t="s">
        <v>2513</v>
      </c>
      <c r="B15" s="3021">
        <f>ROUND(B14*F12/F11,2)</f>
        <v>4339.6899999999996</v>
      </c>
      <c r="C15" s="3021">
        <f>ROUND(F12/F11,4)</f>
        <v>0.8679</v>
      </c>
      <c r="D15" s="3016"/>
      <c r="E15" s="3016"/>
      <c r="F15" s="3017"/>
    </row>
    <row r="16" spans="1:18">
      <c r="A16" s="3018" t="s">
        <v>2514</v>
      </c>
      <c r="B16" s="3021"/>
      <c r="C16" s="3021"/>
      <c r="D16" s="3016"/>
      <c r="E16" s="3016"/>
      <c r="F16" s="3017"/>
    </row>
    <row r="17" spans="1:13">
      <c r="A17" s="3018" t="s">
        <v>2513</v>
      </c>
      <c r="B17" s="3027">
        <v>4810</v>
      </c>
      <c r="C17" s="3020"/>
      <c r="D17" s="3016"/>
      <c r="E17" s="3016"/>
      <c r="F17" s="3017"/>
    </row>
    <row r="18" spans="1:13" ht="14.25" thickBot="1">
      <c r="A18" s="3029" t="s">
        <v>2512</v>
      </c>
      <c r="B18" s="3030">
        <f>ROUND(B17*F11/F12,2)</f>
        <v>5541.87</v>
      </c>
      <c r="C18" s="3030">
        <f>ROUND(F11/F12,4)</f>
        <v>1.1521999999999999</v>
      </c>
      <c r="D18" s="3031"/>
      <c r="E18" s="3031"/>
      <c r="F18" s="3032"/>
    </row>
    <row r="19" spans="1:13" ht="14.25" thickBot="1"/>
    <row r="20" spans="1:13" s="3067" customFormat="1" ht="14.25" thickTop="1">
      <c r="A20" s="3064" t="s">
        <v>2515</v>
      </c>
      <c r="B20" s="3065"/>
      <c r="C20" s="3065"/>
      <c r="D20" s="3065"/>
      <c r="E20" s="3065"/>
      <c r="F20" s="3065"/>
      <c r="G20" s="3066"/>
      <c r="I20" s="3068" t="s">
        <v>2560</v>
      </c>
      <c r="J20" s="3068" t="s">
        <v>2565</v>
      </c>
      <c r="K20" s="3068"/>
      <c r="L20" s="3068"/>
      <c r="M20" s="3068"/>
    </row>
    <row r="21" spans="1:13">
      <c r="A21" s="3033"/>
      <c r="B21" s="3034" t="s">
        <v>2516</v>
      </c>
      <c r="C21" s="3034" t="s">
        <v>2517</v>
      </c>
      <c r="D21" s="3034" t="s">
        <v>2518</v>
      </c>
      <c r="E21" s="3034" t="s">
        <v>2519</v>
      </c>
      <c r="F21" s="3034" t="s">
        <v>2520</v>
      </c>
      <c r="G21" s="3035" t="s">
        <v>2521</v>
      </c>
      <c r="I21" s="3056">
        <v>5</v>
      </c>
      <c r="J21" s="3056">
        <v>54.2</v>
      </c>
    </row>
    <row r="22" spans="1:13">
      <c r="A22" s="3033" t="s">
        <v>2522</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2523</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2563</v>
      </c>
      <c r="M23" s="3056" t="s">
        <v>2564</v>
      </c>
    </row>
    <row r="24" spans="1:13">
      <c r="A24" s="3033" t="s">
        <v>2524</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2562</v>
      </c>
      <c r="M24" s="3056">
        <v>10</v>
      </c>
    </row>
    <row r="25" spans="1:13">
      <c r="A25" s="3033" t="s">
        <v>2525</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2566</v>
      </c>
      <c r="M25" s="3056">
        <v>8</v>
      </c>
    </row>
    <row r="26" spans="1:13">
      <c r="A26" s="3038"/>
      <c r="B26" s="3039"/>
      <c r="C26" s="3039"/>
      <c r="D26" s="3039"/>
      <c r="E26" s="3039"/>
      <c r="F26" s="3039"/>
      <c r="G26" s="3040"/>
      <c r="I26" s="3056">
        <v>30</v>
      </c>
      <c r="J26" s="3056">
        <v>90.5</v>
      </c>
      <c r="K26" s="3056">
        <f t="shared" si="2"/>
        <v>4.2000000000000028</v>
      </c>
      <c r="L26" s="3056" t="s">
        <v>2567</v>
      </c>
      <c r="M26" s="3056">
        <v>5</v>
      </c>
    </row>
    <row r="27" spans="1:13">
      <c r="A27" s="3038" t="s">
        <v>2526</v>
      </c>
      <c r="B27" s="3039"/>
      <c r="C27" s="3039"/>
      <c r="D27" s="3039"/>
      <c r="E27" s="3039"/>
      <c r="F27" s="3039"/>
      <c r="G27" s="3040"/>
      <c r="I27" s="3056">
        <v>35</v>
      </c>
      <c r="J27" s="3056">
        <v>93.8</v>
      </c>
      <c r="K27" s="3056">
        <f t="shared" si="2"/>
        <v>3.2999999999999972</v>
      </c>
      <c r="L27" s="3056" t="s">
        <v>2568</v>
      </c>
      <c r="M27" s="3056">
        <v>3</v>
      </c>
    </row>
    <row r="28" spans="1:13">
      <c r="A28" s="3038" t="s">
        <v>2527</v>
      </c>
      <c r="B28" s="3039"/>
      <c r="C28" s="3039"/>
      <c r="D28" s="3039"/>
      <c r="E28" s="3039"/>
      <c r="F28" s="3039"/>
      <c r="G28" s="3040"/>
      <c r="I28" s="3056">
        <v>40</v>
      </c>
      <c r="J28" s="3056">
        <v>96.4</v>
      </c>
      <c r="K28" s="3056">
        <f t="shared" si="2"/>
        <v>2.6000000000000085</v>
      </c>
      <c r="L28" s="3056" t="s">
        <v>2569</v>
      </c>
      <c r="M28" s="3056">
        <v>2</v>
      </c>
    </row>
    <row r="29" spans="1:13">
      <c r="A29" s="3038" t="s">
        <v>2528</v>
      </c>
      <c r="B29" s="3039"/>
      <c r="C29" s="3039"/>
      <c r="D29" s="3039"/>
      <c r="E29" s="3039"/>
      <c r="F29" s="3039"/>
      <c r="G29" s="3040"/>
      <c r="I29" s="3056">
        <v>45</v>
      </c>
      <c r="J29" s="3056">
        <v>98.4</v>
      </c>
      <c r="K29" s="3056">
        <f t="shared" si="2"/>
        <v>2</v>
      </c>
    </row>
    <row r="30" spans="1:13">
      <c r="A30" s="3038" t="s">
        <v>2529</v>
      </c>
      <c r="B30" s="3039"/>
      <c r="C30" s="3039"/>
      <c r="D30" s="3039"/>
      <c r="E30" s="3039"/>
      <c r="F30" s="3039"/>
      <c r="G30" s="3040"/>
      <c r="I30" s="3056">
        <v>50</v>
      </c>
      <c r="J30" s="3056">
        <v>100</v>
      </c>
      <c r="K30" s="3056">
        <f t="shared" si="2"/>
        <v>1.5999999999999943</v>
      </c>
    </row>
    <row r="31" spans="1:13">
      <c r="A31" s="3038" t="s">
        <v>2530</v>
      </c>
      <c r="B31" s="3039"/>
      <c r="C31" s="3039"/>
      <c r="D31" s="3039"/>
      <c r="E31" s="3039"/>
      <c r="F31" s="3039"/>
      <c r="G31" s="3040"/>
      <c r="I31" s="3056" t="s">
        <v>2561</v>
      </c>
    </row>
    <row r="32" spans="1:13">
      <c r="A32" s="3038" t="s">
        <v>2531</v>
      </c>
      <c r="B32" s="3039"/>
      <c r="C32" s="3039"/>
      <c r="D32" s="3039"/>
      <c r="E32" s="3039"/>
      <c r="F32" s="3039"/>
      <c r="G32" s="3040"/>
    </row>
    <row r="33" spans="1:13">
      <c r="A33" s="3038" t="s">
        <v>2532</v>
      </c>
      <c r="B33" s="3039"/>
      <c r="C33" s="3039"/>
      <c r="D33" s="3039"/>
      <c r="E33" s="3039"/>
      <c r="F33" s="3039"/>
      <c r="G33" s="3040"/>
      <c r="I33" s="3056" t="s">
        <v>2560</v>
      </c>
      <c r="J33" s="3056" t="s">
        <v>2570</v>
      </c>
    </row>
    <row r="34" spans="1:13">
      <c r="A34" s="3038" t="s">
        <v>2533</v>
      </c>
      <c r="B34" s="3039"/>
      <c r="C34" s="3039"/>
      <c r="D34" s="3039"/>
      <c r="E34" s="3039"/>
      <c r="F34" s="3039"/>
      <c r="G34" s="3040"/>
      <c r="I34" s="3056">
        <v>5</v>
      </c>
      <c r="J34" s="3056">
        <v>55.1</v>
      </c>
    </row>
    <row r="35" spans="1:13">
      <c r="A35" s="3038" t="s">
        <v>2534</v>
      </c>
      <c r="B35" s="3039"/>
      <c r="C35" s="3039"/>
      <c r="D35" s="3039"/>
      <c r="E35" s="3039"/>
      <c r="F35" s="3039"/>
      <c r="G35" s="3040"/>
      <c r="I35" s="3056">
        <v>10</v>
      </c>
      <c r="J35" s="3056">
        <v>67</v>
      </c>
      <c r="K35" s="3056">
        <f>J35-J34</f>
        <v>11.899999999999999</v>
      </c>
    </row>
    <row r="36" spans="1:13">
      <c r="A36" s="3038" t="s">
        <v>2535</v>
      </c>
      <c r="B36" s="3039"/>
      <c r="C36" s="3039"/>
      <c r="D36" s="3039"/>
      <c r="E36" s="3039"/>
      <c r="F36" s="3039"/>
      <c r="G36" s="3040"/>
      <c r="I36" s="3056">
        <v>15</v>
      </c>
      <c r="J36" s="3056">
        <v>76.3</v>
      </c>
      <c r="K36" s="3056">
        <f t="shared" ref="K36:K41" si="3">J36-J35</f>
        <v>9.2999999999999972</v>
      </c>
      <c r="L36" s="3056" t="s">
        <v>2563</v>
      </c>
      <c r="M36" s="3056" t="s">
        <v>2564</v>
      </c>
    </row>
    <row r="37" spans="1:13">
      <c r="A37" s="3038" t="s">
        <v>2536</v>
      </c>
      <c r="B37" s="3039"/>
      <c r="C37" s="3039"/>
      <c r="D37" s="3039"/>
      <c r="E37" s="3039"/>
      <c r="F37" s="3039"/>
      <c r="G37" s="3040"/>
      <c r="I37" s="3056">
        <v>20</v>
      </c>
      <c r="J37" s="3056">
        <v>83.6</v>
      </c>
      <c r="K37" s="3056">
        <f t="shared" si="3"/>
        <v>7.2999999999999972</v>
      </c>
      <c r="L37" s="3056" t="s">
        <v>2562</v>
      </c>
      <c r="M37" s="3056">
        <v>10</v>
      </c>
    </row>
    <row r="38" spans="1:13">
      <c r="A38" s="3038" t="s">
        <v>2537</v>
      </c>
      <c r="B38" s="3039"/>
      <c r="C38" s="3039"/>
      <c r="D38" s="3039"/>
      <c r="E38" s="3039"/>
      <c r="F38" s="3039"/>
      <c r="G38" s="3040"/>
      <c r="I38" s="3056">
        <v>25</v>
      </c>
      <c r="J38" s="3056">
        <v>89.3</v>
      </c>
      <c r="K38" s="3056">
        <f t="shared" si="3"/>
        <v>5.7000000000000028</v>
      </c>
      <c r="L38" s="3056" t="s">
        <v>2566</v>
      </c>
      <c r="M38" s="3056">
        <v>8</v>
      </c>
    </row>
    <row r="39" spans="1:13">
      <c r="A39" s="3038"/>
      <c r="B39" s="3039"/>
      <c r="C39" s="3039"/>
      <c r="D39" s="3039"/>
      <c r="E39" s="3039"/>
      <c r="F39" s="3039"/>
      <c r="G39" s="3040"/>
      <c r="I39" s="3056">
        <v>30</v>
      </c>
      <c r="J39" s="3056">
        <v>93.8</v>
      </c>
      <c r="K39" s="3056">
        <f t="shared" si="3"/>
        <v>4.5</v>
      </c>
      <c r="L39" s="3056" t="s">
        <v>2567</v>
      </c>
      <c r="M39" s="3056">
        <v>6</v>
      </c>
    </row>
    <row r="40" spans="1:13">
      <c r="A40" s="3041" t="s">
        <v>2538</v>
      </c>
      <c r="B40" s="3042"/>
      <c r="C40" s="3042"/>
      <c r="D40" s="3042"/>
      <c r="E40" s="3042"/>
      <c r="F40" s="3042"/>
      <c r="G40" s="3043"/>
      <c r="I40" s="3056">
        <v>35</v>
      </c>
      <c r="J40" s="3056">
        <v>97.2</v>
      </c>
      <c r="K40" s="3056">
        <f t="shared" si="3"/>
        <v>3.4000000000000057</v>
      </c>
      <c r="L40" s="3056" t="s">
        <v>2568</v>
      </c>
      <c r="M40" s="3056">
        <v>3</v>
      </c>
    </row>
    <row r="41" spans="1:13">
      <c r="A41" s="3044" t="s">
        <v>2539</v>
      </c>
      <c r="B41" s="3045" t="s">
        <v>2540</v>
      </c>
      <c r="C41" s="3046" t="s">
        <v>2541</v>
      </c>
      <c r="D41" s="3046" t="s">
        <v>2542</v>
      </c>
      <c r="E41" s="3047"/>
      <c r="F41" s="3048"/>
      <c r="G41" s="3049"/>
      <c r="I41" s="3056">
        <v>40</v>
      </c>
      <c r="J41" s="3056">
        <v>100</v>
      </c>
      <c r="K41" s="3056">
        <f t="shared" si="3"/>
        <v>2.7999999999999972</v>
      </c>
    </row>
    <row r="42" spans="1:13">
      <c r="A42" s="3044" t="s">
        <v>2543</v>
      </c>
      <c r="B42" s="3045" t="s">
        <v>2544</v>
      </c>
      <c r="C42" s="3046" t="s">
        <v>2545</v>
      </c>
      <c r="D42" s="3050" t="s">
        <v>2546</v>
      </c>
      <c r="E42" s="3042" t="s">
        <v>2547</v>
      </c>
      <c r="F42" s="3042"/>
      <c r="G42" s="3043"/>
    </row>
    <row r="43" spans="1:13">
      <c r="A43" s="3044" t="s">
        <v>2548</v>
      </c>
      <c r="B43" s="3045" t="s">
        <v>2549</v>
      </c>
      <c r="C43" s="3046" t="s">
        <v>2550</v>
      </c>
      <c r="D43" s="3046" t="s">
        <v>2551</v>
      </c>
      <c r="E43" s="3047" t="s">
        <v>2552</v>
      </c>
      <c r="F43" s="3048"/>
      <c r="G43" s="3049"/>
      <c r="I43" s="3056" t="s">
        <v>2560</v>
      </c>
      <c r="J43" s="3056" t="s">
        <v>2571</v>
      </c>
    </row>
    <row r="44" spans="1:13">
      <c r="A44" s="3044" t="s">
        <v>2553</v>
      </c>
      <c r="B44" s="3045" t="s">
        <v>2554</v>
      </c>
      <c r="C44" s="3046" t="s">
        <v>2555</v>
      </c>
      <c r="D44" s="3050">
        <v>0.5</v>
      </c>
      <c r="E44" s="3047" t="s">
        <v>2556</v>
      </c>
      <c r="F44" s="3048"/>
      <c r="G44" s="3049"/>
      <c r="I44" s="3056">
        <v>30</v>
      </c>
      <c r="J44" s="3056">
        <v>81.7</v>
      </c>
    </row>
    <row r="45" spans="1:13" ht="14.25" thickBot="1">
      <c r="A45" s="3051" t="s">
        <v>2557</v>
      </c>
      <c r="B45" s="3052" t="s">
        <v>2544</v>
      </c>
      <c r="C45" s="3053" t="s">
        <v>2544</v>
      </c>
      <c r="D45" s="3053" t="s">
        <v>2558</v>
      </c>
      <c r="E45" s="3054" t="s">
        <v>2559</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K35" sqref="K3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610" t="str">
        <f>IF(B10="北京市","北京市",C10)&amp;F10&amp;IF(结果表!G1="在建","出让国有建设用地使用权及在建建筑物",IF(结果表!G1="土地","出让国有建设用地使用权",))&amp;B9&amp;"预评估"</f>
        <v>北京市朝阳区望京东路4号院1号楼房地产抵押价值预评估</v>
      </c>
      <c r="C1" s="3611"/>
      <c r="D1" s="3611"/>
      <c r="E1" s="3611"/>
      <c r="F1" s="3611"/>
      <c r="G1" s="3611"/>
      <c r="H1" s="3611"/>
      <c r="I1" s="361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北京市朝阳区望京东路4号院1号楼房地产抵押价值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北京市朝阳区望京东路4号院1号楼房地产</v>
      </c>
      <c r="T2" s="1745"/>
      <c r="U2" s="1745"/>
      <c r="V2" s="1745"/>
      <c r="W2" s="1745"/>
      <c r="X2" s="1745"/>
      <c r="Y2" s="1745"/>
      <c r="Z2" s="1745"/>
      <c r="AA2" s="1745"/>
      <c r="AB2" s="1745"/>
    </row>
    <row r="3" spans="1:30">
      <c r="A3" s="302" t="s">
        <v>2169</v>
      </c>
      <c r="B3" s="2373"/>
      <c r="C3" s="2374" t="s">
        <v>2170</v>
      </c>
      <c r="D3" s="2373">
        <v>45587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3384</v>
      </c>
      <c r="C4" s="2376">
        <f ca="1">SUMIF(注册房地产估价师,B4,估价师及机构信息!B3:B24)</f>
        <v>1120100036</v>
      </c>
      <c r="D4" s="2375" t="s">
        <v>3385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2174</v>
      </c>
      <c r="B7" s="2387"/>
      <c r="C7" s="2385"/>
      <c r="D7" s="2386"/>
      <c r="E7" s="2660"/>
      <c r="F7" s="2662"/>
      <c r="G7" s="2662"/>
      <c r="H7" s="2662"/>
      <c r="I7" s="2662"/>
      <c r="J7" s="2439"/>
      <c r="K7" s="2614"/>
      <c r="L7" s="2611"/>
      <c r="M7" s="2611"/>
      <c r="N7" s="2439"/>
      <c r="O7" s="2450"/>
      <c r="P7" s="2439"/>
      <c r="Q7" s="2439"/>
      <c r="R7" s="2439"/>
    </row>
    <row r="8" spans="1:30">
      <c r="A8" s="2388" t="s">
        <v>2175</v>
      </c>
      <c r="B8" s="2389" t="s">
        <v>3386</v>
      </c>
      <c r="C8" s="2390"/>
      <c r="D8" s="3613" t="s">
        <v>2176</v>
      </c>
      <c r="E8" s="2391" t="s">
        <v>3387</v>
      </c>
      <c r="F8" s="2392"/>
      <c r="G8" s="2661"/>
      <c r="H8" s="2661"/>
      <c r="I8" s="2661"/>
      <c r="J8" s="2439"/>
      <c r="K8" s="2612"/>
      <c r="L8" s="2611"/>
      <c r="M8" s="2611"/>
      <c r="N8" s="2439"/>
      <c r="O8" s="2450"/>
      <c r="P8" s="2439"/>
      <c r="Q8" s="2439"/>
      <c r="R8" s="2439"/>
    </row>
    <row r="9" spans="1:30" ht="13.5" thickBot="1">
      <c r="A9" s="2393" t="s">
        <v>2177</v>
      </c>
      <c r="B9" s="2394" t="s">
        <v>3387</v>
      </c>
      <c r="C9" s="2395"/>
      <c r="D9" s="3614"/>
      <c r="E9" s="2394"/>
      <c r="F9" s="2396"/>
      <c r="G9" s="2663"/>
      <c r="H9" s="2663"/>
      <c r="I9" s="2663"/>
      <c r="J9" s="2439"/>
      <c r="K9" s="2614"/>
      <c r="L9" s="2611"/>
      <c r="M9" s="2611"/>
      <c r="N9" s="2439"/>
      <c r="O9" s="2450"/>
      <c r="P9" s="2439"/>
      <c r="Q9" s="2439"/>
      <c r="R9" s="2439"/>
    </row>
    <row r="10" spans="1:30" ht="13.5" thickTop="1">
      <c r="A10" s="2397" t="s">
        <v>2178</v>
      </c>
      <c r="B10" s="2398" t="s">
        <v>3388</v>
      </c>
      <c r="C10" s="2399"/>
      <c r="D10" s="2382"/>
      <c r="E10" s="2400" t="s">
        <v>2179</v>
      </c>
      <c r="F10" s="2664" t="s">
        <v>3389</v>
      </c>
      <c r="G10" s="2665"/>
      <c r="H10" s="2666"/>
      <c r="I10" s="2667"/>
      <c r="J10" s="2439"/>
      <c r="K10" s="2614"/>
      <c r="L10" s="2611"/>
      <c r="M10" s="2611"/>
      <c r="N10" s="2439"/>
      <c r="O10" s="2450"/>
      <c r="P10" s="2439"/>
      <c r="Q10" s="2439"/>
      <c r="R10" s="2439"/>
    </row>
    <row r="11" spans="1:30">
      <c r="A11" s="2401" t="s">
        <v>2180</v>
      </c>
      <c r="B11" s="2402" t="s">
        <v>3390</v>
      </c>
      <c r="C11" s="2403"/>
      <c r="D11" s="2404"/>
      <c r="E11" s="2370"/>
      <c r="F11" s="2370"/>
      <c r="G11" s="2370"/>
      <c r="H11" s="2370"/>
      <c r="I11" s="2370"/>
      <c r="J11" s="3059"/>
      <c r="K11" s="3058"/>
      <c r="L11" s="2611"/>
      <c r="M11" s="2611"/>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7" t="s">
        <v>2572</v>
      </c>
      <c r="J12" s="3060"/>
      <c r="K12" s="2611"/>
      <c r="L12" s="2611"/>
      <c r="M12" s="2439"/>
      <c r="N12" s="2450"/>
      <c r="O12" s="2439"/>
      <c r="P12" s="2439"/>
      <c r="Q12" s="2439"/>
      <c r="AD12" s="1745"/>
    </row>
    <row r="13" spans="1:30">
      <c r="A13" s="3421" t="s">
        <v>3328</v>
      </c>
      <c r="B13" s="2407" t="s">
        <v>2189</v>
      </c>
      <c r="C13" s="856"/>
      <c r="D13" s="856"/>
      <c r="E13" s="856"/>
      <c r="F13" s="856">
        <v>58268</v>
      </c>
      <c r="G13" s="856"/>
      <c r="H13" s="856">
        <f>F13</f>
        <v>58268</v>
      </c>
      <c r="I13" s="856">
        <f>F13</f>
        <v>58268</v>
      </c>
      <c r="J13" s="3060"/>
      <c r="K13" s="2611"/>
      <c r="L13" s="2611"/>
      <c r="M13" s="2439"/>
      <c r="N13" s="2450"/>
      <c r="O13" s="2439"/>
      <c r="P13" s="2439"/>
      <c r="Q13" s="2439"/>
      <c r="AD13" s="1745"/>
    </row>
    <row r="14" spans="1:30">
      <c r="A14" s="1081"/>
      <c r="B14" s="2407" t="s">
        <v>2190</v>
      </c>
      <c r="C14" s="2408"/>
      <c r="D14" s="2408"/>
      <c r="E14" s="2408"/>
      <c r="F14" s="2408">
        <v>50</v>
      </c>
      <c r="G14" s="2408"/>
      <c r="H14" s="2408">
        <v>50</v>
      </c>
      <c r="I14" s="2408">
        <v>50</v>
      </c>
      <c r="J14" s="3061"/>
      <c r="K14" s="2611"/>
      <c r="L14" s="2611"/>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f>IF(A13="出让",IF(F13="","",ROUNDDOWN(MIN((F13-$D$3)/365,F14),2)),F14)</f>
        <v>34.74</v>
      </c>
      <c r="G15" s="2410" t="str">
        <f>IF(A13="出让",IF(G13="","",ROUNDDOWN(MIN((G13-$D$3)/365,G14),2)),G14)</f>
        <v/>
      </c>
      <c r="H15" s="2410">
        <f>IF(A13="出让",IF(H13="","",ROUNDDOWN(MIN((H13-$D$3)/365,H14),2)),H14)</f>
        <v>34.74</v>
      </c>
      <c r="I15" s="2410">
        <f>IF(A13="出让",IF(I13="","",ROUNDDOWN(MIN((I13-$D$3)/365,I14),2)),I14)</f>
        <v>34.74</v>
      </c>
      <c r="J15" s="3062"/>
      <c r="K15" s="2451"/>
      <c r="L15" s="2451"/>
      <c r="M15" s="2507"/>
      <c r="N15" s="2451"/>
      <c r="O15" s="2507"/>
      <c r="P15" s="2439"/>
      <c r="Q15" s="2439"/>
      <c r="AD15" s="1745"/>
    </row>
    <row r="16" spans="1:30">
      <c r="A16" s="2400" t="s">
        <v>2192</v>
      </c>
      <c r="B16" s="3620"/>
      <c r="C16" s="3621"/>
      <c r="D16" s="3622"/>
      <c r="E16" s="2413" t="s">
        <v>2193</v>
      </c>
      <c r="F16" s="3623"/>
      <c r="G16" s="3624"/>
      <c r="H16" s="3624"/>
      <c r="I16" s="3625"/>
      <c r="J16" s="2439"/>
      <c r="K16" s="2615"/>
      <c r="L16" s="2451"/>
      <c r="M16" s="2451"/>
      <c r="N16" s="2507"/>
      <c r="O16" s="2451"/>
      <c r="P16" s="2507"/>
      <c r="Q16" s="2439"/>
      <c r="R16" s="2439"/>
    </row>
    <row r="17" spans="1:28">
      <c r="A17" s="313" t="s">
        <v>2194</v>
      </c>
      <c r="B17" s="302" t="s">
        <v>2195</v>
      </c>
      <c r="C17" s="8">
        <f>'数据-汇总表'!E3</f>
        <v>55858.869999999981</v>
      </c>
      <c r="D17" s="2322" t="s">
        <v>2196</v>
      </c>
      <c r="E17" s="3626" t="s">
        <v>2197</v>
      </c>
      <c r="F17" s="3627"/>
      <c r="G17" s="3627"/>
      <c r="H17" s="3627"/>
      <c r="I17" s="3628"/>
      <c r="J17" s="2439"/>
      <c r="K17" s="2616"/>
      <c r="L17" s="2451"/>
      <c r="M17" s="2451"/>
      <c r="N17" s="2507"/>
      <c r="O17" s="2451"/>
      <c r="P17" s="2507"/>
      <c r="Q17" s="2439"/>
      <c r="R17" s="2439"/>
      <c r="S17" s="2439"/>
      <c r="T17" s="2439"/>
      <c r="U17" s="2439"/>
      <c r="V17" s="2439"/>
    </row>
    <row r="18" spans="1:28" ht="24.75" thickBot="1">
      <c r="A18" s="2414" t="s">
        <v>2198</v>
      </c>
      <c r="B18" s="1090" t="s">
        <v>2199</v>
      </c>
      <c r="C18" s="2415">
        <f>'数据-汇总表'!D3</f>
        <v>0</v>
      </c>
      <c r="D18" s="1092" t="s">
        <v>2200</v>
      </c>
      <c r="E18" s="3629" t="s">
        <v>2201</v>
      </c>
      <c r="F18" s="3630"/>
      <c r="G18" s="3630"/>
      <c r="H18" s="3630"/>
      <c r="I18" s="3631"/>
      <c r="J18" s="2439"/>
      <c r="K18" s="2616"/>
      <c r="L18" s="2451"/>
      <c r="M18" s="2451"/>
      <c r="N18" s="2507"/>
      <c r="O18" s="2451"/>
      <c r="P18" s="2507"/>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2204</v>
      </c>
      <c r="B20" s="3616" t="s">
        <v>2205</v>
      </c>
      <c r="C20" s="3617"/>
      <c r="D20" s="3618" t="s">
        <v>2206</v>
      </c>
      <c r="E20" s="3619"/>
      <c r="F20" s="2645" t="s">
        <v>1056</v>
      </c>
      <c r="G20" s="2662"/>
      <c r="H20" s="2662"/>
      <c r="I20" s="2662"/>
      <c r="J20" s="2439"/>
      <c r="K20" s="3615"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2208</v>
      </c>
      <c r="C21" s="2632" t="s">
        <v>3391</v>
      </c>
      <c r="D21" s="1568"/>
      <c r="E21" s="2633"/>
      <c r="F21" s="2646"/>
      <c r="G21" s="2662"/>
      <c r="H21" s="2662"/>
      <c r="I21" s="2662"/>
      <c r="J21" s="2439"/>
      <c r="K21" s="36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2209</v>
      </c>
      <c r="C22" s="2632" t="s">
        <v>1057</v>
      </c>
      <c r="D22" s="2661"/>
      <c r="E22" s="2661"/>
      <c r="F22" s="2661"/>
      <c r="G22" s="2662"/>
      <c r="H22" s="2662"/>
      <c r="I22" s="2662"/>
      <c r="J22" s="2439"/>
      <c r="K22" s="36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1058</v>
      </c>
      <c r="C24" s="2639"/>
      <c r="D24" s="2635" t="s">
        <v>1058</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1059</v>
      </c>
      <c r="C25" s="2639"/>
      <c r="D25" s="2635" t="s">
        <v>1059</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1060</v>
      </c>
      <c r="C26" s="2643"/>
      <c r="D26" s="2641" t="s">
        <v>1060</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603" t="s">
        <v>2212</v>
      </c>
      <c r="B27" s="320" t="s">
        <v>2213</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603"/>
      <c r="B28" s="302" t="s">
        <v>2214</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603"/>
      <c r="B29" s="302" t="s">
        <v>2215</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604"/>
      <c r="B30" s="302" t="s">
        <v>2216</v>
      </c>
      <c r="C30" s="3605"/>
      <c r="D30" s="3606"/>
      <c r="E30" s="2662"/>
      <c r="F30" s="2662"/>
      <c r="G30" s="2662"/>
      <c r="H30" s="2662"/>
      <c r="I30" s="2662"/>
      <c r="J30" s="2439"/>
      <c r="K30" s="2614"/>
      <c r="L30" s="2611"/>
      <c r="M30" s="2611"/>
      <c r="N30" s="2439"/>
      <c r="O30" s="2450"/>
      <c r="P30" s="2439"/>
      <c r="Q30" s="2439"/>
      <c r="R30" s="2439"/>
      <c r="S30" s="2439"/>
      <c r="T30" s="2439"/>
      <c r="U30" s="2439"/>
      <c r="V30" s="2439"/>
    </row>
    <row r="31" spans="1:28">
      <c r="A31" s="3607" t="s">
        <v>2217</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608"/>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608"/>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2218</v>
      </c>
      <c r="B34" s="2026"/>
      <c r="C34" s="2026"/>
      <c r="D34" s="2026"/>
      <c r="E34" s="2026"/>
      <c r="F34" s="2026"/>
      <c r="G34" s="2026"/>
      <c r="H34" s="2026"/>
      <c r="I34" s="2662"/>
      <c r="J34" s="2439"/>
      <c r="K34" s="2427">
        <f>COUNTIF(B34:H34,"——")</f>
        <v>0</v>
      </c>
      <c r="L34" s="323" t="s">
        <v>2219</v>
      </c>
      <c r="M34" s="323" t="s">
        <v>2220</v>
      </c>
      <c r="N34" s="323" t="s">
        <v>2221</v>
      </c>
      <c r="O34" s="323" t="s">
        <v>2222</v>
      </c>
      <c r="P34" s="323" t="s">
        <v>2223</v>
      </c>
      <c r="Q34" s="323" t="s">
        <v>2224</v>
      </c>
      <c r="R34" s="323" t="s">
        <v>2225</v>
      </c>
      <c r="S34" s="3602" t="s">
        <v>2226</v>
      </c>
      <c r="T34" s="2428" t="str">
        <f>NUMBERSTRING(7-K34,1)&amp;"通"</f>
        <v>七通</v>
      </c>
      <c r="U34" s="2439"/>
      <c r="V34" s="2439"/>
    </row>
    <row r="35" spans="1:30">
      <c r="A35" s="2429"/>
      <c r="B35" s="3609" t="s">
        <v>2227</v>
      </c>
      <c r="C35" s="3609"/>
      <c r="D35" s="3609"/>
      <c r="E35" s="3609"/>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3" t="s">
        <v>2575</v>
      </c>
      <c r="G36" s="2662"/>
      <c r="H36" s="2662"/>
      <c r="I36" s="2662"/>
      <c r="J36" s="2439"/>
      <c r="K36" s="2614"/>
      <c r="L36" s="2611"/>
      <c r="M36" s="2611"/>
      <c r="N36" s="2439"/>
      <c r="O36" s="2450"/>
      <c r="P36" s="2439"/>
      <c r="Q36" s="2439"/>
      <c r="R36" s="2439"/>
      <c r="S36" s="2439"/>
      <c r="T36" s="2439"/>
      <c r="U36" s="2439"/>
      <c r="V36" s="2439"/>
    </row>
    <row r="37" spans="1:30">
      <c r="A37" s="2628" t="s">
        <v>2228</v>
      </c>
      <c r="B37" s="2431"/>
      <c r="C37" s="2431"/>
      <c r="D37" s="2431"/>
      <c r="E37" s="2431" t="s">
        <v>110</v>
      </c>
      <c r="F37" s="2431" t="s">
        <v>110</v>
      </c>
      <c r="G37" s="2662"/>
      <c r="H37" s="2662"/>
      <c r="I37" s="2662"/>
      <c r="J37" s="2439"/>
      <c r="K37" s="2614"/>
      <c r="L37" s="2611"/>
      <c r="M37" s="2611"/>
      <c r="N37" s="2439"/>
      <c r="O37" s="2450"/>
      <c r="P37" s="2439"/>
      <c r="Q37" s="2439"/>
      <c r="R37" s="2439"/>
      <c r="S37" s="2439"/>
      <c r="T37" s="2439"/>
      <c r="U37" s="2439"/>
      <c r="V37" s="2439"/>
    </row>
    <row r="38" spans="1:30" ht="13.5" thickBot="1">
      <c r="A38" s="2629" t="s">
        <v>2229</v>
      </c>
      <c r="B38" s="2432"/>
      <c r="C38" s="2432"/>
      <c r="D38" s="2432"/>
      <c r="E38" s="2432" t="s">
        <v>3392</v>
      </c>
      <c r="F38" s="2432" t="s">
        <v>281</v>
      </c>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2231</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55858.869999999981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55858.869999999981</v>
      </c>
      <c r="H5" s="13">
        <f t="shared" ref="H5:AT5" si="0">SUM(H13:H656)</f>
        <v>55858.869999999981</v>
      </c>
      <c r="I5" s="13">
        <f t="shared" si="0"/>
        <v>47667.279999999977</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55858.869999999981</v>
      </c>
      <c r="BA5" s="15">
        <f t="shared" si="1"/>
        <v>55858.869999999981</v>
      </c>
      <c r="BB5" s="15">
        <f t="shared" si="1"/>
        <v>47667.279999999977</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3490</v>
      </c>
      <c r="J9" s="809"/>
      <c r="K9" s="1603" t="s">
        <v>3491</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3329</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3489</v>
      </c>
      <c r="E13" s="13">
        <f>IF($C$3="是",ROUND($A$3*G13/$B$3,2),ROUND($A$3*(G13-AT13)/$B$3,2))</f>
        <v>0</v>
      </c>
      <c r="F13" s="29"/>
      <c r="G13" s="30">
        <f>H13+AC13+AT13</f>
        <v>55858.869999999981</v>
      </c>
      <c r="H13" s="17">
        <f>SUMIF(I$12:AB$12,"总值",I13:AB13)</f>
        <v>55858.869999999981</v>
      </c>
      <c r="I13" s="1626">
        <f>面积表!E37</f>
        <v>47667.279999999977</v>
      </c>
      <c r="J13" s="1626"/>
      <c r="K13" s="1626">
        <f>面积表!E36</f>
        <v>8191.59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55858.869999999981</v>
      </c>
      <c r="BA13" s="13">
        <f>SUM(BB13:BK13)</f>
        <v>55858.869999999981</v>
      </c>
      <c r="BB13" s="13">
        <f>IF($D13="是",I13-J13,0)</f>
        <v>47667.279999999977</v>
      </c>
      <c r="BC13" s="13">
        <f>IF($D13="是",K13-L13,0)</f>
        <v>8191.59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topLeftCell="B16" workbookViewId="0">
      <selection activeCell="D2" sqref="D2:D34"/>
    </sheetView>
  </sheetViews>
  <sheetFormatPr defaultColWidth="9" defaultRowHeight="12"/>
  <cols>
    <col min="1" max="1" width="4.75" style="3448" bestFit="1" customWidth="1"/>
    <col min="2" max="2" width="20.25" style="3448" customWidth="1"/>
    <col min="3" max="3" width="11.375" style="3448" bestFit="1" customWidth="1"/>
    <col min="4" max="4" width="18.75" style="3448" customWidth="1"/>
    <col min="5" max="5" width="11.25" style="3448" bestFit="1" customWidth="1"/>
    <col min="6" max="13" width="9" style="3448"/>
    <col min="14" max="14" width="10.25" style="3448" bestFit="1" customWidth="1"/>
    <col min="15" max="16384" width="9" style="3448"/>
  </cols>
  <sheetData>
    <row r="1" spans="1:14">
      <c r="A1" s="3447" t="s">
        <v>3393</v>
      </c>
      <c r="B1" s="3447" t="s">
        <v>3394</v>
      </c>
      <c r="C1" s="3447" t="s">
        <v>3395</v>
      </c>
      <c r="D1" s="3447" t="s">
        <v>3396</v>
      </c>
      <c r="E1" s="3447" t="s">
        <v>3397</v>
      </c>
      <c r="F1" s="3447" t="s">
        <v>3398</v>
      </c>
      <c r="G1" s="3447" t="s">
        <v>3399</v>
      </c>
      <c r="H1" s="3448" t="s">
        <v>3400</v>
      </c>
    </row>
    <row r="2" spans="1:14" s="3450" customFormat="1" ht="24">
      <c r="A2" s="3449">
        <v>1</v>
      </c>
      <c r="B2" s="3449" t="s">
        <v>3401</v>
      </c>
      <c r="C2" s="3632" t="s">
        <v>3402</v>
      </c>
      <c r="D2" s="3449" t="s">
        <v>3403</v>
      </c>
      <c r="E2" s="3449">
        <v>5336.6</v>
      </c>
      <c r="F2" s="3449" t="s">
        <v>3404</v>
      </c>
      <c r="G2" s="3449" t="s">
        <v>3405</v>
      </c>
      <c r="H2" s="3450" t="s">
        <v>3406</v>
      </c>
      <c r="L2" s="3450">
        <f>57+108</f>
        <v>165</v>
      </c>
      <c r="M2" s="3450">
        <f>E2+E3</f>
        <v>8191.59</v>
      </c>
      <c r="N2" s="3450">
        <f>M2/L2</f>
        <v>49.646000000000001</v>
      </c>
    </row>
    <row r="3" spans="1:14" ht="24">
      <c r="A3" s="3447">
        <v>2</v>
      </c>
      <c r="B3" s="3447" t="s">
        <v>3407</v>
      </c>
      <c r="C3" s="3632"/>
      <c r="D3" s="3447" t="s">
        <v>3408</v>
      </c>
      <c r="E3" s="3447">
        <v>2854.99</v>
      </c>
      <c r="F3" s="3447" t="s">
        <v>3409</v>
      </c>
      <c r="G3" s="3447" t="s">
        <v>3410</v>
      </c>
      <c r="H3" s="3448" t="s">
        <v>3411</v>
      </c>
    </row>
    <row r="4" spans="1:14" ht="24">
      <c r="A4" s="3447">
        <v>3</v>
      </c>
      <c r="B4" s="3447" t="s">
        <v>3412</v>
      </c>
      <c r="C4" s="3632"/>
      <c r="D4" s="3447" t="s">
        <v>3413</v>
      </c>
      <c r="E4" s="3447">
        <v>948.03</v>
      </c>
      <c r="F4" s="3447" t="s">
        <v>3415</v>
      </c>
      <c r="G4" s="3447">
        <v>1</v>
      </c>
      <c r="H4" s="3448" t="s">
        <v>3411</v>
      </c>
      <c r="I4" s="3448" t="s">
        <v>3416</v>
      </c>
      <c r="J4" s="3447"/>
    </row>
    <row r="5" spans="1:14" ht="24">
      <c r="A5" s="3447">
        <v>4</v>
      </c>
      <c r="B5" s="3447" t="s">
        <v>3417</v>
      </c>
      <c r="C5" s="3632"/>
      <c r="D5" s="3447" t="s">
        <v>3418</v>
      </c>
      <c r="E5" s="3447">
        <v>934.94</v>
      </c>
      <c r="F5" s="3447" t="s">
        <v>3414</v>
      </c>
      <c r="G5" s="3447">
        <v>1</v>
      </c>
      <c r="H5" s="3448" t="s">
        <v>3406</v>
      </c>
    </row>
    <row r="6" spans="1:14" ht="24">
      <c r="A6" s="3447">
        <v>5</v>
      </c>
      <c r="B6" s="3447" t="s">
        <v>3419</v>
      </c>
      <c r="C6" s="3632"/>
      <c r="D6" s="3447" t="s">
        <v>3420</v>
      </c>
      <c r="E6" s="3447">
        <v>257.68</v>
      </c>
      <c r="F6" s="3447" t="s">
        <v>3414</v>
      </c>
      <c r="G6" s="3447">
        <v>1</v>
      </c>
      <c r="H6" s="3448" t="s">
        <v>3406</v>
      </c>
    </row>
    <row r="7" spans="1:14" s="3450" customFormat="1" ht="24">
      <c r="A7" s="3449">
        <v>6</v>
      </c>
      <c r="B7" s="3449" t="s">
        <v>3421</v>
      </c>
      <c r="C7" s="3632"/>
      <c r="D7" s="3449" t="s">
        <v>3422</v>
      </c>
      <c r="E7" s="3449">
        <v>1754.23</v>
      </c>
      <c r="F7" s="3449" t="s">
        <v>3414</v>
      </c>
      <c r="G7" s="3449">
        <v>1</v>
      </c>
      <c r="H7" s="3450" t="s">
        <v>3406</v>
      </c>
      <c r="I7" s="3448" t="s">
        <v>3416</v>
      </c>
      <c r="J7" s="3449"/>
      <c r="K7" s="3448"/>
    </row>
    <row r="8" spans="1:14" ht="24">
      <c r="A8" s="3447">
        <v>7</v>
      </c>
      <c r="B8" s="3447" t="s">
        <v>3423</v>
      </c>
      <c r="C8" s="3632"/>
      <c r="D8" s="3447" t="s">
        <v>3424</v>
      </c>
      <c r="E8" s="3447">
        <v>997.46</v>
      </c>
      <c r="F8" s="3447" t="s">
        <v>3414</v>
      </c>
      <c r="G8" s="3447">
        <v>1</v>
      </c>
      <c r="H8" s="3448" t="s">
        <v>3406</v>
      </c>
    </row>
    <row r="9" spans="1:14" ht="24">
      <c r="A9" s="3447">
        <v>8</v>
      </c>
      <c r="B9" s="3447" t="s">
        <v>3425</v>
      </c>
      <c r="C9" s="3632"/>
      <c r="D9" s="3447" t="s">
        <v>3426</v>
      </c>
      <c r="E9" s="3447">
        <v>2037.18</v>
      </c>
      <c r="F9" s="3447" t="s">
        <v>3414</v>
      </c>
      <c r="G9" s="3447">
        <v>2</v>
      </c>
      <c r="H9" s="3448" t="s">
        <v>3406</v>
      </c>
    </row>
    <row r="10" spans="1:14" ht="24">
      <c r="A10" s="3447">
        <v>9</v>
      </c>
      <c r="B10" s="3447" t="s">
        <v>3427</v>
      </c>
      <c r="C10" s="3632"/>
      <c r="D10" s="3447" t="s">
        <v>3428</v>
      </c>
      <c r="E10" s="3447">
        <v>1368.79</v>
      </c>
      <c r="F10" s="3447" t="s">
        <v>3414</v>
      </c>
      <c r="G10" s="3447">
        <v>2</v>
      </c>
      <c r="H10" s="3448" t="s">
        <v>3406</v>
      </c>
    </row>
    <row r="11" spans="1:14" ht="24">
      <c r="A11" s="3447">
        <v>10</v>
      </c>
      <c r="B11" s="3447" t="s">
        <v>3429</v>
      </c>
      <c r="C11" s="3632"/>
      <c r="D11" s="3447" t="s">
        <v>3430</v>
      </c>
      <c r="E11" s="3447">
        <v>1809.21</v>
      </c>
      <c r="F11" s="3447" t="s">
        <v>3414</v>
      </c>
      <c r="G11" s="3447">
        <v>2</v>
      </c>
      <c r="H11" s="3448" t="s">
        <v>3406</v>
      </c>
    </row>
    <row r="12" spans="1:14" ht="24">
      <c r="A12" s="3447">
        <v>11</v>
      </c>
      <c r="B12" s="3447" t="s">
        <v>3431</v>
      </c>
      <c r="C12" s="3632"/>
      <c r="D12" s="3447" t="s">
        <v>3432</v>
      </c>
      <c r="E12" s="3447">
        <v>1045.6199999999999</v>
      </c>
      <c r="F12" s="3447" t="s">
        <v>3414</v>
      </c>
      <c r="G12" s="3447">
        <v>2</v>
      </c>
      <c r="H12" s="3448" t="s">
        <v>3406</v>
      </c>
    </row>
    <row r="13" spans="1:14" ht="24">
      <c r="A13" s="3447">
        <v>12</v>
      </c>
      <c r="B13" s="3447" t="s">
        <v>3433</v>
      </c>
      <c r="C13" s="3632"/>
      <c r="D13" s="3447" t="s">
        <v>3434</v>
      </c>
      <c r="E13" s="3447">
        <v>2053.8200000000002</v>
      </c>
      <c r="F13" s="3447" t="s">
        <v>3414</v>
      </c>
      <c r="G13" s="3447">
        <v>3</v>
      </c>
      <c r="H13" s="3448" t="s">
        <v>3406</v>
      </c>
    </row>
    <row r="14" spans="1:14" ht="24">
      <c r="A14" s="3447">
        <v>13</v>
      </c>
      <c r="B14" s="3447" t="s">
        <v>3435</v>
      </c>
      <c r="C14" s="3632"/>
      <c r="D14" s="3447" t="s">
        <v>3436</v>
      </c>
      <c r="E14" s="3447">
        <v>4410.37</v>
      </c>
      <c r="F14" s="3447" t="s">
        <v>3414</v>
      </c>
      <c r="G14" s="3447">
        <v>3</v>
      </c>
      <c r="H14" s="3448" t="s">
        <v>3406</v>
      </c>
    </row>
    <row r="15" spans="1:14" ht="24">
      <c r="A15" s="3447">
        <v>14</v>
      </c>
      <c r="B15" s="3447" t="s">
        <v>3437</v>
      </c>
      <c r="C15" s="3632"/>
      <c r="D15" s="3447" t="s">
        <v>3438</v>
      </c>
      <c r="E15" s="3447">
        <v>1045.6199999999999</v>
      </c>
      <c r="F15" s="3447" t="s">
        <v>3414</v>
      </c>
      <c r="G15" s="3447">
        <v>3</v>
      </c>
      <c r="H15" s="3448" t="s">
        <v>3406</v>
      </c>
    </row>
    <row r="16" spans="1:14" ht="24">
      <c r="A16" s="3447">
        <v>15</v>
      </c>
      <c r="B16" s="3447" t="s">
        <v>3439</v>
      </c>
      <c r="C16" s="3632"/>
      <c r="D16" s="3447" t="s">
        <v>3440</v>
      </c>
      <c r="E16" s="3447">
        <v>1981.75</v>
      </c>
      <c r="F16" s="3447" t="s">
        <v>3414</v>
      </c>
      <c r="G16" s="3447">
        <v>4</v>
      </c>
      <c r="H16" s="3448" t="s">
        <v>3406</v>
      </c>
    </row>
    <row r="17" spans="1:8" ht="24">
      <c r="A17" s="3447">
        <v>16</v>
      </c>
      <c r="B17" s="3447" t="s">
        <v>3441</v>
      </c>
      <c r="C17" s="3632"/>
      <c r="D17" s="3447" t="s">
        <v>3442</v>
      </c>
      <c r="E17" s="3447">
        <v>51.71</v>
      </c>
      <c r="F17" s="3447" t="s">
        <v>3414</v>
      </c>
      <c r="G17" s="3447">
        <v>4</v>
      </c>
      <c r="H17" s="3448" t="s">
        <v>3406</v>
      </c>
    </row>
    <row r="18" spans="1:8" ht="24">
      <c r="A18" s="3447">
        <v>17</v>
      </c>
      <c r="B18" s="3447" t="s">
        <v>3443</v>
      </c>
      <c r="C18" s="3632"/>
      <c r="D18" s="3447" t="s">
        <v>3444</v>
      </c>
      <c r="E18" s="3447">
        <v>4410.03</v>
      </c>
      <c r="F18" s="3447" t="s">
        <v>3414</v>
      </c>
      <c r="G18" s="3447">
        <v>4</v>
      </c>
      <c r="H18" s="3448" t="s">
        <v>3406</v>
      </c>
    </row>
    <row r="19" spans="1:8" ht="24">
      <c r="A19" s="3447">
        <v>18</v>
      </c>
      <c r="B19" s="3447" t="s">
        <v>3445</v>
      </c>
      <c r="C19" s="3632"/>
      <c r="D19" s="3447" t="s">
        <v>3446</v>
      </c>
      <c r="E19" s="3447">
        <v>1969.87</v>
      </c>
      <c r="F19" s="3447" t="s">
        <v>3414</v>
      </c>
      <c r="G19" s="3447">
        <v>4</v>
      </c>
      <c r="H19" s="3448" t="s">
        <v>3406</v>
      </c>
    </row>
    <row r="20" spans="1:8" ht="24">
      <c r="A20" s="3447">
        <v>19</v>
      </c>
      <c r="B20" s="3447" t="s">
        <v>3447</v>
      </c>
      <c r="C20" s="3632"/>
      <c r="D20" s="3447" t="s">
        <v>3448</v>
      </c>
      <c r="E20" s="3447">
        <v>4410.26</v>
      </c>
      <c r="F20" s="3447" t="s">
        <v>3449</v>
      </c>
      <c r="G20" s="3447">
        <v>5</v>
      </c>
      <c r="H20" s="3448" t="s">
        <v>3450</v>
      </c>
    </row>
    <row r="21" spans="1:8" ht="24">
      <c r="A21" s="3447">
        <v>20</v>
      </c>
      <c r="B21" s="3447" t="s">
        <v>3451</v>
      </c>
      <c r="C21" s="3632"/>
      <c r="D21" s="3447" t="s">
        <v>3452</v>
      </c>
      <c r="E21" s="3447">
        <v>51.71</v>
      </c>
      <c r="F21" s="3447" t="s">
        <v>3449</v>
      </c>
      <c r="G21" s="3447">
        <v>5</v>
      </c>
      <c r="H21" s="3448" t="s">
        <v>3450</v>
      </c>
    </row>
    <row r="22" spans="1:8" ht="24">
      <c r="A22" s="3447">
        <v>21</v>
      </c>
      <c r="B22" s="3447" t="s">
        <v>3453</v>
      </c>
      <c r="C22" s="3632"/>
      <c r="D22" s="3447" t="s">
        <v>3454</v>
      </c>
      <c r="E22" s="3447">
        <v>1969.87</v>
      </c>
      <c r="F22" s="3447" t="s">
        <v>3449</v>
      </c>
      <c r="G22" s="3447">
        <v>5</v>
      </c>
      <c r="H22" s="3448" t="s">
        <v>3450</v>
      </c>
    </row>
    <row r="23" spans="1:8" ht="24">
      <c r="A23" s="3447">
        <v>22</v>
      </c>
      <c r="B23" s="3447" t="s">
        <v>3455</v>
      </c>
      <c r="C23" s="3632"/>
      <c r="D23" s="3447" t="s">
        <v>3456</v>
      </c>
      <c r="E23" s="3447">
        <v>60.18</v>
      </c>
      <c r="F23" s="3447" t="s">
        <v>3449</v>
      </c>
      <c r="G23" s="3447">
        <v>6</v>
      </c>
      <c r="H23" s="3448" t="s">
        <v>3450</v>
      </c>
    </row>
    <row r="24" spans="1:8" ht="24">
      <c r="A24" s="3447">
        <v>23</v>
      </c>
      <c r="B24" s="3447" t="s">
        <v>3457</v>
      </c>
      <c r="C24" s="3632"/>
      <c r="D24" s="3447" t="s">
        <v>3458</v>
      </c>
      <c r="E24" s="3447">
        <v>38.43</v>
      </c>
      <c r="F24" s="3447" t="s">
        <v>3449</v>
      </c>
      <c r="G24" s="3447">
        <v>6</v>
      </c>
      <c r="H24" s="3448" t="s">
        <v>3450</v>
      </c>
    </row>
    <row r="25" spans="1:8" ht="24">
      <c r="A25" s="3447">
        <v>24</v>
      </c>
      <c r="B25" s="3447" t="s">
        <v>3459</v>
      </c>
      <c r="C25" s="3632"/>
      <c r="D25" s="3447" t="s">
        <v>3460</v>
      </c>
      <c r="E25" s="3447">
        <v>2594.02</v>
      </c>
      <c r="F25" s="3447" t="s">
        <v>3449</v>
      </c>
      <c r="G25" s="3447">
        <v>6</v>
      </c>
      <c r="H25" s="3448" t="s">
        <v>3450</v>
      </c>
    </row>
    <row r="26" spans="1:8" ht="24">
      <c r="A26" s="3447">
        <v>25</v>
      </c>
      <c r="B26" s="3447" t="s">
        <v>3461</v>
      </c>
      <c r="C26" s="3632"/>
      <c r="D26" s="3447" t="s">
        <v>3462</v>
      </c>
      <c r="E26" s="3447">
        <v>1970.49</v>
      </c>
      <c r="F26" s="3447" t="s">
        <v>3449</v>
      </c>
      <c r="G26" s="3447">
        <v>6</v>
      </c>
      <c r="H26" s="3448" t="s">
        <v>3450</v>
      </c>
    </row>
    <row r="27" spans="1:8" ht="24">
      <c r="A27" s="3447">
        <v>26</v>
      </c>
      <c r="B27" s="3447" t="s">
        <v>3463</v>
      </c>
      <c r="C27" s="3632"/>
      <c r="D27" s="3447" t="s">
        <v>3464</v>
      </c>
      <c r="E27" s="3447">
        <v>60.18</v>
      </c>
      <c r="F27" s="3447" t="s">
        <v>3449</v>
      </c>
      <c r="G27" s="3447">
        <v>7</v>
      </c>
      <c r="H27" s="3448" t="s">
        <v>3450</v>
      </c>
    </row>
    <row r="28" spans="1:8" ht="24">
      <c r="A28" s="3447">
        <v>27</v>
      </c>
      <c r="B28" s="3447" t="s">
        <v>3465</v>
      </c>
      <c r="C28" s="3632"/>
      <c r="D28" s="3447" t="s">
        <v>3466</v>
      </c>
      <c r="E28" s="3447">
        <v>38.340000000000003</v>
      </c>
      <c r="F28" s="3447" t="s">
        <v>3449</v>
      </c>
      <c r="G28" s="3447">
        <v>7</v>
      </c>
      <c r="H28" s="3448" t="s">
        <v>3450</v>
      </c>
    </row>
    <row r="29" spans="1:8" ht="24">
      <c r="A29" s="3447">
        <v>28</v>
      </c>
      <c r="B29" s="3447" t="s">
        <v>3467</v>
      </c>
      <c r="C29" s="3632"/>
      <c r="D29" s="3447" t="s">
        <v>3468</v>
      </c>
      <c r="E29" s="3447">
        <v>2678.95</v>
      </c>
      <c r="F29" s="3447" t="s">
        <v>3449</v>
      </c>
      <c r="G29" s="3447">
        <v>7</v>
      </c>
      <c r="H29" s="3448" t="s">
        <v>3450</v>
      </c>
    </row>
    <row r="30" spans="1:8" ht="24">
      <c r="A30" s="3447">
        <v>29</v>
      </c>
      <c r="B30" s="3447" t="s">
        <v>3469</v>
      </c>
      <c r="C30" s="3632"/>
      <c r="D30" s="3447" t="s">
        <v>3470</v>
      </c>
      <c r="E30" s="3447">
        <v>1970.49</v>
      </c>
      <c r="F30" s="3447" t="s">
        <v>3449</v>
      </c>
      <c r="G30" s="3447">
        <v>7</v>
      </c>
      <c r="H30" s="3448" t="s">
        <v>3450</v>
      </c>
    </row>
    <row r="31" spans="1:8" ht="24">
      <c r="A31" s="3447">
        <v>30</v>
      </c>
      <c r="B31" s="3447" t="s">
        <v>3471</v>
      </c>
      <c r="C31" s="3632"/>
      <c r="D31" s="3447" t="s">
        <v>3472</v>
      </c>
      <c r="E31" s="3447">
        <v>60.18</v>
      </c>
      <c r="F31" s="3447" t="s">
        <v>3449</v>
      </c>
      <c r="G31" s="3447">
        <v>8</v>
      </c>
      <c r="H31" s="3448" t="s">
        <v>3450</v>
      </c>
    </row>
    <row r="32" spans="1:8" ht="24">
      <c r="A32" s="3447">
        <v>31</v>
      </c>
      <c r="B32" s="3447" t="s">
        <v>3473</v>
      </c>
      <c r="C32" s="3632"/>
      <c r="D32" s="3447" t="s">
        <v>3474</v>
      </c>
      <c r="E32" s="3447">
        <v>38.43</v>
      </c>
      <c r="F32" s="3447" t="s">
        <v>3449</v>
      </c>
      <c r="G32" s="3447">
        <v>8</v>
      </c>
      <c r="H32" s="3448" t="s">
        <v>3450</v>
      </c>
    </row>
    <row r="33" spans="1:8" ht="24">
      <c r="A33" s="3447">
        <v>32</v>
      </c>
      <c r="B33" s="3447" t="s">
        <v>3475</v>
      </c>
      <c r="C33" s="3632"/>
      <c r="D33" s="3447" t="s">
        <v>3476</v>
      </c>
      <c r="E33" s="3447">
        <v>2678.95</v>
      </c>
      <c r="F33" s="3447" t="s">
        <v>3449</v>
      </c>
      <c r="G33" s="3447">
        <v>8</v>
      </c>
      <c r="H33" s="3448" t="s">
        <v>3450</v>
      </c>
    </row>
    <row r="34" spans="1:8" ht="24">
      <c r="A34" s="3447">
        <v>33</v>
      </c>
      <c r="B34" s="3447" t="s">
        <v>3477</v>
      </c>
      <c r="C34" s="3632"/>
      <c r="D34" s="3447" t="s">
        <v>3478</v>
      </c>
      <c r="E34" s="3447">
        <v>1970.49</v>
      </c>
      <c r="F34" s="3447" t="s">
        <v>3449</v>
      </c>
      <c r="G34" s="3447">
        <v>8</v>
      </c>
      <c r="H34" s="3448" t="s">
        <v>3450</v>
      </c>
    </row>
    <row r="35" spans="1:8" ht="13.5" customHeight="1">
      <c r="A35" s="3632" t="s">
        <v>3479</v>
      </c>
      <c r="B35" s="3632"/>
      <c r="C35" s="3632"/>
      <c r="D35" s="3632"/>
      <c r="E35" s="3447">
        <f>SUM(E2:E34)</f>
        <v>55858.869999999988</v>
      </c>
      <c r="F35" s="3447" t="s">
        <v>3480</v>
      </c>
      <c r="G35" s="3447" t="s">
        <v>3480</v>
      </c>
      <c r="H35" s="3448" t="s">
        <v>3480</v>
      </c>
    </row>
    <row r="36" spans="1:8">
      <c r="C36" s="3448" t="s">
        <v>3481</v>
      </c>
      <c r="D36" s="3448" t="s">
        <v>3483</v>
      </c>
      <c r="E36" s="3448">
        <f>E2+E3</f>
        <v>8191.59</v>
      </c>
      <c r="F36" s="3448">
        <f>282-117</f>
        <v>165</v>
      </c>
      <c r="G36" s="3448">
        <f>E36/F36</f>
        <v>49.646000000000001</v>
      </c>
    </row>
    <row r="37" spans="1:8">
      <c r="D37" s="3448" t="s">
        <v>3414</v>
      </c>
      <c r="E37" s="3448">
        <f>SUM(E4:E34)</f>
        <v>47667.279999999977</v>
      </c>
    </row>
    <row r="38" spans="1:8">
      <c r="D38" s="3448" t="s">
        <v>3484</v>
      </c>
      <c r="E38" s="3451">
        <f>ROUND(E36/E35,2)</f>
        <v>0.15</v>
      </c>
    </row>
    <row r="39" spans="1:8">
      <c r="C39" s="3448" t="s">
        <v>3485</v>
      </c>
      <c r="D39" s="3448" t="s">
        <v>3482</v>
      </c>
      <c r="E39" s="3448">
        <v>5379.24</v>
      </c>
    </row>
    <row r="40" spans="1:8">
      <c r="D40" s="3448" t="s">
        <v>3414</v>
      </c>
      <c r="E40" s="3448">
        <v>17093.439999999999</v>
      </c>
    </row>
    <row r="42" spans="1:8">
      <c r="D42" s="3448" t="s">
        <v>3486</v>
      </c>
      <c r="E42" s="3448">
        <f>E37+E40+J4+J7</f>
        <v>64760.719999999972</v>
      </c>
    </row>
    <row r="43" spans="1:8">
      <c r="D43" s="3448" t="s">
        <v>3487</v>
      </c>
      <c r="E43" s="3448">
        <v>30086.78</v>
      </c>
    </row>
    <row r="44" spans="1:8">
      <c r="D44" s="3448" t="s">
        <v>3488</v>
      </c>
      <c r="E44" s="3448">
        <f>ROUND(E42/E43,2)</f>
        <v>2.15</v>
      </c>
    </row>
  </sheetData>
  <mergeCells count="2">
    <mergeCell ref="C2:C34"/>
    <mergeCell ref="A35:D3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G41" sqref="G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42" t="s">
        <v>1130</v>
      </c>
      <c r="B2" s="3642"/>
      <c r="C2" s="3642"/>
      <c r="D2" s="796" t="s">
        <v>1106</v>
      </c>
      <c r="E2" s="1639" t="s">
        <v>1107</v>
      </c>
      <c r="F2" s="2657"/>
      <c r="G2" s="2648"/>
      <c r="H2" s="2649"/>
      <c r="I2" s="2325" t="s">
        <v>1131</v>
      </c>
      <c r="J2" s="2657"/>
      <c r="K2" s="2657"/>
      <c r="L2" s="2657"/>
      <c r="M2" s="2657"/>
      <c r="N2" s="2659"/>
      <c r="O2" s="2657"/>
      <c r="P2" s="2657"/>
    </row>
    <row r="3" spans="1:16" ht="15.75" thickBot="1">
      <c r="A3" s="3643" t="s">
        <v>1104</v>
      </c>
      <c r="B3" s="3643"/>
      <c r="C3" s="3643"/>
      <c r="D3" s="43">
        <f>'数据-基础表'!AY6</f>
        <v>0</v>
      </c>
      <c r="E3" s="43">
        <f>'数据-基础表'!AZ5</f>
        <v>55858.869999999981</v>
      </c>
      <c r="F3" s="2657"/>
      <c r="G3" s="1145"/>
      <c r="H3" s="1026" t="s">
        <v>1105</v>
      </c>
      <c r="I3" s="855" t="e">
        <f>ROUND('数据-基础表'!B3/'数据-基础表'!A3,2)</f>
        <v>#DIV/0!</v>
      </c>
      <c r="J3" s="2657"/>
      <c r="K3" s="2657"/>
      <c r="L3" s="2657"/>
      <c r="M3" s="2657"/>
      <c r="N3" s="2659"/>
      <c r="O3" s="2657"/>
      <c r="P3" s="2657"/>
    </row>
    <row r="4" spans="1:16" ht="15">
      <c r="A4" s="3644"/>
      <c r="B4" s="3645"/>
      <c r="C4" s="3646"/>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647" t="s">
        <v>1109</v>
      </c>
      <c r="C5" s="3647"/>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647" t="s">
        <v>1110</v>
      </c>
      <c r="C6" s="3647"/>
      <c r="D6" s="45">
        <f>ROUND($D$3*E6/$E$3,2)</f>
        <v>0</v>
      </c>
      <c r="E6" s="46">
        <f>E3-E5</f>
        <v>55858.869999999981</v>
      </c>
      <c r="F6" s="2657"/>
      <c r="G6" s="2651" t="s">
        <v>1111</v>
      </c>
      <c r="H6" s="1146" t="s">
        <v>1112</v>
      </c>
      <c r="I6" s="2652" t="e">
        <f>ROUND(F31/D31,2)</f>
        <v>#DIV/0!</v>
      </c>
      <c r="J6" s="2657"/>
      <c r="K6" s="2657"/>
      <c r="L6" s="2657"/>
      <c r="M6" s="2657"/>
      <c r="N6" s="2657"/>
      <c r="O6" s="2657"/>
      <c r="P6" s="2657"/>
    </row>
    <row r="7" spans="1:16" ht="15.75" thickBot="1">
      <c r="A7" s="3639"/>
      <c r="B7" s="3640"/>
      <c r="C7" s="3641"/>
      <c r="D7" s="1641" t="s">
        <v>1106</v>
      </c>
      <c r="E7" s="1645" t="s">
        <v>1113</v>
      </c>
      <c r="F7" s="2657"/>
      <c r="G7" s="2653" t="s">
        <v>1114</v>
      </c>
      <c r="H7" s="2654"/>
      <c r="I7" s="2655">
        <v>2.15</v>
      </c>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47667.279999999977</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8191.59</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55858.869999999981</v>
      </c>
      <c r="F16" s="2657"/>
      <c r="G16" s="2658"/>
      <c r="H16" s="1648" t="s">
        <v>1134</v>
      </c>
      <c r="I16" s="1649"/>
      <c r="J16" s="1139"/>
      <c r="K16" s="3636" t="s">
        <v>1134</v>
      </c>
      <c r="L16" s="3637"/>
      <c r="M16" s="3637"/>
      <c r="N16" s="3637"/>
      <c r="O16" s="3637"/>
      <c r="P16" s="3638"/>
    </row>
    <row r="17" spans="1:19" ht="15">
      <c r="A17" s="1650" t="s">
        <v>1135</v>
      </c>
      <c r="B17" s="1651" t="s">
        <v>1136</v>
      </c>
      <c r="C17" s="1652" t="s">
        <v>1137</v>
      </c>
      <c r="D17" s="1653" t="s">
        <v>1125</v>
      </c>
      <c r="E17" s="1654" t="s">
        <v>1126</v>
      </c>
      <c r="F17" s="1655"/>
      <c r="G17" s="1656"/>
      <c r="H17" s="1657" t="s">
        <v>1138</v>
      </c>
      <c r="I17" s="1658" t="s">
        <v>1123</v>
      </c>
      <c r="J17" s="1139"/>
      <c r="K17" s="3633" t="s">
        <v>1139</v>
      </c>
      <c r="L17" s="3634"/>
      <c r="M17" s="3635"/>
      <c r="N17" s="3633" t="s">
        <v>1140</v>
      </c>
      <c r="O17" s="3634"/>
      <c r="P17" s="363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3493</v>
      </c>
      <c r="D19" s="45">
        <f>ROUND($D$3*E19/$E$3,2)</f>
        <v>0</v>
      </c>
      <c r="E19" s="53">
        <f t="shared" ref="E19:E26" si="1">SUM(F19:G19)</f>
        <v>55858.869999999981</v>
      </c>
      <c r="F19" s="2793">
        <f>'数据-基础表'!I5</f>
        <v>47667.279999999977</v>
      </c>
      <c r="G19" s="2794">
        <f>'数据-基础表'!K5</f>
        <v>8191.59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55858.869999999981</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55858.869999999981</v>
      </c>
      <c r="F27" s="1140">
        <f>IF(SUM(F19:F26)=E8,SUM(F19:F26),"地上面积有误")</f>
        <v>47667.279999999977</v>
      </c>
      <c r="G27" s="1142">
        <f>SUM(G19:G26)</f>
        <v>8191.59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55858.869999999981</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55858.869999999981</v>
      </c>
      <c r="F31" s="677">
        <f>F27+F30</f>
        <v>47667.279999999977</v>
      </c>
      <c r="G31" s="678">
        <f>G27+G30</f>
        <v>8191.59</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2" sqref="P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研发中心</v>
      </c>
      <c r="B6" s="1713" t="str">
        <f>IF(A6=0,"","经营性")</f>
        <v>经营性</v>
      </c>
      <c r="C6" s="1714" t="s">
        <v>3994</v>
      </c>
      <c r="D6" s="858">
        <f>SUMIF(项目基本情况!C$12:I$12,C6,项目基本情况!C$14:I$14)</f>
        <v>50</v>
      </c>
      <c r="E6" s="857">
        <f>IF(B6="","",SUMIF(项目基本情况!C$12:I$12,C6,项目基本情况!C$13:I$13))</f>
        <v>58268</v>
      </c>
      <c r="F6" s="64">
        <f>SUMIF(项目基本情况!C$12:I$12,C6,项目基本情况!C$15:I$15)</f>
        <v>34.74</v>
      </c>
      <c r="G6" s="65">
        <f>IF(ISERROR(ROUND(POWER(1+H6,D6-F6)*(POWER(1+H6,F6)-1)/(POWER(1+H6,D6)-1),3)),0,ROUND(POWER(1+H6,D6-F6)*(POWER(1+H6,F6)-1)/(POWER(1+H6,D6)-1),3))</f>
        <v>0.89400000000000002</v>
      </c>
      <c r="H6" s="732">
        <v>0.05</v>
      </c>
      <c r="I6" s="732">
        <v>5.5E-2</v>
      </c>
      <c r="J6" s="66">
        <v>7.0000000000000007E-2</v>
      </c>
      <c r="K6" s="1030">
        <f>SUMIF('数据-汇总表'!C$19:C$33,A6,'数据-汇总表'!E$19:E$33)</f>
        <v>55858.869999999981</v>
      </c>
      <c r="L6" s="733">
        <v>5500</v>
      </c>
      <c r="M6" s="67">
        <f t="shared" ref="M6:M14" si="0">ROUND(K6*L6/10000,0)</f>
        <v>30722</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903">
        <v>6.8</v>
      </c>
      <c r="V6" s="3902">
        <v>0.02</v>
      </c>
      <c r="W6" s="3530">
        <v>0.1</v>
      </c>
      <c r="X6" s="1040"/>
      <c r="Y6" s="71">
        <f>N6</f>
        <v>0.85</v>
      </c>
      <c r="Z6" s="72"/>
      <c r="AA6" s="66"/>
      <c r="AB6" s="66"/>
      <c r="AC6" s="1040"/>
      <c r="AD6" s="73"/>
      <c r="AE6" s="1041">
        <f ca="1">IF(AN6="",0,SUMIF(INDIRECT("'"&amp;AN6&amp;"'"&amp;"!E:E"),$AE$5,INDIRECT("'"&amp;AN6&amp;"'"&amp;"!F:F")))</f>
        <v>34.74</v>
      </c>
      <c r="AF6" s="1348"/>
      <c r="AG6" s="138">
        <f>IF(AF6="",0,AE6-AF6)</f>
        <v>0</v>
      </c>
      <c r="AH6" s="74">
        <f>'数据-汇总表'!F19</f>
        <v>47667.279999999977</v>
      </c>
      <c r="AI6" s="76">
        <v>365</v>
      </c>
      <c r="AJ6" s="77"/>
      <c r="AK6" s="3531">
        <v>5.0000000000000001E-3</v>
      </c>
      <c r="AL6" s="3532">
        <v>1.5E-3</v>
      </c>
      <c r="AM6" s="3533">
        <v>5.0000000000000001E-3</v>
      </c>
      <c r="AN6" s="1715" t="s">
        <v>3497</v>
      </c>
      <c r="AO6" s="52">
        <f ca="1">SUMIF(INDIRECT("'"&amp;AN6&amp;"'"&amp;"!A:A"),"总价",INDIRECT("'"&amp;AN6&amp;"'"&amp;"!B:B"))</f>
        <v>169918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0.89400000000000002</v>
      </c>
      <c r="H16" s="90">
        <f>ROUND(SUMPRODUCT(H6:H13,K6:K13)/SUMPRODUCT((H6:H13&gt;0)*(K6:K13)),3)</f>
        <v>0.05</v>
      </c>
      <c r="I16" s="91"/>
      <c r="J16" s="91"/>
      <c r="K16" s="92">
        <f>SUM(K6:K15)</f>
        <v>55858.869999999981</v>
      </c>
      <c r="L16" s="93">
        <f>ROUND(M16*10000/SUM(K6:K14),0)</f>
        <v>5500</v>
      </c>
      <c r="M16" s="93">
        <f>SUM(M6:M14)</f>
        <v>30722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3452" t="s">
        <v>3494</v>
      </c>
      <c r="N18" s="2669">
        <v>2015</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2297</v>
      </c>
      <c r="D19" s="2674"/>
      <c r="E19" s="2671"/>
      <c r="F19" s="2671"/>
      <c r="G19" s="2671"/>
      <c r="H19" s="2671"/>
      <c r="I19" s="2671"/>
      <c r="J19" s="2671"/>
      <c r="K19" s="2670"/>
      <c r="L19" s="2670"/>
      <c r="M19" s="3452" t="s">
        <v>3495</v>
      </c>
      <c r="N19" s="2669">
        <f>ROUND(1-(1-0%)*(2024-N18)/60,2)</f>
        <v>0.85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2295</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3519" t="s">
        <v>3911</v>
      </c>
      <c r="L22" s="3520"/>
      <c r="M22" s="3520"/>
      <c r="N22" s="3520"/>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2671"/>
      <c r="K23" s="3521"/>
      <c r="L23" s="3522" t="s">
        <v>3912</v>
      </c>
      <c r="M23" s="3522" t="s">
        <v>3913</v>
      </c>
      <c r="N23" s="3522" t="s">
        <v>3914</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3523" t="s">
        <v>3915</v>
      </c>
      <c r="L24" s="3524">
        <f>L25</f>
        <v>55858.869999999981</v>
      </c>
      <c r="M24" s="3524">
        <f>ROUND(N24*10000/L24,0)</f>
        <v>5325</v>
      </c>
      <c r="N24" s="3524">
        <f>N25+N28+N29+N30</f>
        <v>29747</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3523" t="s">
        <v>3916</v>
      </c>
      <c r="L25" s="3524">
        <f>L26+L27</f>
        <v>55858.869999999981</v>
      </c>
      <c r="M25" s="3524">
        <f>ROUND(N25*10000/L25,0)</f>
        <v>2025</v>
      </c>
      <c r="N25" s="3524">
        <f>SUM(N26:N27)</f>
        <v>11313</v>
      </c>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3522" t="s">
        <v>3490</v>
      </c>
      <c r="L26" s="3521">
        <f>'数据-汇总表'!F19</f>
        <v>47667.279999999977</v>
      </c>
      <c r="M26" s="3521">
        <v>1600</v>
      </c>
      <c r="N26" s="3521">
        <f t="shared" ref="N26:N31" si="12">ROUND(M26*L26/10000,0)</f>
        <v>7627</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2299</v>
      </c>
      <c r="D27" s="2677"/>
      <c r="E27" s="2659"/>
      <c r="F27" s="2659"/>
      <c r="G27" s="2671"/>
      <c r="H27" s="2671"/>
      <c r="I27" s="2671"/>
      <c r="J27" s="2671"/>
      <c r="K27" s="3522" t="s">
        <v>3491</v>
      </c>
      <c r="L27" s="3521">
        <f>'数据-汇总表'!G19</f>
        <v>8191.59</v>
      </c>
      <c r="M27" s="3521">
        <v>4500</v>
      </c>
      <c r="N27" s="3521">
        <f t="shared" si="12"/>
        <v>3686</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3523" t="s">
        <v>3943</v>
      </c>
      <c r="L28" s="3524">
        <f>L25</f>
        <v>55858.869999999981</v>
      </c>
      <c r="M28" s="3524">
        <v>1000</v>
      </c>
      <c r="N28" s="3521">
        <f t="shared" si="12"/>
        <v>5586</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1117</v>
      </c>
      <c r="C29" s="2800" t="s">
        <v>2288</v>
      </c>
      <c r="D29" s="2677"/>
      <c r="E29" s="2659"/>
      <c r="F29" s="2659"/>
      <c r="G29" s="2671"/>
      <c r="H29" s="2671"/>
      <c r="I29" s="2671"/>
      <c r="J29" s="2671"/>
      <c r="K29" s="3523"/>
      <c r="L29" s="3524"/>
      <c r="M29" s="3524"/>
      <c r="N29" s="3521"/>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3523" t="s">
        <v>3917</v>
      </c>
      <c r="L30" s="3524">
        <f>L25</f>
        <v>55858.869999999981</v>
      </c>
      <c r="M30" s="3524">
        <v>2300</v>
      </c>
      <c r="N30" s="3521">
        <f t="shared" si="12"/>
        <v>12848</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3523" t="s">
        <v>3918</v>
      </c>
      <c r="L31" s="3524">
        <f>L27/3</f>
        <v>2730.53</v>
      </c>
      <c r="M31" s="3524">
        <f>M24</f>
        <v>5325</v>
      </c>
      <c r="N31" s="3521">
        <f t="shared" si="12"/>
        <v>1454</v>
      </c>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3523"/>
      <c r="L32" s="3525"/>
      <c r="M32" s="3521"/>
      <c r="N32" s="3521"/>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1" t="s">
        <v>3372</v>
      </c>
      <c r="D33" s="2674"/>
      <c r="E33" s="2671"/>
      <c r="F33" s="2671"/>
      <c r="G33" s="2671"/>
      <c r="H33" s="2671"/>
      <c r="I33" s="2671"/>
      <c r="J33" s="2671"/>
      <c r="K33" s="3522" t="s">
        <v>3919</v>
      </c>
      <c r="L33" s="3521">
        <f>L25</f>
        <v>55858.869999999981</v>
      </c>
      <c r="M33" s="3524">
        <f>ROUND(N33*10000/L33,0)</f>
        <v>5586</v>
      </c>
      <c r="N33" s="3521">
        <f>SUM(N24+N31)</f>
        <v>31201</v>
      </c>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2289</v>
      </c>
      <c r="D34" s="2682" t="s">
        <v>2296</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1" t="s">
        <v>2290</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801" t="s">
        <v>3373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2291</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2306</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2300</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2292</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2293</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2301</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2292</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2294</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59" t="s">
        <v>1245</v>
      </c>
      <c r="D53" s="2802" t="s">
        <v>2298</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48" t="s">
        <v>2280</v>
      </c>
      <c r="B1" s="3649"/>
      <c r="C1" s="3649"/>
      <c r="D1" s="3649"/>
      <c r="E1" s="3649"/>
      <c r="F1" s="3649"/>
      <c r="G1" s="36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2276</v>
      </c>
      <c r="D2" s="2461"/>
      <c r="E2" s="2458"/>
      <c r="F2" s="2462"/>
      <c r="G2" s="2460" t="s">
        <v>2277</v>
      </c>
      <c r="H2" s="799"/>
      <c r="I2" s="799"/>
      <c r="J2" s="799"/>
      <c r="K2" s="799"/>
      <c r="L2" s="799"/>
      <c r="M2" s="799"/>
      <c r="N2" s="799"/>
      <c r="O2" s="799"/>
      <c r="P2" s="799"/>
      <c r="Q2" s="799"/>
      <c r="R2" s="799"/>
    </row>
    <row r="3" spans="1:29" ht="25.5">
      <c r="A3" s="2441" t="s">
        <v>2278</v>
      </c>
      <c r="B3" s="2463" t="s">
        <v>2250</v>
      </c>
      <c r="C3" s="3453" t="s">
        <v>3499</v>
      </c>
      <c r="D3" s="2464"/>
      <c r="E3" s="2442" t="s">
        <v>2278</v>
      </c>
      <c r="F3" s="2465" t="s">
        <v>2251</v>
      </c>
      <c r="G3" s="2466" t="s">
        <v>2279</v>
      </c>
      <c r="H3" s="799"/>
      <c r="I3" s="799"/>
      <c r="J3" s="799"/>
      <c r="K3" s="799"/>
      <c r="L3" s="799"/>
      <c r="M3" s="799"/>
      <c r="N3" s="799"/>
      <c r="O3" s="799"/>
      <c r="P3" s="799"/>
      <c r="Q3" s="799"/>
      <c r="R3" s="799"/>
    </row>
    <row r="4" spans="1:29" ht="36">
      <c r="A4" s="2442"/>
      <c r="B4" s="323" t="s">
        <v>2252</v>
      </c>
      <c r="C4" s="3454" t="s">
        <v>3500</v>
      </c>
      <c r="D4" s="2464"/>
      <c r="E4" s="2467"/>
      <c r="F4" s="1373" t="s">
        <v>2253</v>
      </c>
      <c r="G4" s="2468" t="s">
        <v>2254</v>
      </c>
      <c r="H4" s="799"/>
      <c r="I4" s="799"/>
      <c r="J4" s="799"/>
      <c r="K4" s="799"/>
      <c r="L4" s="799"/>
      <c r="M4" s="799"/>
      <c r="N4" s="799"/>
      <c r="O4" s="799"/>
      <c r="P4" s="799"/>
      <c r="Q4" s="799"/>
      <c r="R4" s="799"/>
    </row>
    <row r="5" spans="1:29" ht="24">
      <c r="A5" s="2442"/>
      <c r="B5" s="323" t="s">
        <v>2255</v>
      </c>
      <c r="C5" s="3454" t="s">
        <v>3500</v>
      </c>
      <c r="D5" s="2464"/>
      <c r="E5" s="2467"/>
      <c r="F5" s="323" t="s">
        <v>2256</v>
      </c>
      <c r="G5" s="2468" t="s">
        <v>2257</v>
      </c>
      <c r="H5" s="799"/>
      <c r="I5" s="799"/>
      <c r="J5" s="799"/>
      <c r="K5" s="799"/>
      <c r="L5" s="799"/>
      <c r="M5" s="799"/>
      <c r="N5" s="799"/>
      <c r="O5" s="799"/>
      <c r="P5" s="799"/>
      <c r="Q5" s="799"/>
      <c r="R5" s="799"/>
    </row>
    <row r="6" spans="1:29">
      <c r="A6" s="2442"/>
      <c r="B6" s="323" t="s">
        <v>2258</v>
      </c>
      <c r="C6" s="3455" t="s">
        <v>3501</v>
      </c>
      <c r="D6" s="2464"/>
      <c r="E6" s="2467"/>
      <c r="F6" s="323" t="s">
        <v>2259</v>
      </c>
      <c r="G6" s="2468" t="s">
        <v>2260</v>
      </c>
      <c r="H6" s="799"/>
      <c r="I6" s="799"/>
      <c r="J6" s="799"/>
      <c r="K6" s="799"/>
      <c r="L6" s="799"/>
      <c r="M6" s="799"/>
      <c r="N6" s="799"/>
      <c r="O6" s="799"/>
      <c r="P6" s="799"/>
      <c r="Q6" s="799"/>
      <c r="R6" s="799"/>
    </row>
    <row r="7" spans="1:29" ht="24.75" thickBot="1">
      <c r="A7" s="2442"/>
      <c r="B7" s="323" t="s">
        <v>2256</v>
      </c>
      <c r="C7" s="3455" t="s">
        <v>3501</v>
      </c>
      <c r="D7" s="2469"/>
      <c r="E7" s="2470"/>
      <c r="F7" s="2471" t="s">
        <v>2261</v>
      </c>
      <c r="G7" s="2472" t="s">
        <v>2262</v>
      </c>
      <c r="H7" s="799"/>
      <c r="I7" s="799"/>
      <c r="J7" s="799"/>
      <c r="K7" s="799"/>
      <c r="L7" s="799"/>
      <c r="M7" s="799"/>
      <c r="N7" s="799"/>
      <c r="O7" s="799"/>
      <c r="P7" s="799"/>
      <c r="Q7" s="799"/>
      <c r="R7" s="799"/>
    </row>
    <row r="8" spans="1:29">
      <c r="A8" s="2442"/>
      <c r="B8" s="323" t="s">
        <v>2259</v>
      </c>
      <c r="C8" s="3455" t="s">
        <v>3503</v>
      </c>
      <c r="D8" s="2469"/>
      <c r="E8" s="2469"/>
      <c r="F8" s="2473"/>
      <c r="G8" s="2473"/>
      <c r="H8" s="799"/>
      <c r="I8" s="799"/>
      <c r="J8" s="799"/>
      <c r="K8" s="799"/>
      <c r="L8" s="799"/>
      <c r="M8" s="799"/>
      <c r="N8" s="799"/>
      <c r="O8" s="799"/>
      <c r="P8" s="799"/>
      <c r="Q8" s="799"/>
      <c r="R8" s="799"/>
    </row>
    <row r="9" spans="1:29">
      <c r="A9" s="2442"/>
      <c r="B9" s="323" t="s">
        <v>2263</v>
      </c>
      <c r="C9" s="3454" t="s">
        <v>3501</v>
      </c>
      <c r="D9" s="2464"/>
      <c r="E9" s="2469"/>
      <c r="F9" s="2473"/>
      <c r="G9" s="2473"/>
      <c r="H9" s="799"/>
      <c r="I9" s="799"/>
      <c r="J9" s="799"/>
      <c r="K9" s="799"/>
      <c r="L9" s="799"/>
      <c r="M9" s="799"/>
      <c r="N9" s="799"/>
      <c r="O9" s="799"/>
      <c r="P9" s="799"/>
      <c r="Q9" s="799"/>
      <c r="R9" s="799"/>
    </row>
    <row r="10" spans="1:29" s="2479" customFormat="1" ht="15" thickBot="1">
      <c r="A10" s="2443"/>
      <c r="B10" s="2474" t="s">
        <v>2264</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2281</v>
      </c>
      <c r="B13" s="2482"/>
      <c r="C13" s="2482"/>
      <c r="D13" s="2480"/>
      <c r="E13" s="2482"/>
      <c r="F13" s="2482"/>
      <c r="G13" s="2482"/>
    </row>
    <row r="14" spans="1:29" ht="15" thickBot="1">
      <c r="A14" s="2492"/>
      <c r="B14" s="2492"/>
      <c r="C14" s="2493" t="s">
        <v>2265</v>
      </c>
      <c r="D14" s="2464"/>
      <c r="E14" s="2494"/>
      <c r="F14" s="2494"/>
      <c r="G14" s="2460" t="s">
        <v>2266</v>
      </c>
    </row>
    <row r="15" spans="1:29" ht="25.5">
      <c r="A15" s="2444" t="s">
        <v>2267</v>
      </c>
      <c r="B15" s="2495" t="s">
        <v>2250</v>
      </c>
      <c r="C15" s="2496" t="str">
        <f>C3</f>
        <v>较好</v>
      </c>
      <c r="D15" s="2464"/>
      <c r="E15" s="2445" t="s">
        <v>2268</v>
      </c>
      <c r="F15" s="2495" t="s">
        <v>2269</v>
      </c>
      <c r="G15" s="2497" t="str">
        <f>G3</f>
        <v>估价对象位于XX开发区，园区建设成熟度XX，产业集聚程度XX</v>
      </c>
    </row>
    <row r="16" spans="1:29" ht="38.25">
      <c r="A16" s="2446"/>
      <c r="B16" s="2498" t="s">
        <v>2252</v>
      </c>
      <c r="C16" s="2499" t="str">
        <f>C4</f>
        <v>较好</v>
      </c>
      <c r="D16" s="2464"/>
      <c r="E16" s="2447"/>
      <c r="F16" s="2500" t="s">
        <v>2253</v>
      </c>
      <c r="G16" s="2501" t="str">
        <f>G4</f>
        <v>估价对象周边道路状况、公共交通通达情况、停车便捷程度，综合评价交通便捷度较好</v>
      </c>
    </row>
    <row r="17" spans="1:18">
      <c r="A17" s="2446"/>
      <c r="B17" s="2498" t="s">
        <v>2255</v>
      </c>
      <c r="C17" s="2499" t="str">
        <f>C5</f>
        <v>较好</v>
      </c>
      <c r="D17" s="2469"/>
      <c r="E17" s="2447"/>
      <c r="F17" s="2500" t="s">
        <v>2270</v>
      </c>
      <c r="G17" s="2502"/>
    </row>
    <row r="18" spans="1:18" ht="25.5">
      <c r="A18" s="2446"/>
      <c r="B18" s="2500" t="s">
        <v>2258</v>
      </c>
      <c r="C18" s="2501" t="str">
        <f>C6</f>
        <v>较好</v>
      </c>
      <c r="D18" s="2469"/>
      <c r="E18" s="2447"/>
      <c r="F18" s="2500" t="s">
        <v>2261</v>
      </c>
      <c r="G18" s="2501" t="str">
        <f>G7</f>
        <v>该园区内是否有污染型企业，绿化情况，卫生条件，整体环境状况判断</v>
      </c>
    </row>
    <row r="19" spans="1:18" ht="25.5">
      <c r="A19" s="2446"/>
      <c r="B19" s="2500" t="s">
        <v>2271</v>
      </c>
      <c r="C19" s="2502"/>
      <c r="D19" s="2464"/>
      <c r="E19" s="2447"/>
      <c r="F19" s="323" t="s">
        <v>2256</v>
      </c>
      <c r="G19" s="2501" t="str">
        <f>G5</f>
        <v>估价对象所在区域公共配套设施齐备情况</v>
      </c>
    </row>
    <row r="20" spans="1:18">
      <c r="A20" s="2446"/>
      <c r="B20" s="2500" t="s">
        <v>2272</v>
      </c>
      <c r="C20" s="2499" t="str">
        <f>C9</f>
        <v>较好</v>
      </c>
      <c r="D20" s="2469"/>
      <c r="E20" s="2447"/>
      <c r="F20" s="323" t="s">
        <v>2259</v>
      </c>
      <c r="G20" s="2501" t="str">
        <f>G6</f>
        <v>估价对象所在区域基础设施水平</v>
      </c>
    </row>
    <row r="21" spans="1:18">
      <c r="A21" s="2446"/>
      <c r="B21" s="323" t="s">
        <v>2256</v>
      </c>
      <c r="C21" s="2501" t="str">
        <f>C7</f>
        <v>较好</v>
      </c>
      <c r="D21" s="2464"/>
      <c r="E21" s="2447"/>
      <c r="F21" s="2500" t="s">
        <v>2273</v>
      </c>
      <c r="G21" s="2503"/>
    </row>
    <row r="22" spans="1:18" ht="13.5" customHeight="1">
      <c r="A22" s="2446"/>
      <c r="B22" s="323" t="s">
        <v>2259</v>
      </c>
      <c r="C22" s="2501" t="str">
        <f>C8</f>
        <v>七通</v>
      </c>
      <c r="D22" s="2464"/>
      <c r="E22" s="2447"/>
      <c r="F22" s="2500" t="s">
        <v>2264</v>
      </c>
      <c r="G22" s="2502"/>
    </row>
    <row r="23" spans="1:18" s="799" customFormat="1" ht="15" thickBot="1">
      <c r="A23" s="2446"/>
      <c r="B23" s="2500" t="s">
        <v>2273</v>
      </c>
      <c r="C23" s="2503"/>
      <c r="D23" s="1741"/>
      <c r="E23" s="2448"/>
      <c r="F23" s="2504" t="s">
        <v>2274</v>
      </c>
      <c r="G23" s="2505"/>
      <c r="H23" s="2489"/>
      <c r="I23" s="2490"/>
      <c r="J23" s="2489"/>
      <c r="K23" s="2489"/>
      <c r="L23" s="2490"/>
      <c r="M23" s="2489"/>
      <c r="N23" s="2489"/>
      <c r="O23" s="2490"/>
      <c r="P23" s="2489"/>
      <c r="Q23" s="2489"/>
      <c r="R23" s="2491"/>
    </row>
    <row r="24" spans="1:18" s="799" customFormat="1" ht="15" thickBot="1">
      <c r="A24" s="2449"/>
      <c r="B24" s="2504" t="s">
        <v>2275</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55858.869999999981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45587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180489</v>
      </c>
      <c r="C5" s="2510">
        <f ca="1">IF(B5=D14,结果表!H102,ROUND(B5*10000/$B$1,0))</f>
        <v>32312</v>
      </c>
      <c r="D5" s="2510" t="e">
        <f ca="1">ROUND(B5*10000/$B$2,0)</f>
        <v>#DIV/0!</v>
      </c>
      <c r="E5" s="2684"/>
      <c r="F5" s="2685"/>
      <c r="G5" s="2685"/>
      <c r="H5" s="2686"/>
      <c r="I5" s="2686"/>
      <c r="J5" s="2686"/>
      <c r="K5" s="2686"/>
    </row>
    <row r="6" spans="1:11" ht="16.5">
      <c r="A6" s="2510" t="s">
        <v>656</v>
      </c>
      <c r="B6" s="2510">
        <f ca="1">SUM(G14:G23)</f>
        <v>180489</v>
      </c>
      <c r="C6" s="2510">
        <f ca="1">IF(B6=G14,结果表!H108,ROUND(B6*10000/$B$1,0))</f>
        <v>32312</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55858.869999999981</v>
      </c>
      <c r="C14" s="2516"/>
      <c r="D14" s="2516">
        <f ca="1">结果表!H101</f>
        <v>180489</v>
      </c>
      <c r="E14" s="2516">
        <f ca="1">ROUND(D14*10000/B14,0)</f>
        <v>32312</v>
      </c>
      <c r="F14" s="2516" t="e">
        <f ca="1">ROUND(D14*10000/C14,0)</f>
        <v>#DIV/0!</v>
      </c>
      <c r="G14" s="2516">
        <f ca="1">D14</f>
        <v>180489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3492</v>
      </c>
      <c r="D1" s="1747"/>
      <c r="E1" s="1747"/>
      <c r="F1" s="1749" t="s">
        <v>1262</v>
      </c>
      <c r="G1" s="1561" t="s">
        <v>3991</v>
      </c>
      <c r="H1" s="1750" t="str">
        <f>IF(G1="现房","——","估价对象范围")</f>
        <v>——</v>
      </c>
      <c r="I1" s="1751" t="s">
        <v>3992</v>
      </c>
    </row>
    <row r="2" spans="1:12" ht="21.75" customHeight="1" thickBot="1">
      <c r="A2" s="3684" t="str">
        <f>项目基本情况!S2</f>
        <v>北京市朝阳区望京东路4号院1号楼房地产</v>
      </c>
      <c r="B2" s="3685"/>
      <c r="C2" s="3685"/>
      <c r="D2" s="3685"/>
      <c r="E2" s="3685"/>
      <c r="F2" s="3685"/>
      <c r="G2" s="3685"/>
      <c r="H2" s="3685"/>
      <c r="I2" s="3686"/>
    </row>
    <row r="3" spans="1:12" ht="12.75">
      <c r="A3" s="3688" t="s">
        <v>1263</v>
      </c>
      <c r="B3" s="3689"/>
      <c r="C3" s="3689"/>
      <c r="D3" s="3689"/>
      <c r="E3" s="3689"/>
      <c r="F3" s="3689"/>
      <c r="G3" s="3689"/>
      <c r="H3" s="3689"/>
      <c r="I3" s="3689"/>
    </row>
    <row r="4" spans="1:12" ht="14.25">
      <c r="A4" s="1754" t="s">
        <v>1264</v>
      </c>
      <c r="B4" s="1755" t="s">
        <v>1265</v>
      </c>
      <c r="C4" s="1756" t="s">
        <v>3941</v>
      </c>
      <c r="D4" s="1756" t="s">
        <v>3497</v>
      </c>
      <c r="E4" s="3690" t="s">
        <v>1266</v>
      </c>
      <c r="F4" s="3691"/>
      <c r="G4" s="3691"/>
      <c r="H4" s="3691"/>
      <c r="I4" s="36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4" t="s">
        <v>1267</v>
      </c>
      <c r="B5" s="3651">
        <v>25</v>
      </c>
      <c r="C5" s="3667"/>
      <c r="D5" s="3687"/>
      <c r="E5" s="131" t="s">
        <v>1268</v>
      </c>
      <c r="F5" s="1757"/>
      <c r="G5" s="1757"/>
      <c r="H5" s="1757"/>
      <c r="I5" s="1373"/>
    </row>
    <row r="6" spans="1:12" ht="12.75">
      <c r="A6" s="3664"/>
      <c r="B6" s="3651"/>
      <c r="C6" s="3668"/>
      <c r="D6" s="3687"/>
      <c r="E6" s="131" t="s">
        <v>1269</v>
      </c>
      <c r="F6" s="1757"/>
      <c r="G6" s="1757"/>
      <c r="H6" s="1757"/>
      <c r="I6" s="1373"/>
    </row>
    <row r="7" spans="1:12" ht="12.75">
      <c r="A7" s="3664"/>
      <c r="B7" s="3651"/>
      <c r="C7" s="3669"/>
      <c r="D7" s="3687"/>
      <c r="E7" s="131" t="s">
        <v>1270</v>
      </c>
      <c r="F7" s="1757"/>
      <c r="G7" s="1757"/>
      <c r="H7" s="1757"/>
      <c r="I7" s="1373"/>
    </row>
    <row r="8" spans="1:12" ht="12.75">
      <c r="A8" s="3664" t="s">
        <v>1271</v>
      </c>
      <c r="B8" s="3651">
        <v>15</v>
      </c>
      <c r="C8" s="3667"/>
      <c r="D8" s="3687"/>
      <c r="E8" s="131" t="s">
        <v>1272</v>
      </c>
      <c r="F8" s="1757"/>
      <c r="G8" s="1757"/>
      <c r="H8" s="1757"/>
      <c r="I8" s="1373"/>
    </row>
    <row r="9" spans="1:12" ht="12.75">
      <c r="A9" s="3664"/>
      <c r="B9" s="3651"/>
      <c r="C9" s="3669"/>
      <c r="D9" s="3687"/>
      <c r="E9" s="131" t="s">
        <v>1273</v>
      </c>
      <c r="F9" s="1757"/>
      <c r="G9" s="1757"/>
      <c r="H9" s="1757"/>
      <c r="I9" s="1373"/>
    </row>
    <row r="10" spans="1:12" ht="12.75">
      <c r="A10" s="3664" t="s">
        <v>1274</v>
      </c>
      <c r="B10" s="3651">
        <v>15</v>
      </c>
      <c r="C10" s="3667"/>
      <c r="D10" s="3687"/>
      <c r="E10" s="131" t="s">
        <v>1275</v>
      </c>
      <c r="F10" s="1757"/>
      <c r="G10" s="1757"/>
      <c r="H10" s="1757"/>
      <c r="I10" s="1373"/>
    </row>
    <row r="11" spans="1:12" ht="12.75">
      <c r="A11" s="3664"/>
      <c r="B11" s="3651"/>
      <c r="C11" s="3669"/>
      <c r="D11" s="3687"/>
      <c r="E11" s="131" t="s">
        <v>1276</v>
      </c>
      <c r="F11" s="1757"/>
      <c r="G11" s="1757"/>
      <c r="H11" s="1757"/>
      <c r="I11" s="1373"/>
    </row>
    <row r="12" spans="1:12" ht="12.75">
      <c r="A12" s="3664" t="s">
        <v>1277</v>
      </c>
      <c r="B12" s="3651">
        <v>15</v>
      </c>
      <c r="C12" s="3667"/>
      <c r="D12" s="3687"/>
      <c r="E12" s="131" t="s">
        <v>1278</v>
      </c>
      <c r="F12" s="1757"/>
      <c r="G12" s="1757"/>
      <c r="H12" s="1757"/>
      <c r="I12" s="1373"/>
    </row>
    <row r="13" spans="1:12" ht="12.75">
      <c r="A13" s="3664"/>
      <c r="B13" s="3651"/>
      <c r="C13" s="3669"/>
      <c r="D13" s="3687"/>
      <c r="E13" s="131" t="s">
        <v>1279</v>
      </c>
      <c r="F13" s="1757"/>
      <c r="G13" s="1757"/>
      <c r="H13" s="1757"/>
      <c r="I13" s="1373"/>
    </row>
    <row r="14" spans="1:12" ht="12.75">
      <c r="A14" s="3664" t="s">
        <v>1280</v>
      </c>
      <c r="B14" s="3651">
        <v>30</v>
      </c>
      <c r="C14" s="3667">
        <v>5</v>
      </c>
      <c r="D14" s="3687">
        <f>10-C14</f>
        <v>5</v>
      </c>
      <c r="E14" s="131" t="s">
        <v>1281</v>
      </c>
      <c r="F14" s="1757"/>
      <c r="G14" s="1757"/>
      <c r="H14" s="1757"/>
      <c r="I14" s="1373"/>
    </row>
    <row r="15" spans="1:12" ht="12.75">
      <c r="A15" s="3664"/>
      <c r="B15" s="3651"/>
      <c r="C15" s="3668"/>
      <c r="D15" s="3687"/>
      <c r="E15" s="131" t="s">
        <v>1282</v>
      </c>
      <c r="F15" s="1757"/>
      <c r="G15" s="1757"/>
      <c r="H15" s="1757"/>
      <c r="I15" s="1373"/>
    </row>
    <row r="16" spans="1:12" ht="12.75">
      <c r="A16" s="3664"/>
      <c r="B16" s="3651"/>
      <c r="C16" s="3669"/>
      <c r="D16" s="3687"/>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74" t="s">
        <v>2130</v>
      </c>
      <c r="F18" s="3675"/>
      <c r="G18" s="3675"/>
      <c r="H18" s="3675"/>
      <c r="I18" s="3675"/>
      <c r="J18" s="3529" t="s">
        <v>3940</v>
      </c>
      <c r="K18" s="302" t="s">
        <v>1288</v>
      </c>
      <c r="L18" s="302">
        <f>IF(C1="",'数据-汇总表'!E3,SUMIF(项目类型,C1,'数据-汇总表'!E17:E26)+SUMIF(项目类型,C1,'数据-汇总表'!I17:I26))</f>
        <v>55858.869999999981</v>
      </c>
      <c r="M18" s="302">
        <f>IF(C1="",'数据-汇总表'!E3,SUMIF(项目类型,C1,'数据-汇总表'!E17:E26))</f>
        <v>55858.869999999981</v>
      </c>
    </row>
    <row r="19" spans="1:36" ht="15">
      <c r="A19" s="1761" t="s">
        <v>1289</v>
      </c>
      <c r="B19" s="1762" t="s">
        <v>1290</v>
      </c>
      <c r="C19" s="134">
        <f ca="1">SUMIF(INDIRECT("'"&amp;C4&amp;"'"&amp;"!A:A"),结果表!B19,INDIRECT("'"&amp;C4&amp;"'"&amp;"!B:B"))</f>
        <v>191060</v>
      </c>
      <c r="D19" s="135">
        <f ca="1">SUMIF(INDIRECT("'"&amp;D4&amp;"'"&amp;"!A:A"),结果表!B19,INDIRECT("'"&amp;D4&amp;"'"&amp;"!B:B"))</f>
        <v>169918</v>
      </c>
      <c r="E19" s="1761" t="s">
        <v>1291</v>
      </c>
      <c r="F19" s="1762" t="s">
        <v>1290</v>
      </c>
      <c r="G19" s="136">
        <f ca="1">ROUND(C19*$C$18+D19*$D$18,0)</f>
        <v>180489</v>
      </c>
      <c r="H19" s="1763" t="s">
        <v>1292</v>
      </c>
      <c r="I19" s="129"/>
      <c r="J19" s="725">
        <v>183644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34204</v>
      </c>
      <c r="D20" s="138">
        <f ca="1">SUMIF(INDIRECT("'"&amp;D4&amp;"'"&amp;"!A:A"),结果表!B20,INDIRECT("'"&amp;D4&amp;"'"&amp;"!B:B"))</f>
        <v>30419</v>
      </c>
      <c r="E20" s="1764"/>
      <c r="F20" s="1026" t="s">
        <v>1294</v>
      </c>
      <c r="G20" s="139">
        <f ca="1">ROUND(C20*$C$18+D20*$D$18,0)</f>
        <v>32312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0.12442472251321224</v>
      </c>
      <c r="E22" s="129"/>
      <c r="F22" s="129"/>
      <c r="G22" s="129"/>
      <c r="H22" s="129"/>
      <c r="I22" s="129"/>
    </row>
    <row r="23" spans="1:36" ht="13.5" thickBot="1">
      <c r="A23" s="1747"/>
      <c r="B23" s="1747"/>
      <c r="C23" s="1747"/>
      <c r="D23" s="1747"/>
      <c r="E23" s="129"/>
      <c r="F23" s="129"/>
      <c r="G23" s="129"/>
      <c r="H23" s="129"/>
      <c r="I23" s="129"/>
    </row>
    <row r="24" spans="1:36" ht="14.25">
      <c r="A24" s="3658" t="s">
        <v>1298</v>
      </c>
      <c r="B24" s="1762" t="s">
        <v>1290</v>
      </c>
      <c r="C24" s="136">
        <f>IF(B30=0,0,D30)</f>
        <v>0</v>
      </c>
      <c r="D24" s="1769"/>
      <c r="E24" s="129"/>
      <c r="F24" s="129"/>
      <c r="G24" s="129"/>
      <c r="H24" s="129"/>
      <c r="I24" s="129"/>
    </row>
    <row r="25" spans="1:36" ht="14.25">
      <c r="A25" s="365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180489</v>
      </c>
      <c r="D32" s="1775" t="s">
        <v>3942</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78" t="s">
        <v>1311</v>
      </c>
      <c r="B36" s="1787" t="s">
        <v>1312</v>
      </c>
      <c r="C36" s="145"/>
      <c r="D36" s="1788"/>
      <c r="E36" s="1789"/>
      <c r="F36" s="1790"/>
      <c r="G36" s="129"/>
      <c r="H36" s="129"/>
      <c r="I36" s="129"/>
    </row>
    <row r="37" spans="1:15" ht="15.75" thickBot="1">
      <c r="A37" s="3679"/>
      <c r="B37" s="1674" t="s">
        <v>1313</v>
      </c>
      <c r="C37" s="147"/>
      <c r="D37" s="1139"/>
      <c r="E37" s="1139"/>
      <c r="F37" s="1790"/>
      <c r="G37" s="129"/>
      <c r="H37" s="129"/>
      <c r="I37" s="129"/>
    </row>
    <row r="38" spans="1:15" ht="15.75" thickBot="1">
      <c r="A38" s="368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55" t="s">
        <v>1325</v>
      </c>
      <c r="B45" s="3656"/>
      <c r="C45" s="3657"/>
      <c r="D45" s="155">
        <f ca="1">ROUND(H101*F45,0)</f>
        <v>180489</v>
      </c>
      <c r="E45" s="156" t="s">
        <v>1326</v>
      </c>
      <c r="F45" s="157">
        <v>1</v>
      </c>
      <c r="G45" s="158" t="s">
        <v>1327</v>
      </c>
      <c r="H45" s="129"/>
      <c r="I45" s="129"/>
      <c r="J45" s="3733" t="s">
        <v>1328</v>
      </c>
      <c r="K45" s="3733"/>
      <c r="L45" s="3733"/>
      <c r="M45" s="3733"/>
      <c r="N45" s="3733"/>
      <c r="O45" s="3733"/>
    </row>
    <row r="46" spans="1:15" ht="14.25" hidden="1" customHeight="1">
      <c r="A46" s="3652" t="s">
        <v>1329</v>
      </c>
      <c r="B46" s="3653"/>
      <c r="C46" s="3653"/>
      <c r="D46" s="3653"/>
      <c r="E46" s="3653"/>
      <c r="F46" s="3653"/>
      <c r="G46" s="3654"/>
      <c r="H46" s="1806"/>
      <c r="I46" s="159"/>
      <c r="J46" s="2521">
        <v>1</v>
      </c>
      <c r="K46" s="3714" t="s">
        <v>1330</v>
      </c>
      <c r="L46" s="3714"/>
      <c r="M46" s="3734"/>
      <c r="N46" s="3734"/>
      <c r="O46" s="3734"/>
    </row>
    <row r="47" spans="1:15" ht="12" hidden="1" customHeight="1">
      <c r="A47" s="160" t="s">
        <v>1331</v>
      </c>
      <c r="B47" s="161"/>
      <c r="C47" s="162"/>
      <c r="D47" s="1087" t="s">
        <v>1332</v>
      </c>
      <c r="E47" s="302" t="s">
        <v>1333</v>
      </c>
      <c r="F47" s="163" t="s">
        <v>1334</v>
      </c>
      <c r="G47" s="2544" t="s">
        <v>1335</v>
      </c>
      <c r="H47" s="2545"/>
      <c r="I47" s="159"/>
      <c r="J47" s="2521">
        <v>2</v>
      </c>
      <c r="K47" s="3714" t="s">
        <v>1336</v>
      </c>
      <c r="L47" s="3714"/>
      <c r="M47" s="3735">
        <f>'数据-取费表'!B2</f>
        <v>45587</v>
      </c>
      <c r="N47" s="3735"/>
      <c r="O47" s="3735"/>
    </row>
    <row r="48" spans="1:15" ht="25.5" hidden="1">
      <c r="A48" s="3683" t="s">
        <v>1337</v>
      </c>
      <c r="B48" s="3666"/>
      <c r="C48" s="366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1338</v>
      </c>
      <c r="H48" s="2548"/>
      <c r="I48" s="1806"/>
      <c r="J48" s="2521">
        <v>3</v>
      </c>
      <c r="K48" s="3714" t="s">
        <v>1339</v>
      </c>
      <c r="L48" s="3714"/>
      <c r="M48" s="3736">
        <f ca="1">H101</f>
        <v>180489</v>
      </c>
      <c r="N48" s="3736"/>
      <c r="O48" s="3736"/>
    </row>
    <row r="49" spans="1:35" ht="25.5" hidden="1" customHeight="1">
      <c r="A49" s="2333" t="s">
        <v>1340</v>
      </c>
      <c r="B49" s="3650" t="s">
        <v>1341</v>
      </c>
      <c r="C49" s="3650"/>
      <c r="D49" s="1590">
        <v>0</v>
      </c>
      <c r="E49" s="324" t="s">
        <v>1342</v>
      </c>
      <c r="F49" s="2424" t="s">
        <v>28</v>
      </c>
      <c r="G49" s="3720"/>
      <c r="H49" s="2310" t="s">
        <v>2133</v>
      </c>
      <c r="I49" s="2311"/>
      <c r="J49" s="2521">
        <v>4</v>
      </c>
      <c r="K49" s="3714" t="str">
        <f>IF(项目基本情况!E8="房地产抵押价值","房地产抵押价值","抵押担保权已注销时的房地产抵押价值")</f>
        <v>房地产抵押价值</v>
      </c>
      <c r="L49" s="3714"/>
      <c r="M49" s="3736">
        <f ca="1">IF(项目基本情况!E8="房地产抵押价值",H107,H109)</f>
        <v>180489</v>
      </c>
      <c r="N49" s="3736"/>
      <c r="O49" s="3736"/>
    </row>
    <row r="50" spans="1:35" ht="25.5" hidden="1" customHeight="1">
      <c r="A50" s="2549"/>
      <c r="B50" s="3650" t="s">
        <v>1343</v>
      </c>
      <c r="C50" s="3650"/>
      <c r="D50" s="2550"/>
      <c r="E50" s="332"/>
      <c r="F50" s="2424"/>
      <c r="G50" s="3721"/>
      <c r="H50" s="2312" t="s">
        <v>2134</v>
      </c>
      <c r="I50" s="2311"/>
      <c r="J50" s="3733" t="s">
        <v>1344</v>
      </c>
      <c r="K50" s="3733"/>
      <c r="L50" s="3733"/>
      <c r="M50" s="3733"/>
      <c r="N50" s="3733"/>
      <c r="O50" s="3733"/>
    </row>
    <row r="51" spans="1:35" ht="20.45" hidden="1" customHeight="1">
      <c r="A51" s="2551"/>
      <c r="B51" s="3650" t="s">
        <v>1345</v>
      </c>
      <c r="C51" s="3650"/>
      <c r="D51" s="1087"/>
      <c r="E51" s="327"/>
      <c r="F51" s="2424"/>
      <c r="G51" s="3722"/>
      <c r="H51" s="2312" t="s">
        <v>2135</v>
      </c>
      <c r="I51" s="2311"/>
      <c r="J51" s="2522" t="s">
        <v>1346</v>
      </c>
      <c r="K51" s="3714" t="s">
        <v>1347</v>
      </c>
      <c r="L51" s="3714"/>
      <c r="M51" s="2522" t="s">
        <v>1348</v>
      </c>
      <c r="N51" s="2522" t="s">
        <v>1349</v>
      </c>
      <c r="O51" s="2522" t="s">
        <v>1350</v>
      </c>
    </row>
    <row r="52" spans="1:35" ht="24" hidden="1" customHeight="1">
      <c r="A52" s="2335" t="s">
        <v>1351</v>
      </c>
      <c r="B52" s="3650" t="s">
        <v>1352</v>
      </c>
      <c r="C52" s="3650"/>
      <c r="D52" s="1087">
        <f ca="1">ROUND(D45*'数据-取费表'!B41/(1+'数据-取费表'!C42),0)</f>
        <v>9626</v>
      </c>
      <c r="E52" s="2334" t="s">
        <v>1353</v>
      </c>
      <c r="F52" s="2552">
        <f>'数据-取费表'!B41</f>
        <v>5.6000000000000001E-2</v>
      </c>
      <c r="G52" s="2553"/>
      <c r="H52" s="2542"/>
      <c r="I52" s="1807"/>
      <c r="J52" s="2521">
        <v>1</v>
      </c>
      <c r="K52" s="3715" t="s">
        <v>1354</v>
      </c>
      <c r="L52" s="3715"/>
      <c r="M52" s="2523" t="b">
        <f>D48</f>
        <v>0</v>
      </c>
      <c r="N52" s="2521" t="str">
        <f>E48</f>
        <v>销售额×税（费）率</v>
      </c>
      <c r="O52" s="2524">
        <f>F48</f>
        <v>5.6000000000000001E-2</v>
      </c>
    </row>
    <row r="53" spans="1:35" ht="12" hidden="1" customHeight="1">
      <c r="A53" s="2335" t="s">
        <v>1355</v>
      </c>
      <c r="B53" s="3676" t="s">
        <v>2285</v>
      </c>
      <c r="C53" s="3677"/>
      <c r="D53" s="1087">
        <f ca="1">ROUND(D45*'数据-取费表'!B41/(1+'数据-取费表'!C42),0)</f>
        <v>9626</v>
      </c>
      <c r="E53" s="2334" t="s">
        <v>1353</v>
      </c>
      <c r="F53" s="2552">
        <f>'数据-取费表'!B41</f>
        <v>5.6000000000000001E-2</v>
      </c>
      <c r="G53" s="2553"/>
      <c r="H53" s="2542"/>
      <c r="I53" s="1807"/>
      <c r="J53" s="2521">
        <v>2</v>
      </c>
      <c r="K53" s="3715" t="s">
        <v>1356</v>
      </c>
      <c r="L53" s="3715"/>
      <c r="M53" s="2523">
        <f t="shared" ref="M53:O54" ca="1" si="0">D55</f>
        <v>90</v>
      </c>
      <c r="N53" s="2521" t="str">
        <f t="shared" si="0"/>
        <v>销售额×税（费）率</v>
      </c>
      <c r="O53" s="2524" t="str">
        <f t="shared" si="0"/>
        <v>免征</v>
      </c>
    </row>
    <row r="54" spans="1:35" ht="12" hidden="1" customHeight="1">
      <c r="A54" s="2335" t="s">
        <v>1357</v>
      </c>
      <c r="B54" s="3676" t="s">
        <v>2286</v>
      </c>
      <c r="C54" s="3677"/>
      <c r="D54" s="1087">
        <f ca="1">C68</f>
        <v>9626</v>
      </c>
      <c r="E54" s="327" t="s">
        <v>1358</v>
      </c>
      <c r="F54" s="2552">
        <f>'数据-取费表'!B41</f>
        <v>5.6000000000000001E-2</v>
      </c>
      <c r="G54" s="2553"/>
      <c r="H54" s="2554"/>
      <c r="I54" s="1807"/>
      <c r="J54" s="2521">
        <v>3</v>
      </c>
      <c r="K54" s="3715" t="s">
        <v>1359</v>
      </c>
      <c r="L54" s="3715"/>
      <c r="M54" s="2523">
        <f t="shared" ca="1" si="0"/>
        <v>102157</v>
      </c>
      <c r="N54" s="2521" t="str">
        <f t="shared" si="0"/>
        <v>增值额×税（费）率</v>
      </c>
      <c r="O54" s="2525" t="str">
        <f t="shared" si="0"/>
        <v>免征</v>
      </c>
    </row>
    <row r="55" spans="1:35" ht="24" hidden="1" customHeight="1">
      <c r="A55" s="3665" t="s">
        <v>1360</v>
      </c>
      <c r="B55" s="3666"/>
      <c r="C55" s="3666"/>
      <c r="D55" s="2324">
        <f ca="1">IF(H55="个人住宅",0,ROUND(D45*I55,0))</f>
        <v>90</v>
      </c>
      <c r="E55" s="2334" t="s">
        <v>1361</v>
      </c>
      <c r="F55" s="2552" t="str">
        <f>IF(H55="正常",I55,"免征")</f>
        <v>免征</v>
      </c>
      <c r="G55" s="2553"/>
      <c r="H55" s="2548"/>
      <c r="I55" s="165">
        <f>'数据-取费表'!B49</f>
        <v>5.0000000000000001E-4</v>
      </c>
      <c r="J55" s="2521">
        <f>IF(H59="非个人房产","",4)</f>
        <v>4</v>
      </c>
      <c r="K55" s="3715" t="str">
        <f>IF(H59="非个人房产","——","个人所得税")</f>
        <v>个人所得税</v>
      </c>
      <c r="L55" s="3715"/>
      <c r="M55" s="2526">
        <f ca="1">D59</f>
        <v>1719</v>
      </c>
      <c r="N55" s="2040" t="str">
        <f>E59</f>
        <v>差额计税</v>
      </c>
      <c r="O55" s="2527">
        <f>F59</f>
        <v>0.01</v>
      </c>
    </row>
    <row r="56" spans="1:35" ht="24.75" hidden="1">
      <c r="A56" s="3665" t="s">
        <v>1362</v>
      </c>
      <c r="B56" s="3666"/>
      <c r="C56" s="3666"/>
      <c r="D56" s="2324">
        <f ca="1">IF(H56="个人住宅",D57,D58)</f>
        <v>102157</v>
      </c>
      <c r="E56" s="2334" t="s">
        <v>1363</v>
      </c>
      <c r="F56" s="2552" t="str">
        <f>IF(H56="正常",F58,"免征")</f>
        <v>免征</v>
      </c>
      <c r="G56" s="2555" t="s">
        <v>1364</v>
      </c>
      <c r="H56" s="2556"/>
      <c r="I56" s="1808"/>
      <c r="J56" s="2521" t="str">
        <f>IF(项目基本情况!K6="上海银行",IF(J55="",4,J55+1),"")</f>
        <v/>
      </c>
      <c r="K56" s="3738" t="str">
        <f>IF(项目基本情况!K6="上海银行","其他处置费用","")</f>
        <v/>
      </c>
      <c r="L56" s="3739"/>
      <c r="M56" s="2523" t="str">
        <f>IF(项目基本情况!K6="上海银行",M69,"")</f>
        <v/>
      </c>
      <c r="N56" s="3738" t="str">
        <f>IF(项目基本情况!K6="上海银行","包含处置中涉及的律师、诉讼、拍卖、评估等费用","")</f>
        <v/>
      </c>
      <c r="O56" s="3741"/>
    </row>
    <row r="57" spans="1:35" ht="12.75" hidden="1">
      <c r="A57" s="2335" t="s">
        <v>1340</v>
      </c>
      <c r="B57" s="3676" t="s">
        <v>1365</v>
      </c>
      <c r="C57" s="3677"/>
      <c r="D57" s="1590">
        <v>0</v>
      </c>
      <c r="E57" s="324" t="s">
        <v>1342</v>
      </c>
      <c r="F57" s="302"/>
      <c r="G57" s="2553"/>
      <c r="H57" s="2557"/>
      <c r="I57" s="1808"/>
      <c r="J57" s="3715">
        <f>IF(AND(J55="",J56=""),4,IF(项目基本情况!K6="上海银行",结果表!J56+1,结果表!J55+1))</f>
        <v>5</v>
      </c>
      <c r="K57" s="3715" t="s">
        <v>1366</v>
      </c>
      <c r="L57" s="2528" t="s">
        <v>1367</v>
      </c>
      <c r="M57" s="2529"/>
      <c r="N57" s="2530">
        <f ca="1">SUMIF(M52:M56,"&lt;9e307")</f>
        <v>103966</v>
      </c>
      <c r="O57" s="2531"/>
      <c r="P57" s="2688">
        <f ca="1">N57/M49</f>
        <v>0.57602402362470839</v>
      </c>
    </row>
    <row r="58" spans="1:35" ht="24.75" hidden="1">
      <c r="A58" s="2335" t="s">
        <v>1351</v>
      </c>
      <c r="B58" s="3676" t="s">
        <v>1368</v>
      </c>
      <c r="C58" s="3650"/>
      <c r="D58" s="2324">
        <f ca="1">IF(H58="转让取得",C81,C97)</f>
        <v>102157</v>
      </c>
      <c r="E58" s="2334" t="s">
        <v>1363</v>
      </c>
      <c r="F58" s="302" t="s">
        <v>28</v>
      </c>
      <c r="G58" s="2553"/>
      <c r="H58" s="2556"/>
      <c r="I58" s="1808"/>
      <c r="J58" s="3715"/>
      <c r="K58" s="3715"/>
      <c r="L58" s="2528" t="s">
        <v>1369</v>
      </c>
      <c r="M58" s="2532"/>
      <c r="N58" s="2533" t="str">
        <f ca="1">NUMBERSTRING(INT(N57*10000),2)&amp;"元整"</f>
        <v>壹拾亿叁仟玖佰陆拾陆万元整</v>
      </c>
      <c r="O58" s="2534"/>
    </row>
    <row r="59" spans="1:35" ht="24.75" hidden="1" thickBot="1">
      <c r="A59" s="3718" t="s">
        <v>1370</v>
      </c>
      <c r="B59" s="3719"/>
      <c r="C59" s="3719"/>
      <c r="D59" s="2558">
        <f ca="1">IF(H59="非个人房产","——",IF(H59="个人住宅（满五唯一有凭证）",0,IF(H59="个人其他（无凭证）",ROUND(D45*F59,0),ROUND(C67*F59,0))))</f>
        <v>1719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716">
        <f>J57+1</f>
        <v>6</v>
      </c>
      <c r="K59" s="3715" t="s">
        <v>1371</v>
      </c>
      <c r="L59" s="2521" t="s">
        <v>1367</v>
      </c>
      <c r="M59" s="2535"/>
      <c r="N59" s="2536">
        <f ca="1">M49-N57</f>
        <v>76523</v>
      </c>
      <c r="O59" s="2537"/>
    </row>
    <row r="60" spans="1:35" ht="12" hidden="1" customHeight="1">
      <c r="A60" s="1809"/>
      <c r="B60" s="1747"/>
      <c r="C60" s="1747"/>
      <c r="D60" s="1747"/>
      <c r="E60" s="1578"/>
      <c r="F60" s="1808"/>
      <c r="G60" s="1808"/>
      <c r="H60" s="1810"/>
      <c r="I60" s="129"/>
      <c r="J60" s="3717"/>
      <c r="K60" s="3715"/>
      <c r="L60" s="2528" t="s">
        <v>1369</v>
      </c>
      <c r="M60" s="2532"/>
      <c r="N60" s="2533" t="str">
        <f ca="1">NUMBERSTRING(INT(N59*10000),2)&amp;"元整"</f>
        <v>柒亿陆仟伍佰贰拾叁万元整</v>
      </c>
      <c r="O60" s="2534"/>
    </row>
    <row r="61" spans="1:35" ht="13.5" hidden="1" thickBot="1">
      <c r="A61" s="3663" t="s">
        <v>1372</v>
      </c>
      <c r="B61" s="3663"/>
      <c r="C61" s="3663"/>
      <c r="D61" s="3663"/>
      <c r="E61" s="3663"/>
      <c r="F61" s="1808"/>
      <c r="G61" s="1808"/>
      <c r="H61" s="1810"/>
      <c r="I61" s="129"/>
      <c r="J61" s="2521">
        <f>J59+1</f>
        <v>7</v>
      </c>
      <c r="K61" s="3715" t="s">
        <v>1373</v>
      </c>
      <c r="L61" s="3715"/>
      <c r="M61" s="2538"/>
      <c r="N61" s="2539">
        <f ca="1">ROUND(N59*10000/'数据-汇总表'!E3,0)</f>
        <v>13699</v>
      </c>
      <c r="O61" s="2540"/>
    </row>
    <row r="62" spans="1:35" ht="12.75" hidden="1">
      <c r="A62" s="3681" t="s">
        <v>1374</v>
      </c>
      <c r="B62" s="3682"/>
      <c r="C62" s="2021"/>
      <c r="D62" s="2021" t="s">
        <v>1375</v>
      </c>
      <c r="E62" s="166" t="s">
        <v>1376</v>
      </c>
      <c r="F62" s="1808"/>
      <c r="G62" s="1808"/>
      <c r="H62" s="1810"/>
      <c r="I62" s="129"/>
    </row>
    <row r="63" spans="1:35" ht="12.75" hidden="1">
      <c r="A63" s="173" t="s">
        <v>330</v>
      </c>
      <c r="B63" s="167" t="s">
        <v>1377</v>
      </c>
      <c r="C63" s="2562">
        <f ca="1">ROUND((C64+C65)/(1+'数据-取费表'!C42),0)</f>
        <v>171894</v>
      </c>
      <c r="D63" s="167"/>
      <c r="E63" s="168"/>
      <c r="F63" s="1808"/>
      <c r="G63" s="1808"/>
      <c r="H63" s="1810"/>
      <c r="I63" s="129"/>
      <c r="J63" s="3740" t="s">
        <v>1378</v>
      </c>
      <c r="K63" s="1332" t="s">
        <v>1379</v>
      </c>
      <c r="L63" s="1332">
        <f ca="1">IF(M49&gt;10000,M49*0.5%,IF(AND(M49&gt;1000,M49&lt;=10000),M49*1%,IF(AND(M49&gt;100,M49&lt;=1000),M49*3%,IF(AND(M49&gt;10,M49&lt;=100),M49*5%,M49*8%))))</f>
        <v>902.44500000000005</v>
      </c>
      <c r="M63" s="302">
        <f ca="1">ROUND(L63,1)</f>
        <v>902.4</v>
      </c>
      <c r="N63" s="2541"/>
      <c r="Z63" s="1752"/>
      <c r="AI63" s="1753"/>
    </row>
    <row r="64" spans="1:35" ht="14.25" hidden="1" customHeight="1">
      <c r="A64" s="169" t="s">
        <v>325</v>
      </c>
      <c r="B64" s="170" t="s">
        <v>1380</v>
      </c>
      <c r="C64" s="2563">
        <f ca="1">D45</f>
        <v>180489</v>
      </c>
      <c r="D64" s="170" t="s">
        <v>26</v>
      </c>
      <c r="E64" s="172"/>
      <c r="F64" s="1808"/>
      <c r="G64" s="1808"/>
      <c r="H64" s="1810"/>
      <c r="I64" s="129"/>
      <c r="J64" s="3740"/>
      <c r="K64" s="1332" t="s">
        <v>1381</v>
      </c>
      <c r="L64" s="1332">
        <f ca="1">IF(M49&gt;2000,M49*0.5%,IF(AND(M49&gt;1000,M49&lt;=2000),M49*0.6%,IF(AND(M49&gt;500,M49&lt;=1000),M49*0.7%,IF(AND(M49&gt;200,M49&lt;=500),M49*0.8%,IF(AND(M49&gt;100,M49&lt;=200),M49*0.9%,IF(AND(M49&gt;50,M49&lt;=100),M49*1%,IF(AND(M49&gt;20,M49&lt;=50),M49*1.5%,IF(AND(M49&gt;10,M49&lt;=20),M49*2%,IF(AND(M49&gt;1,M49&lt;=10),M49*2.5%)))))))))</f>
        <v>902.44500000000005</v>
      </c>
      <c r="M64" s="302">
        <f t="shared" ref="M64:M65" ca="1" si="1">ROUND(L64,1)</f>
        <v>902.4</v>
      </c>
      <c r="N64" s="2542" t="s">
        <v>1382</v>
      </c>
      <c r="Z64" s="1752"/>
      <c r="AI64" s="1753"/>
    </row>
    <row r="65" spans="1:35" ht="14.25" hidden="1" customHeight="1">
      <c r="A65" s="169" t="s">
        <v>326</v>
      </c>
      <c r="B65" s="170" t="s">
        <v>1383</v>
      </c>
      <c r="C65" s="2564"/>
      <c r="D65" s="170"/>
      <c r="E65" s="172"/>
      <c r="F65" s="1808"/>
      <c r="G65" s="1808"/>
      <c r="H65" s="1810"/>
      <c r="I65" s="129"/>
      <c r="J65" s="3740"/>
      <c r="K65" s="1332" t="s">
        <v>1384</v>
      </c>
      <c r="L65" s="1332">
        <f ca="1">IF(M49&gt;1000,M49*0.1%,IF(AND(M49&gt;500,M49&lt;=1000),M49*0.5%,IF(AND(M49&gt;50,M49&lt;=500),M49*1%,IF(AND(M49&gt;1,M49&lt;=50),M49*1.5%))))</f>
        <v>180.489</v>
      </c>
      <c r="M65" s="302">
        <f t="shared" ca="1" si="1"/>
        <v>180.5</v>
      </c>
      <c r="N65" s="2542" t="s">
        <v>1382</v>
      </c>
      <c r="Z65" s="1752"/>
      <c r="AI65" s="1753"/>
    </row>
    <row r="66" spans="1:35" ht="14.25" hidden="1" customHeight="1">
      <c r="A66" s="173" t="s">
        <v>327</v>
      </c>
      <c r="B66" s="174" t="s">
        <v>1385</v>
      </c>
      <c r="C66" s="2565"/>
      <c r="D66" s="174" t="s">
        <v>26</v>
      </c>
      <c r="E66" s="1338" t="s">
        <v>671</v>
      </c>
      <c r="F66" s="1808"/>
      <c r="G66" s="1808"/>
      <c r="H66" s="1810"/>
      <c r="I66" s="129"/>
      <c r="J66" s="3740"/>
      <c r="K66" s="1332" t="s">
        <v>1386</v>
      </c>
      <c r="L66" s="1332">
        <f ca="1">M49*0.5%</f>
        <v>902.44500000000005</v>
      </c>
      <c r="M66" s="302">
        <f ca="1">IF(L66&gt;0.5,0.5,ROUND(L66,0))</f>
        <v>0.5</v>
      </c>
      <c r="N66" s="2542" t="s">
        <v>1387</v>
      </c>
      <c r="Z66" s="1752"/>
      <c r="AI66" s="1753"/>
    </row>
    <row r="67" spans="1:35" ht="14.25" hidden="1" customHeight="1">
      <c r="A67" s="173" t="s">
        <v>328</v>
      </c>
      <c r="B67" s="174" t="s">
        <v>1388</v>
      </c>
      <c r="C67" s="2566">
        <f ca="1">C63-C66</f>
        <v>171894</v>
      </c>
      <c r="D67" s="170" t="s">
        <v>26</v>
      </c>
      <c r="E67" s="172"/>
      <c r="F67" s="1808"/>
      <c r="G67" s="1808"/>
      <c r="H67" s="1810"/>
      <c r="I67" s="129"/>
      <c r="J67" s="3740"/>
      <c r="K67" s="1332" t="s">
        <v>1389</v>
      </c>
      <c r="L67" s="1332">
        <f ca="1">IF(M49&gt;=10000,(8.25+(M49-10000)*0.01%),IF(AND(M49&gt;=8000,M49&lt;10000),(7.85+(M49-8000)*0.02%),IF(AND(M49&gt;=5000,M49&lt;8000),(6.65+(M49-5000)*0.04%),IF(AND(M49&gt;=2000,M49&lt;5000),(4.25+(PM49-2000)*0.08%),IF(AND(M49&gt;=1000,M49&lt;2000),(2.75+(M49-1000)*0.15%),IF(AND(M49&gt;=100,M49&lt;1000),(0.5+(M49-100)*0.25%),IF(AND(M49&gt;0,M49&lt;100),M49*0.5%)))))))</f>
        <v>25.2989</v>
      </c>
      <c r="M67" s="302">
        <f ca="1">ROUND(L67*0.9,1)</f>
        <v>22.8</v>
      </c>
      <c r="N67" s="2541"/>
      <c r="Z67" s="1752"/>
      <c r="AI67" s="1753"/>
    </row>
    <row r="68" spans="1:35" ht="14.25" hidden="1" customHeight="1" thickBot="1">
      <c r="A68" s="176" t="s">
        <v>329</v>
      </c>
      <c r="B68" s="177" t="s">
        <v>1390</v>
      </c>
      <c r="C68" s="2567">
        <f ca="1">IF(C67&lt;=0,0,ROUND(C67*D68,0))</f>
        <v>9626</v>
      </c>
      <c r="D68" s="2568">
        <f>'数据-取费表'!B41</f>
        <v>5.6000000000000001E-2</v>
      </c>
      <c r="E68" s="178"/>
      <c r="F68" s="1808"/>
      <c r="G68" s="1808"/>
      <c r="H68" s="1810"/>
      <c r="I68" s="129"/>
      <c r="J68" s="3740"/>
      <c r="K68" s="1332" t="s">
        <v>1391</v>
      </c>
      <c r="L68" s="1332">
        <f ca="1">IF(M49&gt;10000,M49*0.5%,IF(AND(M49&gt;5000,M49&lt;=10000),M49*1%,IF(AND(M49&gt;1000,M49&lt;=5000),M49*2%,IF(AND(M49&gt;200,M49&lt;=1000),M49*3%,M49*5%))))</f>
        <v>902.44500000000005</v>
      </c>
      <c r="M68" s="302">
        <f ca="1">ROUND(L68,1)</f>
        <v>902.4</v>
      </c>
      <c r="N68" s="2541"/>
      <c r="Z68" s="1752"/>
      <c r="AI68" s="1753"/>
    </row>
    <row r="69" spans="1:35" s="1772" customFormat="1" ht="16.5" hidden="1" customHeight="1">
      <c r="A69" s="1811"/>
      <c r="B69" s="1812"/>
      <c r="C69" s="1813"/>
      <c r="D69" s="1814"/>
      <c r="E69" s="1815"/>
      <c r="F69" s="1578"/>
      <c r="G69" s="1578"/>
      <c r="H69" s="1577"/>
      <c r="I69" s="1747"/>
      <c r="J69" s="3740"/>
      <c r="K69" s="1332" t="s">
        <v>1392</v>
      </c>
      <c r="L69" s="1332"/>
      <c r="M69" s="302">
        <f ca="1">ROUND(SUM(M63:M68),0)</f>
        <v>2911</v>
      </c>
      <c r="N69" s="2543">
        <f ca="1">M69/M49</f>
        <v>1.6128406717306872E-2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702" t="s">
        <v>1393</v>
      </c>
      <c r="B70" s="3703"/>
      <c r="C70" s="3703"/>
      <c r="D70" s="3703"/>
      <c r="E70" s="3703"/>
      <c r="F70" s="3703"/>
      <c r="G70" s="3703"/>
      <c r="H70" s="37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81" t="s">
        <v>1374</v>
      </c>
      <c r="B71" s="3682"/>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6">
        <f ca="1">ROUND(D45/(1+'数据-取费表'!C42),0)</f>
        <v>171894</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6">
        <f ca="1">C74+C78</f>
        <v>1031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2">
        <v>0.05</v>
      </c>
      <c r="E76" s="3676" t="s">
        <v>1401</v>
      </c>
      <c r="F76" s="3650"/>
      <c r="G76" s="3650"/>
      <c r="H76" s="37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4">
        <f ca="1">ROUND(D45*D78/(1+'数据-取费表'!C42),0)</f>
        <v>1031</v>
      </c>
      <c r="D78" s="2575">
        <f>'数据-取费表'!B43</f>
        <v>6.000000000000001E-3</v>
      </c>
      <c r="E78" s="3660" t="s">
        <v>1405</v>
      </c>
      <c r="F78" s="3661"/>
      <c r="G78" s="3661"/>
      <c r="H78" s="36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6">
        <f ca="1">C72-C73</f>
        <v>170863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6">
        <f ca="1">IF(C79&lt;=0,0,C79/C73)</f>
        <v>165.72550921435499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7">
        <f ca="1">ROUND(IF(C79&lt;=0,0,IF(C80&gt;=200%,C79*60%-C73*35%,IF(C80&gt;=100%,C79*50%-C73*15%,IF(C80&gt;=50%,C79*40%-C73*5%,IF(C80&lt;50%,C79*30%,0))))),0)</f>
        <v>102157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02" t="s">
        <v>1409</v>
      </c>
      <c r="B83" s="3703"/>
      <c r="C83" s="3703"/>
      <c r="D83" s="3703"/>
      <c r="E83" s="3703"/>
      <c r="F83" s="3703"/>
      <c r="G83" s="3703"/>
      <c r="H83" s="37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81" t="s">
        <v>1374</v>
      </c>
      <c r="B84" s="368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6">
        <f ca="1">ROUND(D45/(1+'数据-取费表'!C42),0)</f>
        <v>171894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6">
        <f ca="1">IF(H88="仅含出让金",C87+C90+C91+C92+C93+C94,C87+C91+C92+C93+C94)</f>
        <v>1031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80"/>
      <c r="D88" s="2575"/>
      <c r="E88" s="193" t="s">
        <v>1412</v>
      </c>
      <c r="F88" s="2327"/>
      <c r="G88" s="194" t="s">
        <v>1413</v>
      </c>
      <c r="H88" s="1824"/>
      <c r="I88" s="1821"/>
      <c r="J88" s="2519"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80"/>
      <c r="D90" s="2575"/>
      <c r="E90" s="193" t="str">
        <f>IF(H88="-","土地取得成本中已包含该笔费用"," ")</f>
        <v xml:space="preserve"> </v>
      </c>
      <c r="F90" s="2327"/>
      <c r="G90" s="3742" t="s">
        <v>2128</v>
      </c>
      <c r="H90" s="3743"/>
      <c r="I90" s="1821"/>
      <c r="J90" s="2519"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4">
        <f>IF(H91="——",成本法!C33,I91)</f>
        <v>0</v>
      </c>
      <c r="D91" s="2575"/>
      <c r="E91" s="3660" t="s">
        <v>1418</v>
      </c>
      <c r="F91" s="3661"/>
      <c r="G91" s="36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4">
        <f>ROUND((C87+C90+C91)*D92,0)</f>
        <v>0</v>
      </c>
      <c r="D92" s="2581"/>
      <c r="E92" s="3660" t="s">
        <v>1421</v>
      </c>
      <c r="F92" s="3661"/>
      <c r="G92" s="3661"/>
      <c r="H92" s="3670"/>
      <c r="I92" s="1821"/>
      <c r="J92" s="2520"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4">
        <f ca="1">ROUND(D45*D93/(1+'数据-取费表'!C42),0)</f>
        <v>1031</v>
      </c>
      <c r="D93" s="2575">
        <f>'数据-取费表'!B43</f>
        <v>6.000000000000001E-3</v>
      </c>
      <c r="E93" s="3660" t="s">
        <v>1405</v>
      </c>
      <c r="F93" s="3661"/>
      <c r="G93" s="3661"/>
      <c r="H93" s="36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80">
        <f>ROUND((C87+C90+C91)*D94,0)</f>
        <v>0</v>
      </c>
      <c r="D94" s="2575">
        <v>0.2</v>
      </c>
      <c r="E94" s="3671" t="s">
        <v>1425</v>
      </c>
      <c r="F94" s="3672"/>
      <c r="G94" s="3672"/>
      <c r="H94" s="36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6">
        <f ca="1">ROUND(C85-C86,0)</f>
        <v>170863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6">
        <f ca="1">IF(C95&lt;=0,0,C95/C86)</f>
        <v>165.72550921435499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7">
        <f ca="1">ROUND(IF(C95&lt;=0,0,IF(C96&gt;=200%,C95*60%-C86*35%,IF(C96&gt;=100%,C95*50%-C86*15%,IF(C96&gt;=50%,C95*40%-C86*5%,IF(C96&lt;50%,C95*30%,0))))),0)</f>
        <v>102157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44" t="s">
        <v>1427</v>
      </c>
      <c r="B100" s="3645"/>
      <c r="C100" s="3645"/>
      <c r="D100" s="3662"/>
      <c r="E100" s="3645" t="s">
        <v>1428</v>
      </c>
      <c r="F100" s="3645"/>
      <c r="G100" s="3645"/>
      <c r="H100" s="3662"/>
      <c r="I100" s="129"/>
    </row>
    <row r="101" spans="1:35" ht="18.75" customHeight="1">
      <c r="A101" s="3723" t="s">
        <v>1429</v>
      </c>
      <c r="B101" s="3724"/>
      <c r="C101" s="2583" t="str">
        <f>C4</f>
        <v>比较法-办公</v>
      </c>
      <c r="D101" s="2584" t="str">
        <f>D4</f>
        <v>收益法</v>
      </c>
      <c r="E101" s="3737" t="s">
        <v>1430</v>
      </c>
      <c r="F101" s="3694"/>
      <c r="G101" s="1827" t="s">
        <v>1431</v>
      </c>
      <c r="H101" s="2593">
        <f ca="1">H118</f>
        <v>180489</v>
      </c>
      <c r="I101" s="129"/>
    </row>
    <row r="102" spans="1:35" ht="18.75" customHeight="1">
      <c r="A102" s="3696" t="s">
        <v>1432</v>
      </c>
      <c r="B102" s="2582" t="s">
        <v>1431</v>
      </c>
      <c r="C102" s="2583">
        <f ca="1">IF(D32="楼面单价",ROUND(C19,0),C19)</f>
        <v>191060</v>
      </c>
      <c r="D102" s="2584">
        <f ca="1">IF(D32="楼面单价",ROUND(D19,0),D19)</f>
        <v>169918</v>
      </c>
      <c r="E102" s="3737"/>
      <c r="F102" s="3694"/>
      <c r="G102" s="1827" t="s">
        <v>1433</v>
      </c>
      <c r="H102" s="2553">
        <f ca="1">I118</f>
        <v>32312</v>
      </c>
      <c r="I102" s="129"/>
    </row>
    <row r="103" spans="1:35" ht="42.75" customHeight="1">
      <c r="A103" s="3696"/>
      <c r="B103" s="2582" t="s">
        <v>1433</v>
      </c>
      <c r="C103" s="2585">
        <f ca="1">C20</f>
        <v>34204</v>
      </c>
      <c r="D103" s="2586">
        <f ca="1">D20</f>
        <v>30419</v>
      </c>
      <c r="E103" s="3731" t="s">
        <v>1434</v>
      </c>
      <c r="F103" s="3732"/>
      <c r="G103" s="1828" t="s">
        <v>1435</v>
      </c>
      <c r="H103" s="2593">
        <f>IF(D36="正常操作",H104+H105+H106,H105+H106)</f>
        <v>0</v>
      </c>
      <c r="I103" s="129"/>
    </row>
    <row r="104" spans="1:35" ht="18.75" customHeight="1">
      <c r="A104" s="3696" t="s">
        <v>1436</v>
      </c>
      <c r="B104" s="2587" t="s">
        <v>1431</v>
      </c>
      <c r="C104" s="2588">
        <f ca="1">H118</f>
        <v>180489</v>
      </c>
      <c r="D104" s="2589"/>
      <c r="E104" s="1674" t="s">
        <v>1437</v>
      </c>
      <c r="F104" s="1666"/>
      <c r="G104" s="1828" t="s">
        <v>1435</v>
      </c>
      <c r="H104" s="2594">
        <f>IF(D36="同一抵押权人同一抵押物续贷",C36&amp;"（续贷，未扣减，详见特别提示）",C36)</f>
        <v>0</v>
      </c>
      <c r="I104" s="129"/>
    </row>
    <row r="105" spans="1:35" ht="18.75" customHeight="1" thickBot="1">
      <c r="A105" s="3697"/>
      <c r="B105" s="2590" t="s">
        <v>1433</v>
      </c>
      <c r="C105" s="2591">
        <f ca="1">I118</f>
        <v>32312</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93" t="str">
        <f>IF(项目基本情况!E8="已注销","——","3.房地产抵押价值")</f>
        <v>3.房地产抵押价值</v>
      </c>
      <c r="F107" s="3694"/>
      <c r="G107" s="1827" t="s">
        <v>1431</v>
      </c>
      <c r="H107" s="2593">
        <f ca="1">IF(E107="——","——",H101-H103)</f>
        <v>180489</v>
      </c>
      <c r="I107" s="129"/>
    </row>
    <row r="108" spans="1:35" ht="18.75" customHeight="1">
      <c r="A108" s="129"/>
      <c r="B108" s="129"/>
      <c r="C108" s="129"/>
      <c r="D108" s="129"/>
      <c r="E108" s="3693"/>
      <c r="F108" s="3694"/>
      <c r="G108" s="1827" t="s">
        <v>1433</v>
      </c>
      <c r="H108" s="2553">
        <f ca="1">IF(H107=H101,H102,ROUND(H107*10000/'数据-汇总表'!E3,0))</f>
        <v>32312</v>
      </c>
      <c r="I108" s="129"/>
    </row>
    <row r="109" spans="1:35" ht="18.75" customHeight="1">
      <c r="A109" s="129"/>
      <c r="B109" s="129"/>
      <c r="C109" s="129"/>
      <c r="D109" s="129"/>
      <c r="E109" s="3693" t="str">
        <f>IF(项目基本情况!E8="已注销及未注销","4.抵押担保权已注销时的房地产抵押价值",IF(项目基本情况!E8="已注销","3.抵押担保权已注销时的房地产抵押价值","——"))</f>
        <v>——</v>
      </c>
      <c r="F109" s="3694"/>
      <c r="G109" s="1827" t="s">
        <v>1431</v>
      </c>
      <c r="H109" s="2596" t="str">
        <f>IF(E109="——","——",H101-H105-H106)</f>
        <v>——</v>
      </c>
      <c r="I109" s="129"/>
    </row>
    <row r="110" spans="1:35" ht="18.75" customHeight="1">
      <c r="A110" s="129"/>
      <c r="B110" s="129"/>
      <c r="C110" s="129"/>
      <c r="D110" s="129"/>
      <c r="E110" s="3693"/>
      <c r="F110" s="3694"/>
      <c r="G110" s="1827" t="s">
        <v>1433</v>
      </c>
      <c r="H110" s="2553" t="str">
        <f>IF(H109="——","——",ROUND(H109*10000/'数据-汇总表'!E3,0))</f>
        <v>——</v>
      </c>
      <c r="I110" s="129"/>
    </row>
    <row r="111" spans="1:35" ht="18.75" customHeight="1">
      <c r="A111" s="129"/>
      <c r="B111" s="129"/>
      <c r="C111" s="129"/>
      <c r="D111" s="129"/>
      <c r="E111" s="3725" t="str">
        <f>IF(项目基本情况!E9="抵押净值",IF(OR(项目基本情况!E8="已注销",项目基本情况!E8="房地产抵押价值"),"4.抵押净值","5.抵押净值"),"——")</f>
        <v>——</v>
      </c>
      <c r="F111" s="3695"/>
      <c r="G111" s="1827" t="s">
        <v>1431</v>
      </c>
      <c r="H111" s="2593" t="str">
        <f>IF(E111="——","——",N59)</f>
        <v>——</v>
      </c>
      <c r="I111" s="129"/>
    </row>
    <row r="112" spans="1:35" ht="18.75" customHeight="1" thickBot="1">
      <c r="A112" s="129"/>
      <c r="B112" s="129"/>
      <c r="C112" s="129"/>
      <c r="D112" s="129"/>
      <c r="E112" s="3726"/>
      <c r="F112" s="3727"/>
      <c r="G112" s="1830" t="s">
        <v>1433</v>
      </c>
      <c r="H112" s="2597" t="str">
        <f>IF(E111="——","——",N61)</f>
        <v>——</v>
      </c>
      <c r="I112" s="129"/>
    </row>
    <row r="113" spans="1:27" ht="18.75" customHeight="1">
      <c r="A113" s="129"/>
      <c r="B113" s="129"/>
      <c r="C113" s="129"/>
      <c r="D113" s="129"/>
      <c r="E113" s="3698" t="s">
        <v>1439</v>
      </c>
      <c r="F113" s="3698"/>
      <c r="G113" s="3698"/>
      <c r="H113" s="3698"/>
      <c r="I113" s="129"/>
    </row>
    <row r="114" spans="1:27" ht="3.75" customHeight="1">
      <c r="A114" s="1747"/>
      <c r="B114" s="1747"/>
      <c r="C114" s="1747"/>
      <c r="D114" s="1747"/>
      <c r="E114" s="1809"/>
      <c r="F114" s="1809"/>
      <c r="G114" s="1809"/>
      <c r="H114" s="1809"/>
      <c r="I114" s="1747"/>
    </row>
    <row r="115" spans="1:27" ht="18.75" customHeight="1">
      <c r="A115" s="3708" t="s">
        <v>1441</v>
      </c>
      <c r="B115" s="3709"/>
      <c r="C115" s="3709"/>
      <c r="D115" s="3709"/>
      <c r="E115" s="3709"/>
      <c r="F115" s="3709"/>
      <c r="G115" s="3709"/>
      <c r="H115" s="3709"/>
      <c r="I115" s="3710"/>
    </row>
    <row r="116" spans="1:27" ht="27" customHeight="1">
      <c r="A116" s="3664" t="s">
        <v>1442</v>
      </c>
      <c r="B116" s="3699" t="s">
        <v>1443</v>
      </c>
      <c r="C116" s="3699" t="s">
        <v>1444</v>
      </c>
      <c r="D116" s="3712" t="s">
        <v>1445</v>
      </c>
      <c r="E116" s="3713"/>
      <c r="F116" s="3707" t="s">
        <v>1446</v>
      </c>
      <c r="G116" s="3707"/>
      <c r="H116" s="3664" t="s">
        <v>1447</v>
      </c>
      <c r="I116" s="3664"/>
    </row>
    <row r="117" spans="1:27" ht="18.75" customHeight="1">
      <c r="A117" s="3664"/>
      <c r="B117" s="3700"/>
      <c r="C117" s="3700"/>
      <c r="D117" s="2329" t="s">
        <v>1448</v>
      </c>
      <c r="E117" s="2329" t="s">
        <v>1449</v>
      </c>
      <c r="F117" s="2329" t="s">
        <v>1448</v>
      </c>
      <c r="G117" s="2329" t="s">
        <v>1450</v>
      </c>
      <c r="H117" s="2329" t="s">
        <v>1448</v>
      </c>
      <c r="I117" s="2329" t="s">
        <v>1450</v>
      </c>
    </row>
    <row r="118" spans="1:27" ht="24.75" customHeight="1">
      <c r="A118" s="2598" t="str">
        <f>项目基本情况!S2</f>
        <v>北京市朝阳区望京东路4号院1号楼房地产</v>
      </c>
      <c r="B118" s="2329">
        <f>M18</f>
        <v>55858.869999999981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180489</v>
      </c>
      <c r="I118" s="2329">
        <f ca="1">ROUND(IF(D32="楼面单价",C32,H118*10000/B118),0)</f>
        <v>32312</v>
      </c>
    </row>
    <row r="119" spans="1:27" ht="18.75" customHeight="1">
      <c r="A119" s="3664" t="s">
        <v>1451</v>
      </c>
      <c r="B119" s="3664"/>
      <c r="C119" s="3664"/>
      <c r="D119" s="3704" t="e">
        <f ca="1">NUMBERSTRING(INT(D118*10000),2)&amp;"元整"</f>
        <v>#REF!</v>
      </c>
      <c r="E119" s="3706"/>
      <c r="F119" s="3704" t="e">
        <f ca="1">NUMBERSTRING(INT(F118*10000),2)&amp;"元整"</f>
        <v>#REF!</v>
      </c>
      <c r="G119" s="3706"/>
      <c r="H119" s="3704" t="str">
        <f ca="1">NUMBERSTRING(INT(H118*10000),2)&amp;"元整"</f>
        <v>壹拾捌亿零肆佰捌拾玖万元整</v>
      </c>
      <c r="I119" s="3706"/>
    </row>
    <row r="120" spans="1:27" ht="18.75" customHeight="1">
      <c r="A120" s="3728" t="str">
        <f>IF(项目基本情况!B9="房地产市场价值","",MID(E103,3,LEN(E103)-2))</f>
        <v>估价师知悉的法定优先受偿款</v>
      </c>
      <c r="B120" s="3729"/>
      <c r="C120" s="3730"/>
      <c r="D120" s="3728">
        <f>H103</f>
        <v>0</v>
      </c>
      <c r="E120" s="3729"/>
      <c r="F120" s="3729"/>
      <c r="G120" s="3729"/>
      <c r="H120" s="3729"/>
      <c r="I120" s="37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04" t="s">
        <v>1451</v>
      </c>
      <c r="B121" s="3705"/>
      <c r="C121" s="3706"/>
      <c r="D121" s="3704" t="str">
        <f>IF(D120=0,"零元整",NUMBERSTRING(INT(D120*10000),2)&amp;"元整")</f>
        <v>零元整</v>
      </c>
      <c r="E121" s="3705"/>
      <c r="F121" s="3705"/>
      <c r="G121" s="3705"/>
      <c r="H121" s="3705"/>
      <c r="I121" s="3706"/>
      <c r="AA121" s="725"/>
    </row>
    <row r="122" spans="1:27" ht="18.75" customHeight="1">
      <c r="A122" s="3695" t="str">
        <f>IF(项目基本情况!B9="房地产市场价值","",MID(E107,3,LEN(E107)-2))</f>
        <v>房地产抵押价值</v>
      </c>
      <c r="B122" s="3695"/>
      <c r="C122" s="3695"/>
      <c r="D122" s="3728">
        <f ca="1">H107</f>
        <v>180489</v>
      </c>
      <c r="E122" s="3729"/>
      <c r="F122" s="3729"/>
      <c r="G122" s="3729"/>
      <c r="H122" s="3729"/>
      <c r="I122" s="3730"/>
      <c r="AA122" s="725"/>
    </row>
    <row r="123" spans="1:27" ht="18.75" customHeight="1">
      <c r="A123" s="3664" t="s">
        <v>1451</v>
      </c>
      <c r="B123" s="3664"/>
      <c r="C123" s="3664"/>
      <c r="D123" s="3704" t="str">
        <f ca="1">NUMBERSTRING(INT(D122*10000),2)&amp;"元整"</f>
        <v>壹拾捌亿零肆佰捌拾玖万元整</v>
      </c>
      <c r="E123" s="3705"/>
      <c r="F123" s="3705"/>
      <c r="G123" s="3705"/>
      <c r="H123" s="3705"/>
      <c r="I123" s="3706"/>
      <c r="AA123" s="725"/>
    </row>
    <row r="124" spans="1:27" ht="18.75" customHeight="1">
      <c r="A124" s="3695" t="str">
        <f>IF(项目基本情况!B9="房地产市场价值","",MID(E109,3,LEN(E109)-2))</f>
        <v/>
      </c>
      <c r="B124" s="3695"/>
      <c r="C124" s="3695"/>
      <c r="D124" s="3728" t="str">
        <f>H109</f>
        <v>——</v>
      </c>
      <c r="E124" s="3729"/>
      <c r="F124" s="3729"/>
      <c r="G124" s="3729"/>
      <c r="H124" s="3729"/>
      <c r="I124" s="3730"/>
      <c r="AA124" s="725"/>
    </row>
    <row r="125" spans="1:27" ht="18.75" customHeight="1">
      <c r="A125" s="3664" t="s">
        <v>1451</v>
      </c>
      <c r="B125" s="3664"/>
      <c r="C125" s="3664"/>
      <c r="D125" s="3704" t="e">
        <f>NUMBERSTRING(INT(D124*10000),2)&amp;"元整"</f>
        <v>#VALUE!</v>
      </c>
      <c r="E125" s="3705"/>
      <c r="F125" s="3705"/>
      <c r="G125" s="3705"/>
      <c r="H125" s="3705"/>
      <c r="I125" s="3706"/>
      <c r="AA125" s="725"/>
    </row>
    <row r="126" spans="1:27" ht="18.75" customHeight="1">
      <c r="A126" s="3695" t="str">
        <f>IF(项目基本情况!B9="房地产市场价值","",MID(E111,3,LEN(E111)-2))</f>
        <v/>
      </c>
      <c r="B126" s="3695"/>
      <c r="C126" s="3695"/>
      <c r="D126" s="3728" t="str">
        <f>H111</f>
        <v>——</v>
      </c>
      <c r="E126" s="3729"/>
      <c r="F126" s="3729"/>
      <c r="G126" s="3729"/>
      <c r="H126" s="3729"/>
      <c r="I126" s="3730"/>
      <c r="AA126" s="725"/>
    </row>
    <row r="127" spans="1:27" ht="18.75" customHeight="1">
      <c r="A127" s="3664" t="s">
        <v>1451</v>
      </c>
      <c r="B127" s="3664"/>
      <c r="C127" s="3664"/>
      <c r="D127" s="3704" t="e">
        <f>NUMBERSTRING(INT(D126*10000),2)&amp;"元整"</f>
        <v>#VALUE!</v>
      </c>
      <c r="E127" s="3705"/>
      <c r="F127" s="3705"/>
      <c r="G127" s="3705"/>
      <c r="H127" s="3705"/>
      <c r="I127" s="3706"/>
      <c r="AA127" s="725"/>
    </row>
    <row r="128" spans="1:27" ht="21.75" customHeight="1">
      <c r="A128" s="3711" t="s">
        <v>1452</v>
      </c>
      <c r="B128" s="3711"/>
      <c r="C128" s="3711"/>
      <c r="D128" s="3711"/>
      <c r="E128" s="3711"/>
      <c r="F128" s="3711"/>
      <c r="G128" s="3711"/>
      <c r="H128" s="3711"/>
      <c r="I128" s="371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60" t="str">
        <f>项目基本情况!B1</f>
        <v>北京市朝阳区望京东路4号院1号楼房地产抵押价值预评估</v>
      </c>
      <c r="C37" s="3560"/>
      <c r="D37" s="3560"/>
      <c r="E37" s="3560"/>
      <c r="F37" s="3560"/>
      <c r="G37" s="3560"/>
      <c r="H37" s="3560"/>
      <c r="I37" s="35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K132"/>
  <sheetViews>
    <sheetView view="pageBreakPreview" zoomScale="80" zoomScaleNormal="70" zoomScaleSheetLayoutView="80" workbookViewId="0">
      <selection activeCell="N43" sqref="N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1.375" style="357" customWidth="1"/>
    <col min="38" max="16384" width="9" style="357"/>
  </cols>
  <sheetData>
    <row r="1" spans="1:29" s="1233" customFormat="1" ht="28.5" customHeight="1" thickBot="1">
      <c r="A1" s="1222" t="s">
        <v>1659</v>
      </c>
      <c r="B1" s="1957" t="s">
        <v>1809</v>
      </c>
      <c r="C1" s="1224" t="s">
        <v>1661</v>
      </c>
      <c r="D1" s="1225" t="s">
        <v>3492</v>
      </c>
      <c r="E1" s="3431" t="s">
        <v>3922</v>
      </c>
      <c r="F1" s="1879" t="s">
        <v>3923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191060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34204</v>
      </c>
      <c r="C3" s="354" t="s">
        <v>1767</v>
      </c>
      <c r="D3" s="353">
        <f>IF(D1="",'数据-汇总表'!E3,SUMIF('数据-汇总表'!$C19:$C33,D1,'数据-汇总表'!$E19:$E33))</f>
        <v>55858.869999999981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62" t="s">
        <v>1769</v>
      </c>
      <c r="D4" s="3763"/>
      <c r="E4" s="3764" t="s">
        <v>1770</v>
      </c>
      <c r="F4" s="3765"/>
      <c r="G4" s="3762" t="s">
        <v>1771</v>
      </c>
      <c r="H4" s="3763"/>
      <c r="I4" s="3762" t="s">
        <v>1772</v>
      </c>
      <c r="J4" s="3763"/>
      <c r="K4" s="559" t="s">
        <v>1773</v>
      </c>
      <c r="L4" s="2713"/>
      <c r="M4" s="2714"/>
      <c r="N4" s="2714"/>
      <c r="O4" s="2714"/>
      <c r="P4" s="3766" t="s">
        <v>1774</v>
      </c>
      <c r="Q4" s="3767"/>
      <c r="R4" s="3772" t="s">
        <v>1770</v>
      </c>
      <c r="S4" s="3773"/>
      <c r="T4" s="3772" t="s">
        <v>1771</v>
      </c>
      <c r="U4" s="3773"/>
      <c r="V4" s="3778" t="s">
        <v>1772</v>
      </c>
      <c r="W4" s="3778"/>
      <c r="X4" s="1958"/>
      <c r="Y4" s="3772" t="s">
        <v>1774</v>
      </c>
      <c r="Z4" s="3773"/>
      <c r="AA4" s="3790" t="s">
        <v>1770</v>
      </c>
      <c r="AB4" s="3790" t="s">
        <v>1771</v>
      </c>
      <c r="AC4" s="3759" t="s">
        <v>1772</v>
      </c>
    </row>
    <row r="5" spans="1:29" ht="15">
      <c r="A5" s="358"/>
      <c r="B5" s="359"/>
      <c r="C5" s="3782" t="s">
        <v>1672</v>
      </c>
      <c r="D5" s="3783"/>
      <c r="E5" s="3793" t="s">
        <v>3504</v>
      </c>
      <c r="F5" s="3794"/>
      <c r="G5" s="3782" t="s">
        <v>3505</v>
      </c>
      <c r="H5" s="3783"/>
      <c r="I5" s="3782" t="s">
        <v>3506</v>
      </c>
      <c r="J5" s="3783"/>
      <c r="K5" s="559"/>
      <c r="L5" s="2713"/>
      <c r="M5" s="2714"/>
      <c r="N5" s="2714"/>
      <c r="O5" s="2714"/>
      <c r="P5" s="3768"/>
      <c r="Q5" s="3769"/>
      <c r="R5" s="3774"/>
      <c r="S5" s="3775"/>
      <c r="T5" s="3774"/>
      <c r="U5" s="3775"/>
      <c r="V5" s="3779"/>
      <c r="W5" s="3779"/>
      <c r="X5" s="1355"/>
      <c r="Y5" s="3774"/>
      <c r="Z5" s="3775"/>
      <c r="AA5" s="3791"/>
      <c r="AB5" s="3791"/>
      <c r="AC5" s="3760"/>
    </row>
    <row r="6" spans="1:29" ht="15.75" thickBot="1">
      <c r="A6" s="360"/>
      <c r="B6" s="361"/>
      <c r="C6" s="3780" t="s">
        <v>1676</v>
      </c>
      <c r="D6" s="3781"/>
      <c r="E6" s="3788" t="s">
        <v>1676</v>
      </c>
      <c r="F6" s="3789"/>
      <c r="G6" s="3780" t="s">
        <v>1676</v>
      </c>
      <c r="H6" s="3781"/>
      <c r="I6" s="3780" t="s">
        <v>1676</v>
      </c>
      <c r="J6" s="3781"/>
      <c r="K6" s="559" t="s">
        <v>1677</v>
      </c>
      <c r="L6" s="2713"/>
      <c r="M6" s="2714"/>
      <c r="N6" s="2714"/>
      <c r="O6" s="2714"/>
      <c r="P6" s="3770"/>
      <c r="Q6" s="3771"/>
      <c r="R6" s="3774"/>
      <c r="S6" s="3775"/>
      <c r="T6" s="3776"/>
      <c r="U6" s="3777"/>
      <c r="V6" s="3779"/>
      <c r="W6" s="3779"/>
      <c r="X6" s="1355"/>
      <c r="Y6" s="3776"/>
      <c r="Z6" s="3777"/>
      <c r="AA6" s="3792"/>
      <c r="AB6" s="3792"/>
      <c r="AC6" s="3761"/>
    </row>
    <row r="7" spans="1:29" s="108" customFormat="1" ht="15.75" thickBot="1">
      <c r="A7" s="362" t="s">
        <v>1678</v>
      </c>
      <c r="B7" s="363"/>
      <c r="C7" s="364">
        <f>'数据-取费表'!B2</f>
        <v>45587</v>
      </c>
      <c r="D7" s="365">
        <v>100</v>
      </c>
      <c r="E7" s="366">
        <v>45139</v>
      </c>
      <c r="F7" s="367">
        <f>SUMIF(59:59,YEAR(E7)&amp;"-"&amp;MONTH(E7),60:60)</f>
        <v>100</v>
      </c>
      <c r="G7" s="366">
        <v>45041</v>
      </c>
      <c r="H7" s="365">
        <f>SUMIF(59:59,YEAR(G7)&amp;"-"&amp;MONTH(G7),60:60)</f>
        <v>100</v>
      </c>
      <c r="I7" s="366">
        <v>44531</v>
      </c>
      <c r="J7" s="365">
        <f>SUMIF(59:59,YEAR(I7)&amp;"-"&amp;MONTH(I7),60:60)</f>
        <v>100</v>
      </c>
      <c r="K7" s="560"/>
      <c r="L7" s="2715"/>
      <c r="M7" s="2716"/>
      <c r="N7" s="2716"/>
      <c r="O7" s="2716"/>
      <c r="P7" s="3784" t="s">
        <v>1679</v>
      </c>
      <c r="Q7" s="3787"/>
      <c r="R7" s="701" t="s">
        <v>14</v>
      </c>
      <c r="S7" s="702">
        <f t="shared" ref="S7:S15" si="0">F7</f>
        <v>100</v>
      </c>
      <c r="T7" s="701" t="s">
        <v>14</v>
      </c>
      <c r="U7" s="702">
        <f t="shared" ref="U7:U15" si="1">H7</f>
        <v>100</v>
      </c>
      <c r="V7" s="701" t="s">
        <v>14</v>
      </c>
      <c r="W7" s="702">
        <f t="shared" ref="W7:W15" si="2">J7</f>
        <v>100</v>
      </c>
      <c r="X7" s="703"/>
      <c r="Y7" s="3786" t="s">
        <v>1679</v>
      </c>
      <c r="Z7" s="3785"/>
      <c r="AA7" s="704">
        <f>D7/F7</f>
        <v>1</v>
      </c>
      <c r="AB7" s="704">
        <f>D7/H7</f>
        <v>1</v>
      </c>
      <c r="AC7" s="1959">
        <f>D7/J7</f>
        <v>1</v>
      </c>
    </row>
    <row r="8" spans="1:29" s="108" customFormat="1" ht="15.75" thickBot="1">
      <c r="A8" s="362" t="s">
        <v>1680</v>
      </c>
      <c r="B8" s="363"/>
      <c r="C8" s="368" t="s">
        <v>3507</v>
      </c>
      <c r="D8" s="365">
        <v>100</v>
      </c>
      <c r="E8" s="368" t="s">
        <v>3507</v>
      </c>
      <c r="F8" s="367">
        <f>SUMIF(62:62,E8,63:63)-SUMIF(62:62,C8,63:63)+100</f>
        <v>100</v>
      </c>
      <c r="G8" s="368" t="s">
        <v>3507</v>
      </c>
      <c r="H8" s="365">
        <f>SUMIF(62:62,G8,63:63)-SUMIF(62:62,C8,63:63)+100</f>
        <v>100</v>
      </c>
      <c r="I8" s="368" t="s">
        <v>3507</v>
      </c>
      <c r="J8" s="365">
        <f>SUMIF(62:62,I8,63:63)-SUMIF(62:62,C8,63:63)+100</f>
        <v>100</v>
      </c>
      <c r="K8" s="560"/>
      <c r="L8" s="2715"/>
      <c r="M8" s="2716"/>
      <c r="N8" s="2716"/>
      <c r="O8" s="2716"/>
      <c r="P8" s="3784" t="s">
        <v>1682</v>
      </c>
      <c r="Q8" s="3785"/>
      <c r="R8" s="701" t="s">
        <v>14</v>
      </c>
      <c r="S8" s="702">
        <f t="shared" si="0"/>
        <v>100</v>
      </c>
      <c r="T8" s="701" t="s">
        <v>14</v>
      </c>
      <c r="U8" s="702">
        <f t="shared" si="1"/>
        <v>100</v>
      </c>
      <c r="V8" s="701" t="s">
        <v>14</v>
      </c>
      <c r="W8" s="702">
        <f t="shared" si="2"/>
        <v>100</v>
      </c>
      <c r="X8" s="703"/>
      <c r="Y8" s="3786" t="s">
        <v>1682</v>
      </c>
      <c r="Z8" s="3785"/>
      <c r="AA8" s="704">
        <f t="shared" ref="AA8:AA47" si="3">D8/F8</f>
        <v>1</v>
      </c>
      <c r="AB8" s="704">
        <f t="shared" ref="AB8:AB47" si="4">D8/H8</f>
        <v>1</v>
      </c>
      <c r="AC8" s="1959">
        <f t="shared" ref="AC8:AC47" si="5">D8/J8</f>
        <v>1</v>
      </c>
    </row>
    <row r="9" spans="1:29" s="108" customFormat="1">
      <c r="A9" s="369" t="s">
        <v>1683</v>
      </c>
      <c r="B9" s="63" t="s">
        <v>1684</v>
      </c>
      <c r="C9" s="3526" t="s">
        <v>3920</v>
      </c>
      <c r="D9" s="126">
        <v>100</v>
      </c>
      <c r="E9" s="373" t="s">
        <v>3508</v>
      </c>
      <c r="F9" s="126">
        <f>SUMIF(64:64,E9,65:65)-SUMIF(64:64,C9,65:65)+100</f>
        <v>100</v>
      </c>
      <c r="G9" s="371" t="s">
        <v>3508</v>
      </c>
      <c r="H9" s="126">
        <f>SUMIF(64:64,G9,65:65)-SUMIF(64:64,C9,65:65)+100</f>
        <v>100</v>
      </c>
      <c r="I9" s="371" t="s">
        <v>3508</v>
      </c>
      <c r="J9" s="126">
        <f>SUMIF(64:64,I9,65:65)-SUMIF(64:64,C9,65:65)+100</f>
        <v>100</v>
      </c>
      <c r="K9" s="560"/>
      <c r="L9" s="2715"/>
      <c r="M9" s="2716"/>
      <c r="N9" s="2716"/>
      <c r="O9" s="2716"/>
      <c r="P9" s="3744" t="s">
        <v>1685</v>
      </c>
      <c r="Q9" s="1343"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1959">
        <f t="shared" si="5"/>
        <v>1</v>
      </c>
    </row>
    <row r="10" spans="1:29" s="378" customFormat="1" ht="27">
      <c r="A10" s="374"/>
      <c r="B10" s="375" t="s">
        <v>1687</v>
      </c>
      <c r="C10" s="3432" t="s">
        <v>3921</v>
      </c>
      <c r="D10" s="127">
        <v>100</v>
      </c>
      <c r="E10" s="3432" t="s">
        <v>3509</v>
      </c>
      <c r="F10" s="127">
        <f>SUMIF(66:66,E10,67:67)-SUMIF(66:66,C10,67:67)+100</f>
        <v>100</v>
      </c>
      <c r="G10" s="3433" t="s">
        <v>3515</v>
      </c>
      <c r="H10" s="127">
        <f>SUMIF(66:66,G10,67:67)-SUMIF(66:66,C10,67:67)+100</f>
        <v>103</v>
      </c>
      <c r="I10" s="3432" t="s">
        <v>3515</v>
      </c>
      <c r="J10" s="127">
        <f>SUMIF(66:66,I10,67:67)-SUMIF(66:66,C10,67:67)+100</f>
        <v>103</v>
      </c>
      <c r="K10" s="560"/>
      <c r="L10" s="2717"/>
      <c r="M10" s="2718"/>
      <c r="N10" s="2718"/>
      <c r="O10" s="2718"/>
      <c r="P10" s="3744"/>
      <c r="Q10" s="1343" t="str">
        <f t="shared" si="6"/>
        <v>土地使用年限（年）</v>
      </c>
      <c r="R10" s="701" t="s">
        <v>14</v>
      </c>
      <c r="S10" s="702">
        <f t="shared" si="0"/>
        <v>100</v>
      </c>
      <c r="T10" s="701" t="s">
        <v>14</v>
      </c>
      <c r="U10" s="702">
        <f t="shared" si="1"/>
        <v>103</v>
      </c>
      <c r="V10" s="701" t="s">
        <v>14</v>
      </c>
      <c r="W10" s="702">
        <f t="shared" si="2"/>
        <v>103</v>
      </c>
      <c r="X10" s="703"/>
      <c r="Y10" s="3651"/>
      <c r="Z10" s="52" t="str">
        <f t="shared" si="7"/>
        <v>土地使用年限（年）</v>
      </c>
      <c r="AA10" s="704">
        <f t="shared" si="3"/>
        <v>1</v>
      </c>
      <c r="AB10" s="704">
        <f t="shared" si="4"/>
        <v>0.970873786407767</v>
      </c>
      <c r="AC10" s="1959">
        <f t="shared" si="5"/>
        <v>0.970873786407767</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4"/>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95" t="s">
        <v>3510</v>
      </c>
      <c r="F15" s="392">
        <f>SUMIF(77:77,E16,78:78)-SUMIF(77:77,C16,78:78)+100</f>
        <v>95</v>
      </c>
      <c r="G15" s="393" t="s">
        <v>3510</v>
      </c>
      <c r="H15" s="392">
        <f>SUMIF(77:77,G16,78:78)-SUMIF(77:77,C16,78:78)+100</f>
        <v>95</v>
      </c>
      <c r="I15" s="393" t="s">
        <v>3510</v>
      </c>
      <c r="J15" s="392">
        <f>SUMIF(77:77,I16,78:78)-SUMIF(77:77,C16,78:78)+100</f>
        <v>95</v>
      </c>
      <c r="K15" s="563">
        <v>5</v>
      </c>
      <c r="L15" s="2720"/>
      <c r="M15" s="2714"/>
      <c r="N15" s="2714"/>
      <c r="O15" s="2714"/>
      <c r="P15" s="3750" t="s">
        <v>1690</v>
      </c>
      <c r="Q15" s="1352" t="str">
        <f t="shared" si="6"/>
        <v>办公集聚程度</v>
      </c>
      <c r="R15" s="705" t="s">
        <v>14</v>
      </c>
      <c r="S15" s="706">
        <f t="shared" si="0"/>
        <v>95</v>
      </c>
      <c r="T15" s="705" t="s">
        <v>14</v>
      </c>
      <c r="U15" s="706">
        <f t="shared" si="1"/>
        <v>95</v>
      </c>
      <c r="V15" s="705" t="s">
        <v>14</v>
      </c>
      <c r="W15" s="706">
        <f t="shared" si="2"/>
        <v>95</v>
      </c>
      <c r="X15" s="1355"/>
      <c r="Y15" s="3752" t="s">
        <v>1690</v>
      </c>
      <c r="Z15" s="1356" t="str">
        <f t="shared" si="7"/>
        <v>办公集聚程度</v>
      </c>
      <c r="AA15" s="1353">
        <f t="shared" si="3"/>
        <v>1.0526315789473684</v>
      </c>
      <c r="AB15" s="1353">
        <f t="shared" si="4"/>
        <v>1.0526315789473684</v>
      </c>
      <c r="AC15" s="1962">
        <f t="shared" si="5"/>
        <v>1.0526315789473684</v>
      </c>
    </row>
    <row r="16" spans="1:29" ht="15">
      <c r="A16" s="379"/>
      <c r="B16" s="578"/>
      <c r="C16" s="1904" t="s">
        <v>3498</v>
      </c>
      <c r="D16" s="399"/>
      <c r="E16" s="398" t="s">
        <v>3510</v>
      </c>
      <c r="F16" s="399"/>
      <c r="G16" s="1904" t="s">
        <v>3510</v>
      </c>
      <c r="H16" s="401"/>
      <c r="I16" s="398" t="s">
        <v>3510</v>
      </c>
      <c r="J16" s="399"/>
      <c r="K16" s="564"/>
      <c r="L16" s="2720"/>
      <c r="M16" s="2714"/>
      <c r="N16" s="2714"/>
      <c r="O16" s="2714"/>
      <c r="P16" s="3751"/>
      <c r="Q16" s="1352"/>
      <c r="R16" s="705"/>
      <c r="S16" s="706"/>
      <c r="T16" s="705"/>
      <c r="U16" s="706"/>
      <c r="V16" s="705"/>
      <c r="W16" s="706"/>
      <c r="X16" s="1355"/>
      <c r="Y16" s="3753"/>
      <c r="Z16" s="1356"/>
      <c r="AA16" s="1353">
        <v>1</v>
      </c>
      <c r="AB16" s="1353">
        <v>1</v>
      </c>
      <c r="AC16" s="1962">
        <v>1</v>
      </c>
    </row>
    <row r="17" spans="1:29" ht="15">
      <c r="A17" s="379"/>
      <c r="B17" s="579" t="s">
        <v>1258</v>
      </c>
      <c r="C17" s="1963" t="str">
        <f>估价对象房地状况!C6</f>
        <v>较好</v>
      </c>
      <c r="D17" s="401">
        <v>100</v>
      </c>
      <c r="E17" s="405" t="s">
        <v>3498</v>
      </c>
      <c r="F17" s="401">
        <f>SUMIF(79:79,E18,80:80)-SUMIF(79:79,C18,80:80)+100</f>
        <v>100</v>
      </c>
      <c r="G17" s="403" t="s">
        <v>3498</v>
      </c>
      <c r="H17" s="406">
        <f>SUMIF(79:79,G18,80:80)-SUMIF(79:79,C18,80:80)+100</f>
        <v>100</v>
      </c>
      <c r="I17" s="403" t="s">
        <v>3498</v>
      </c>
      <c r="J17" s="406">
        <f>SUMIF(79:79,I18,80:80)-SUMIF(79:79,C18,80:80)+100</f>
        <v>100</v>
      </c>
      <c r="K17" s="563">
        <v>2</v>
      </c>
      <c r="L17" s="2720"/>
      <c r="M17" s="2714"/>
      <c r="N17" s="2714"/>
      <c r="O17" s="2714"/>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962">
        <f t="shared" si="5"/>
        <v>1</v>
      </c>
    </row>
    <row r="18" spans="1:29" ht="15">
      <c r="A18" s="379"/>
      <c r="B18" s="580"/>
      <c r="C18" s="1964" t="s">
        <v>3498</v>
      </c>
      <c r="D18" s="401"/>
      <c r="E18" s="1902" t="s">
        <v>3498</v>
      </c>
      <c r="F18" s="401"/>
      <c r="G18" s="1903" t="s">
        <v>3498</v>
      </c>
      <c r="H18" s="399"/>
      <c r="I18" s="1903" t="s">
        <v>3498</v>
      </c>
      <c r="J18" s="399"/>
      <c r="K18" s="564"/>
      <c r="L18" s="2720"/>
      <c r="M18" s="2714"/>
      <c r="N18" s="2714"/>
      <c r="O18" s="2714"/>
      <c r="P18" s="3751"/>
      <c r="Q18" s="1352"/>
      <c r="R18" s="705"/>
      <c r="S18" s="706"/>
      <c r="T18" s="705"/>
      <c r="U18" s="706"/>
      <c r="V18" s="705"/>
      <c r="W18" s="706"/>
      <c r="X18" s="1355"/>
      <c r="Y18" s="3753"/>
      <c r="Z18" s="1356"/>
      <c r="AA18" s="1353">
        <v>1</v>
      </c>
      <c r="AB18" s="1353">
        <v>1</v>
      </c>
      <c r="AC18" s="1962">
        <v>1</v>
      </c>
    </row>
    <row r="19" spans="1:29" ht="15">
      <c r="A19" s="379"/>
      <c r="B19" s="579" t="s">
        <v>1811</v>
      </c>
      <c r="C19" s="1963" t="str">
        <f>估价对象房地状况!C7</f>
        <v>较好</v>
      </c>
      <c r="D19" s="406">
        <v>100</v>
      </c>
      <c r="E19" s="410" t="s">
        <v>3498</v>
      </c>
      <c r="F19" s="406">
        <f>SUMIF(81:81,E20,82:82)-SUMIF(81:81,C20,82:82)+100</f>
        <v>100</v>
      </c>
      <c r="G19" s="408" t="s">
        <v>3498</v>
      </c>
      <c r="H19" s="401">
        <f>SUMIF(81:81,G20,82:82)-SUMIF(81:81,C20,82:82)+100</f>
        <v>100</v>
      </c>
      <c r="I19" s="408" t="s">
        <v>3498</v>
      </c>
      <c r="J19" s="401">
        <f>SUMIF(81:81,I20,82:82)-SUMIF(81:81,C20,82:82)+100</f>
        <v>100</v>
      </c>
      <c r="K19" s="563">
        <v>2</v>
      </c>
      <c r="L19" s="2720"/>
      <c r="M19" s="2714"/>
      <c r="N19" s="2714"/>
      <c r="O19" s="2714"/>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2">
        <f t="shared" si="5"/>
        <v>1</v>
      </c>
    </row>
    <row r="20" spans="1:29" ht="15">
      <c r="A20" s="379"/>
      <c r="B20" s="580"/>
      <c r="C20" s="1904" t="s">
        <v>3498</v>
      </c>
      <c r="D20" s="399"/>
      <c r="E20" s="1897" t="s">
        <v>3498</v>
      </c>
      <c r="F20" s="399"/>
      <c r="G20" s="1898" t="s">
        <v>3498</v>
      </c>
      <c r="H20" s="399"/>
      <c r="I20" s="1898" t="s">
        <v>3498</v>
      </c>
      <c r="J20" s="399"/>
      <c r="K20" s="564"/>
      <c r="L20" s="2720"/>
      <c r="M20" s="2714"/>
      <c r="N20" s="2714"/>
      <c r="O20" s="2714"/>
      <c r="P20" s="3751"/>
      <c r="Q20" s="1352"/>
      <c r="R20" s="705"/>
      <c r="S20" s="706"/>
      <c r="T20" s="705"/>
      <c r="U20" s="706"/>
      <c r="V20" s="705"/>
      <c r="W20" s="706"/>
      <c r="X20" s="1355"/>
      <c r="Y20" s="3753"/>
      <c r="Z20" s="1356"/>
      <c r="AA20" s="1353">
        <v>1</v>
      </c>
      <c r="AB20" s="1353">
        <v>1</v>
      </c>
      <c r="AC20" s="1962">
        <v>1</v>
      </c>
    </row>
    <row r="21" spans="1:29" ht="15">
      <c r="A21" s="379"/>
      <c r="B21" s="581" t="s">
        <v>1812</v>
      </c>
      <c r="C21" s="1963" t="str">
        <f>估价对象房地状况!C8</f>
        <v>七通</v>
      </c>
      <c r="D21" s="401">
        <v>100</v>
      </c>
      <c r="E21" s="410" t="s">
        <v>3502</v>
      </c>
      <c r="F21" s="406">
        <f>SUMIF(83:83,E22,84:84)-SUMIF(83:83,C22,84:84)+100</f>
        <v>100</v>
      </c>
      <c r="G21" s="408" t="s">
        <v>3502</v>
      </c>
      <c r="H21" s="401">
        <f>SUMIF(83:83,G22,84:84)-SUMIF(83:83,C22,84:84)+100</f>
        <v>100</v>
      </c>
      <c r="I21" s="408" t="s">
        <v>3502</v>
      </c>
      <c r="J21" s="401">
        <f>SUMIF(83:83,I22,84:84)-SUMIF(83:83,C22,84:84)+100</f>
        <v>100</v>
      </c>
      <c r="K21" s="563">
        <v>1</v>
      </c>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2">
        <f t="shared" ref="AC21" si="10">D21/J21</f>
        <v>1</v>
      </c>
    </row>
    <row r="22" spans="1:29" ht="15">
      <c r="A22" s="379"/>
      <c r="B22" s="581"/>
      <c r="C22" s="1964" t="s">
        <v>3502</v>
      </c>
      <c r="D22" s="399"/>
      <c r="E22" s="398" t="s">
        <v>3502</v>
      </c>
      <c r="F22" s="399"/>
      <c r="G22" s="1904" t="s">
        <v>3502</v>
      </c>
      <c r="H22" s="399"/>
      <c r="I22" s="1904" t="s">
        <v>3502</v>
      </c>
      <c r="J22" s="399"/>
      <c r="K22" s="1130"/>
      <c r="L22" s="2720"/>
      <c r="M22" s="2714"/>
      <c r="N22" s="2714"/>
      <c r="O22" s="2714"/>
      <c r="P22" s="3751"/>
      <c r="Q22" s="1352"/>
      <c r="R22" s="705"/>
      <c r="S22" s="706"/>
      <c r="T22" s="705"/>
      <c r="U22" s="706"/>
      <c r="V22" s="705"/>
      <c r="W22" s="706"/>
      <c r="X22" s="1355"/>
      <c r="Y22" s="3753"/>
      <c r="Z22" s="1356"/>
      <c r="AA22" s="1353">
        <v>1</v>
      </c>
      <c r="AB22" s="1353">
        <v>1</v>
      </c>
      <c r="AC22" s="1962">
        <v>1</v>
      </c>
    </row>
    <row r="23" spans="1:29" ht="15">
      <c r="A23" s="379"/>
      <c r="B23" s="579" t="s">
        <v>1813</v>
      </c>
      <c r="C23" s="1963" t="str">
        <f>估价对象房地状况!C9</f>
        <v>较好</v>
      </c>
      <c r="D23" s="401">
        <v>100</v>
      </c>
      <c r="E23" s="405" t="s">
        <v>3498</v>
      </c>
      <c r="F23" s="401">
        <f>SUMIF(85:85,E24,86:86)-SUMIF(85:85,C24,86:86)+100</f>
        <v>100</v>
      </c>
      <c r="G23" s="403" t="s">
        <v>3498</v>
      </c>
      <c r="H23" s="401">
        <f>SUMIF(85:85,G24,86:86)-SUMIF(85:85,C24,86:86)+100</f>
        <v>100</v>
      </c>
      <c r="I23" s="403" t="s">
        <v>3498</v>
      </c>
      <c r="J23" s="401">
        <f>SUMIF(85:85,I24,86:86)-SUMIF(85:85,C24,86:86)+100</f>
        <v>100</v>
      </c>
      <c r="K23" s="563">
        <v>2</v>
      </c>
      <c r="L23" s="2720"/>
      <c r="M23" s="2714"/>
      <c r="N23" s="2714"/>
      <c r="O23" s="2714"/>
      <c r="P23" s="3751"/>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2">
        <f t="shared" si="5"/>
        <v>1</v>
      </c>
    </row>
    <row r="24" spans="1:29" ht="15.75" thickBot="1">
      <c r="A24" s="379"/>
      <c r="B24" s="581"/>
      <c r="C24" s="1904" t="s">
        <v>3498</v>
      </c>
      <c r="D24" s="399"/>
      <c r="E24" s="1897" t="s">
        <v>3498</v>
      </c>
      <c r="F24" s="399"/>
      <c r="G24" s="1898" t="s">
        <v>3498</v>
      </c>
      <c r="H24" s="399"/>
      <c r="I24" s="1898" t="s">
        <v>3498</v>
      </c>
      <c r="J24" s="399"/>
      <c r="K24" s="564"/>
      <c r="L24" s="2720"/>
      <c r="M24" s="2714"/>
      <c r="N24" s="2714"/>
      <c r="O24" s="2714"/>
      <c r="P24" s="3751"/>
      <c r="Q24" s="1352"/>
      <c r="R24" s="705"/>
      <c r="S24" s="706"/>
      <c r="T24" s="705"/>
      <c r="U24" s="706"/>
      <c r="V24" s="705"/>
      <c r="W24" s="706"/>
      <c r="X24" s="1355"/>
      <c r="Y24" s="3753"/>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51"/>
      <c r="Q25" s="1352" t="str">
        <f>B25</f>
        <v>毗邻道路的类型与等级</v>
      </c>
      <c r="R25" s="705" t="s">
        <v>14</v>
      </c>
      <c r="S25" s="706">
        <f>F25</f>
        <v>100</v>
      </c>
      <c r="T25" s="705" t="s">
        <v>14</v>
      </c>
      <c r="U25" s="706">
        <f>H25</f>
        <v>100</v>
      </c>
      <c r="V25" s="705" t="s">
        <v>14</v>
      </c>
      <c r="W25" s="706">
        <f>J25</f>
        <v>100</v>
      </c>
      <c r="X25" s="1355"/>
      <c r="Y25" s="3753"/>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51"/>
      <c r="Q26" s="1352"/>
      <c r="R26" s="705"/>
      <c r="S26" s="706"/>
      <c r="T26" s="705"/>
      <c r="U26" s="706"/>
      <c r="V26" s="705"/>
      <c r="W26" s="706"/>
      <c r="X26" s="1355"/>
      <c r="Y26" s="3753"/>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1"/>
      <c r="Q27" s="1352" t="str">
        <f t="shared" ref="Q27:Q47" si="11">B27</f>
        <v>楼层</v>
      </c>
      <c r="R27" s="705" t="s">
        <v>14</v>
      </c>
      <c r="S27" s="706">
        <f>F27</f>
        <v>100</v>
      </c>
      <c r="T27" s="705" t="s">
        <v>14</v>
      </c>
      <c r="U27" s="706">
        <f>H27</f>
        <v>100</v>
      </c>
      <c r="V27" s="705" t="s">
        <v>14</v>
      </c>
      <c r="W27" s="706">
        <f>J27</f>
        <v>100</v>
      </c>
      <c r="X27" s="1355"/>
      <c r="Y27" s="3753"/>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51"/>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51"/>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51"/>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20"/>
      <c r="M33" s="2714"/>
      <c r="N33" s="2714"/>
      <c r="O33" s="2714"/>
      <c r="P33" s="3754" t="s">
        <v>1695</v>
      </c>
      <c r="Q33" s="1352" t="str">
        <f t="shared" si="11"/>
        <v>建筑类型</v>
      </c>
      <c r="R33" s="705" t="s">
        <v>14</v>
      </c>
      <c r="S33" s="706">
        <f t="shared" si="12"/>
        <v>100</v>
      </c>
      <c r="T33" s="705" t="s">
        <v>14</v>
      </c>
      <c r="U33" s="706">
        <f t="shared" si="13"/>
        <v>100</v>
      </c>
      <c r="V33" s="705" t="s">
        <v>14</v>
      </c>
      <c r="W33" s="706">
        <f t="shared" si="14"/>
        <v>100</v>
      </c>
      <c r="X33" s="1355"/>
      <c r="Y33" s="3757" t="s">
        <v>1695</v>
      </c>
      <c r="Z33" s="1356" t="str">
        <f t="shared" si="15"/>
        <v>建筑类型</v>
      </c>
      <c r="AA33" s="1353">
        <f t="shared" si="3"/>
        <v>1</v>
      </c>
      <c r="AB33" s="1353">
        <f t="shared" si="4"/>
        <v>1</v>
      </c>
      <c r="AC33" s="1962">
        <f t="shared" si="5"/>
        <v>1</v>
      </c>
    </row>
    <row r="34" spans="1:29" s="422" customFormat="1" ht="15">
      <c r="A34" s="419"/>
      <c r="B34" s="375" t="s">
        <v>1696</v>
      </c>
      <c r="C34" s="420">
        <f>'数据-汇总表'!E3</f>
        <v>55858.869999999981</v>
      </c>
      <c r="D34" s="127">
        <v>100</v>
      </c>
      <c r="E34" s="381">
        <v>20714.13</v>
      </c>
      <c r="F34" s="376">
        <f>LOOKUP(E34,104:104,105:105)-LOOKUP(C34,104:104,105:105)+100</f>
        <v>102</v>
      </c>
      <c r="G34" s="380">
        <v>8905</v>
      </c>
      <c r="H34" s="127">
        <f>LOOKUP(G34,104:104,105:105)-LOOKUP(C34,104:104,105:105)+100</f>
        <v>104</v>
      </c>
      <c r="I34" s="380">
        <v>11235.4</v>
      </c>
      <c r="J34" s="127">
        <f>LOOKUP(I34,104:104,105:105)-LOOKUP(C34,104:104,105:105)+100</f>
        <v>102</v>
      </c>
      <c r="K34" s="562"/>
      <c r="L34" s="2719"/>
      <c r="M34" s="2721"/>
      <c r="N34" s="2721"/>
      <c r="O34" s="2721"/>
      <c r="P34" s="3755"/>
      <c r="Q34" s="707" t="str">
        <f t="shared" si="11"/>
        <v>项目建筑规模</v>
      </c>
      <c r="R34" s="708" t="s">
        <v>14</v>
      </c>
      <c r="S34" s="709">
        <f t="shared" si="12"/>
        <v>102</v>
      </c>
      <c r="T34" s="708" t="s">
        <v>14</v>
      </c>
      <c r="U34" s="709">
        <f t="shared" si="13"/>
        <v>104</v>
      </c>
      <c r="V34" s="708" t="s">
        <v>14</v>
      </c>
      <c r="W34" s="709">
        <f t="shared" si="14"/>
        <v>102</v>
      </c>
      <c r="X34" s="710"/>
      <c r="Y34" s="3757"/>
      <c r="Z34" s="711" t="str">
        <f t="shared" si="15"/>
        <v>项目建筑规模</v>
      </c>
      <c r="AA34" s="1353">
        <f t="shared" si="3"/>
        <v>0.98039215686274506</v>
      </c>
      <c r="AB34" s="1353">
        <f t="shared" si="4"/>
        <v>0.96153846153846156</v>
      </c>
      <c r="AC34" s="1962">
        <f t="shared" si="5"/>
        <v>0.98039215686274506</v>
      </c>
    </row>
    <row r="35" spans="1:29" ht="15">
      <c r="A35" s="423"/>
      <c r="B35" s="375" t="s">
        <v>1697</v>
      </c>
      <c r="C35" s="411" t="s">
        <v>3511</v>
      </c>
      <c r="D35" s="386">
        <v>100</v>
      </c>
      <c r="E35" s="411" t="s">
        <v>3511</v>
      </c>
      <c r="F35" s="412">
        <f>SUMIF(106:106,E35,107:107)-SUMIF(106:106,C35,107:107)+100</f>
        <v>100</v>
      </c>
      <c r="G35" s="411" t="s">
        <v>3511</v>
      </c>
      <c r="H35" s="386">
        <f>SUMIF(106:106,G35,107:107)-SUMIF(106:106,C35,107:107)+100</f>
        <v>100</v>
      </c>
      <c r="I35" s="411" t="s">
        <v>3511</v>
      </c>
      <c r="J35" s="386">
        <f>SUMIF(106:106,I35,107:107)-SUMIF(106:106,C35,107:107)+100</f>
        <v>100</v>
      </c>
      <c r="K35" s="561">
        <v>2</v>
      </c>
      <c r="L35" s="2720"/>
      <c r="M35" s="2714"/>
      <c r="N35" s="2714"/>
      <c r="O35" s="2714"/>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2">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61">
        <v>2</v>
      </c>
      <c r="L36" s="2720"/>
      <c r="M36" s="2714"/>
      <c r="N36" s="2714"/>
      <c r="O36" s="2714"/>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2">
        <f t="shared" si="5"/>
        <v>1</v>
      </c>
    </row>
    <row r="37" spans="1:29" ht="15">
      <c r="A37" s="423"/>
      <c r="B37" s="375" t="s">
        <v>1785</v>
      </c>
      <c r="C37" s="425">
        <f>'数据-取费表'!N6</f>
        <v>0.85</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720"/>
      <c r="M37" s="2714"/>
      <c r="N37" s="2714"/>
      <c r="O37" s="2714"/>
      <c r="P37" s="3755"/>
      <c r="Q37" s="1352" t="str">
        <f t="shared" si="11"/>
        <v>成新度</v>
      </c>
      <c r="R37" s="705" t="s">
        <v>14</v>
      </c>
      <c r="S37" s="706">
        <f t="shared" si="12"/>
        <v>100</v>
      </c>
      <c r="T37" s="705" t="s">
        <v>14</v>
      </c>
      <c r="U37" s="706">
        <f t="shared" si="13"/>
        <v>102</v>
      </c>
      <c r="V37" s="705" t="s">
        <v>14</v>
      </c>
      <c r="W37" s="706">
        <f t="shared" si="14"/>
        <v>102</v>
      </c>
      <c r="X37" s="1355"/>
      <c r="Y37" s="3757"/>
      <c r="Z37" s="1356" t="str">
        <f t="shared" si="15"/>
        <v>成新度</v>
      </c>
      <c r="AA37" s="1353">
        <f t="shared" si="3"/>
        <v>1</v>
      </c>
      <c r="AB37" s="1353">
        <f t="shared" si="4"/>
        <v>0.98039215686274506</v>
      </c>
      <c r="AC37" s="1962">
        <f t="shared" si="5"/>
        <v>0.98039215686274506</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9">
        <f t="shared" si="5"/>
        <v>1</v>
      </c>
    </row>
    <row r="39" spans="1:29" ht="15">
      <c r="A39" s="423"/>
      <c r="B39" s="375" t="s">
        <v>1818</v>
      </c>
      <c r="C39" s="411" t="s">
        <v>3513</v>
      </c>
      <c r="D39" s="386">
        <v>100</v>
      </c>
      <c r="E39" s="411" t="s">
        <v>3513</v>
      </c>
      <c r="F39" s="412">
        <f>SUMIF(115:115,E39,116:116)-SUMIF(115:115,C39,116:116)+100</f>
        <v>100</v>
      </c>
      <c r="G39" s="411" t="s">
        <v>3513</v>
      </c>
      <c r="H39" s="386">
        <f>SUMIF(115:115,G39,116:116)-SUMIF(115:115,C39,116:116)+100</f>
        <v>100</v>
      </c>
      <c r="I39" s="411" t="s">
        <v>3513</v>
      </c>
      <c r="J39" s="386">
        <f>SUMIF(115:115,I39,116:116)-SUMIF(115:115,C39,116:116)+100</f>
        <v>100</v>
      </c>
      <c r="K39" s="561">
        <v>2</v>
      </c>
      <c r="L39" s="2720"/>
      <c r="M39" s="2714"/>
      <c r="N39" s="2714"/>
      <c r="O39" s="2714"/>
      <c r="P39" s="3755" t="s">
        <v>1695</v>
      </c>
      <c r="Q39" s="1352" t="str">
        <f t="shared" si="11"/>
        <v>物业管理</v>
      </c>
      <c r="R39" s="705" t="s">
        <v>14</v>
      </c>
      <c r="S39" s="706">
        <f t="shared" si="12"/>
        <v>100</v>
      </c>
      <c r="T39" s="705" t="s">
        <v>14</v>
      </c>
      <c r="U39" s="706">
        <f t="shared" si="13"/>
        <v>100</v>
      </c>
      <c r="V39" s="705" t="s">
        <v>14</v>
      </c>
      <c r="W39" s="706">
        <f t="shared" si="14"/>
        <v>100</v>
      </c>
      <c r="X39" s="1355"/>
      <c r="Y39" s="3757" t="s">
        <v>1695</v>
      </c>
      <c r="Z39" s="1356" t="str">
        <f t="shared" si="15"/>
        <v>物业管理</v>
      </c>
      <c r="AA39" s="1353">
        <f t="shared" si="3"/>
        <v>1</v>
      </c>
      <c r="AB39" s="1353">
        <f t="shared" si="4"/>
        <v>1</v>
      </c>
      <c r="AC39" s="1962">
        <f t="shared" si="5"/>
        <v>1</v>
      </c>
    </row>
    <row r="40" spans="1:29" ht="15">
      <c r="A40" s="423"/>
      <c r="B40" s="375" t="s">
        <v>1786</v>
      </c>
      <c r="C40" s="411" t="s">
        <v>3993</v>
      </c>
      <c r="D40" s="386">
        <v>100</v>
      </c>
      <c r="E40" s="411" t="s">
        <v>3993</v>
      </c>
      <c r="F40" s="412">
        <f>SUMIF(117:117,E40,118:118)-SUMIF(117:117,C40,118:118)+100</f>
        <v>100</v>
      </c>
      <c r="G40" s="411" t="s">
        <v>3993</v>
      </c>
      <c r="H40" s="386">
        <f>SUMIF(117:117,G40,118:118)-SUMIF(117:117,C40,118:118)+100</f>
        <v>100</v>
      </c>
      <c r="I40" s="411" t="s">
        <v>3993</v>
      </c>
      <c r="J40" s="386">
        <f>SUMIF(117:117,I40,118:118)-SUMIF(117:117,C40,118:118)+100</f>
        <v>100</v>
      </c>
      <c r="K40" s="561">
        <v>1</v>
      </c>
      <c r="L40" s="2720"/>
      <c r="M40" s="2714"/>
      <c r="N40" s="2714"/>
      <c r="O40" s="2714"/>
      <c r="P40" s="3755"/>
      <c r="Q40" s="1352" t="str">
        <f t="shared" si="11"/>
        <v>市政基础设施</v>
      </c>
      <c r="R40" s="705" t="s">
        <v>14</v>
      </c>
      <c r="S40" s="706">
        <f t="shared" si="12"/>
        <v>100</v>
      </c>
      <c r="T40" s="705" t="s">
        <v>14</v>
      </c>
      <c r="U40" s="706">
        <f t="shared" si="13"/>
        <v>100</v>
      </c>
      <c r="V40" s="705" t="s">
        <v>14</v>
      </c>
      <c r="W40" s="706">
        <f t="shared" si="14"/>
        <v>100</v>
      </c>
      <c r="X40" s="1355"/>
      <c r="Y40" s="375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2">
        <f t="shared" si="5"/>
        <v>1</v>
      </c>
    </row>
    <row r="43" spans="1:29" ht="15">
      <c r="A43" s="423"/>
      <c r="B43" s="375" t="s">
        <v>1791</v>
      </c>
      <c r="C43" s="411" t="s">
        <v>3906</v>
      </c>
      <c r="D43" s="386">
        <v>100</v>
      </c>
      <c r="E43" s="411" t="s">
        <v>3514</v>
      </c>
      <c r="F43" s="412">
        <f>SUMIF(123:123,E43,124:124)-SUMIF(123:123,C43,124:124)+100</f>
        <v>98</v>
      </c>
      <c r="G43" s="411" t="s">
        <v>3514</v>
      </c>
      <c r="H43" s="386">
        <f>SUMIF(123:123,G43,124:124)-SUMIF(123:123,C43,124:124)+100</f>
        <v>98</v>
      </c>
      <c r="I43" s="411" t="s">
        <v>3514</v>
      </c>
      <c r="J43" s="386">
        <f>SUMIF(123:123,I43,124:124)-SUMIF(123:123,C43,124:124)+100</f>
        <v>98</v>
      </c>
      <c r="K43" s="561">
        <v>1</v>
      </c>
      <c r="L43" s="2720"/>
      <c r="M43" s="2714"/>
      <c r="N43" s="2714"/>
      <c r="O43" s="2714"/>
      <c r="P43" s="3755"/>
      <c r="Q43" s="1352" t="str">
        <f t="shared" si="11"/>
        <v>内部装修</v>
      </c>
      <c r="R43" s="705" t="s">
        <v>14</v>
      </c>
      <c r="S43" s="706">
        <f t="shared" si="12"/>
        <v>98</v>
      </c>
      <c r="T43" s="705" t="s">
        <v>14</v>
      </c>
      <c r="U43" s="706">
        <f t="shared" si="13"/>
        <v>98</v>
      </c>
      <c r="V43" s="705" t="s">
        <v>14</v>
      </c>
      <c r="W43" s="706">
        <f t="shared" si="14"/>
        <v>98</v>
      </c>
      <c r="X43" s="1355"/>
      <c r="Y43" s="3757"/>
      <c r="Z43" s="1356" t="str">
        <f t="shared" si="15"/>
        <v>内部装修</v>
      </c>
      <c r="AA43" s="1353">
        <f t="shared" si="3"/>
        <v>1.0204081632653061</v>
      </c>
      <c r="AB43" s="1353">
        <f t="shared" si="4"/>
        <v>1.0204081632653061</v>
      </c>
      <c r="AC43" s="1962">
        <f t="shared" si="5"/>
        <v>1.0204081632653061</v>
      </c>
    </row>
    <row r="44" spans="1:29" ht="15">
      <c r="A44" s="423"/>
      <c r="B44" s="375" t="s">
        <v>1706</v>
      </c>
      <c r="C44" s="1906" t="s">
        <v>3498</v>
      </c>
      <c r="D44" s="386">
        <v>100</v>
      </c>
      <c r="E44" s="1906" t="s">
        <v>3498</v>
      </c>
      <c r="F44" s="412">
        <f>SUMIF(125:125,E44,126:126)-SUMIF(125:125,C44,126:126)+100</f>
        <v>100</v>
      </c>
      <c r="G44" s="1906" t="s">
        <v>3498</v>
      </c>
      <c r="H44" s="386">
        <f>SUMIF(125:125,G44,126:126)-SUMIF(125:125,C44,126:126)+100</f>
        <v>100</v>
      </c>
      <c r="I44" s="1906" t="s">
        <v>3498</v>
      </c>
      <c r="J44" s="386">
        <f>SUMIF(125:125,I44,126:126)-SUMIF(125:125,C44,126:126)+100</f>
        <v>100</v>
      </c>
      <c r="K44" s="561">
        <v>2</v>
      </c>
      <c r="L44" s="2720"/>
      <c r="M44" s="2714"/>
      <c r="N44" s="2714"/>
      <c r="O44" s="2714"/>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2">
        <f t="shared" si="5"/>
        <v>1</v>
      </c>
    </row>
    <row r="45" spans="1:29" s="108" customFormat="1" ht="15">
      <c r="A45" s="424"/>
      <c r="B45" s="3456" t="s">
        <v>3516</v>
      </c>
      <c r="C45" s="420">
        <v>0.15</v>
      </c>
      <c r="D45" s="127">
        <v>100</v>
      </c>
      <c r="E45" s="383">
        <v>0</v>
      </c>
      <c r="F45" s="376">
        <f>SUMIF(127:127,E45,128:128)-SUMIF(127:127,C45,128:128)+100</f>
        <v>120</v>
      </c>
      <c r="G45" s="383">
        <v>0</v>
      </c>
      <c r="H45" s="127">
        <f>SUMIF(127:127,G45,128:128)-SUMIF(127:127,C45,128:128)+100</f>
        <v>120</v>
      </c>
      <c r="I45" s="383">
        <v>0</v>
      </c>
      <c r="J45" s="127">
        <f>SUMIF(127:127,I45,128:128)-SUMIF(127:127,C45,128:128)+100</f>
        <v>120</v>
      </c>
      <c r="K45" s="562"/>
      <c r="L45" s="2715"/>
      <c r="M45" s="2716"/>
      <c r="N45" s="2716"/>
      <c r="O45" s="2716"/>
      <c r="P45" s="3755"/>
      <c r="Q45" s="1343" t="str">
        <f t="shared" si="11"/>
        <v>地下占比</v>
      </c>
      <c r="R45" s="701" t="s">
        <v>14</v>
      </c>
      <c r="S45" s="702">
        <f t="shared" si="12"/>
        <v>120</v>
      </c>
      <c r="T45" s="701" t="s">
        <v>14</v>
      </c>
      <c r="U45" s="702">
        <f t="shared" si="13"/>
        <v>120</v>
      </c>
      <c r="V45" s="701" t="s">
        <v>14</v>
      </c>
      <c r="W45" s="702">
        <f t="shared" si="14"/>
        <v>120</v>
      </c>
      <c r="X45" s="703"/>
      <c r="Y45" s="3757"/>
      <c r="Z45" s="52" t="str">
        <f t="shared" si="15"/>
        <v>地下占比</v>
      </c>
      <c r="AA45" s="704">
        <f t="shared" si="3"/>
        <v>0.83333333333333337</v>
      </c>
      <c r="AB45" s="704">
        <f t="shared" si="4"/>
        <v>0.83333333333333337</v>
      </c>
      <c r="AC45" s="1959">
        <f t="shared" si="5"/>
        <v>0.83333333333333337</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2">
        <f t="shared" si="5"/>
        <v>1</v>
      </c>
    </row>
    <row r="48" spans="1:29" ht="15">
      <c r="A48" s="430" t="s">
        <v>1707</v>
      </c>
      <c r="B48" s="431"/>
      <c r="C48" s="1154" t="s">
        <v>0</v>
      </c>
      <c r="D48" s="1155"/>
      <c r="E48" s="1156">
        <f>ROUND(44999.9975861888,0)</f>
        <v>45000</v>
      </c>
      <c r="F48" s="1157"/>
      <c r="G48" s="1158">
        <v>38000</v>
      </c>
      <c r="H48" s="1159"/>
      <c r="I48" s="1156">
        <v>38301</v>
      </c>
      <c r="J48" s="436"/>
      <c r="K48" s="714"/>
      <c r="L48" s="2722"/>
      <c r="M48" s="2714"/>
      <c r="N48" s="2714"/>
      <c r="O48" s="2714"/>
      <c r="P48" s="3744" t="str">
        <f>A48</f>
        <v>成交单价（元/平方米）</v>
      </c>
      <c r="Q48" s="3745"/>
      <c r="R48" s="3746">
        <f>E48</f>
        <v>45000</v>
      </c>
      <c r="S48" s="3746"/>
      <c r="T48" s="3746">
        <f>G48</f>
        <v>38000</v>
      </c>
      <c r="U48" s="3746"/>
      <c r="V48" s="3746">
        <f>I48</f>
        <v>38301</v>
      </c>
      <c r="W48" s="3746"/>
      <c r="X48" s="397"/>
      <c r="Y48" s="712"/>
      <c r="Z48" s="397"/>
      <c r="AA48" s="397"/>
      <c r="AB48" s="397"/>
      <c r="AC48" s="578"/>
    </row>
    <row r="49" spans="1:37" ht="15.75" thickBot="1">
      <c r="A49" s="437" t="s">
        <v>1792</v>
      </c>
      <c r="B49" s="438"/>
      <c r="C49" s="1160">
        <f>R50</f>
        <v>34204</v>
      </c>
      <c r="D49" s="2317" t="s">
        <v>2137</v>
      </c>
      <c r="E49" s="1161">
        <f>R49</f>
        <v>39489</v>
      </c>
      <c r="F49" s="2318"/>
      <c r="G49" s="1160">
        <f>T49</f>
        <v>31130</v>
      </c>
      <c r="H49" s="2318"/>
      <c r="I49" s="1161">
        <f>V49</f>
        <v>31992</v>
      </c>
      <c r="J49" s="2318"/>
      <c r="K49" s="2320">
        <f>F49+H49+J49</f>
        <v>0</v>
      </c>
      <c r="L49" s="2722"/>
      <c r="M49" s="2714"/>
      <c r="N49" s="2714"/>
      <c r="O49" s="2714"/>
      <c r="P49" s="3744" t="str">
        <f>A49</f>
        <v>比较价值（元/平方米）</v>
      </c>
      <c r="Q49" s="3745"/>
      <c r="R49" s="3746">
        <f>IF(F1="售价",ROUND(PRODUCT(R48,AA7:AA47),0),ROUND(PRODUCT(R48,AA7:AA47),1))</f>
        <v>39489</v>
      </c>
      <c r="S49" s="3746"/>
      <c r="T49" s="3746">
        <f>IF(F1="售价",ROUND(PRODUCT(T48,AB7:AB47),0),ROUND(PRODUCT(T48,AB7:AB47),1))</f>
        <v>31130</v>
      </c>
      <c r="U49" s="3746"/>
      <c r="V49" s="3746">
        <f>IF(F1="售价",ROUND(PRODUCT(V48,AC7:AC47),0),ROUND(PRODUCT(V48,AC7:AC47),1))</f>
        <v>31992</v>
      </c>
      <c r="W49" s="3746"/>
      <c r="X49" s="397"/>
      <c r="Y49" s="397"/>
      <c r="Z49" s="397"/>
      <c r="AA49" s="397"/>
      <c r="AB49" s="397"/>
      <c r="AC49" s="578"/>
    </row>
    <row r="50" spans="1:37" ht="15.75" thickBot="1">
      <c r="A50" s="441" t="s">
        <v>1793</v>
      </c>
      <c r="B50" s="442"/>
      <c r="C50" s="1163">
        <f>R50</f>
        <v>34204</v>
      </c>
      <c r="D50" s="1163"/>
      <c r="E50" s="1163"/>
      <c r="F50" s="1163"/>
      <c r="G50" s="1163"/>
      <c r="H50" s="1163"/>
      <c r="I50" s="1163"/>
      <c r="J50" s="443"/>
      <c r="K50" s="715"/>
      <c r="L50" s="2722"/>
      <c r="M50" s="2714"/>
      <c r="N50" s="2714"/>
      <c r="O50" s="2714"/>
      <c r="P50" s="3747" t="str">
        <f>A50</f>
        <v>估价对象XX用房的比较价值（楼面单价，元/平方米）</v>
      </c>
      <c r="Q50" s="3748"/>
      <c r="R50" s="3749">
        <f>IF(F1="售价",ROUND(IF(D49="简单平均",AVERAGE(R49:V49),R49*F49+T49*H49+V49*J49),0),ROUND(IF(D49="简单平均",AVERAGE(R49:V49),R49*F49+T49*H49+V49*J49),1))</f>
        <v>34204</v>
      </c>
      <c r="S50" s="3749"/>
      <c r="T50" s="3749"/>
      <c r="U50" s="3749"/>
      <c r="V50" s="3749"/>
      <c r="W50" s="3749"/>
      <c r="X50" s="1946"/>
      <c r="Y50" s="1946"/>
      <c r="Z50" s="1946"/>
      <c r="AA50" s="1946"/>
      <c r="AB50" s="1946"/>
      <c r="AC50" s="1947"/>
    </row>
    <row r="51" spans="1:37">
      <c r="A51" s="2723"/>
      <c r="B51" s="2723"/>
      <c r="C51" s="3528"/>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37">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37" ht="13.5" customHeight="1">
      <c r="A53" s="2723"/>
      <c r="B53" s="2723"/>
      <c r="C53" s="446" t="s">
        <v>1794</v>
      </c>
      <c r="D53" s="447"/>
      <c r="E53" s="448">
        <f>IF(E48&lt;E49,E49/E48-1,E48/E49-1)</f>
        <v>0.13955785155359712</v>
      </c>
      <c r="F53" s="449" t="str">
        <f>IF(OR(E53&gt;=0.3,E53&lt;=-0.3),"超过30%","")</f>
        <v/>
      </c>
      <c r="G53" s="448">
        <f>IF(G48&lt;G49,G49/G48-1,G48/G49-1)</f>
        <v>0.22068743976871175</v>
      </c>
      <c r="H53" s="449" t="str">
        <f>IF(OR(G53&gt;=0.3,G53&lt;=-0.3),"超过30%","")</f>
        <v/>
      </c>
      <c r="I53" s="448">
        <f>IF(I48&lt;I49,I49/I48-1,I48/I49-1)</f>
        <v>0.19720555138784701</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37" ht="13.5" customHeight="1">
      <c r="A54" s="2723"/>
      <c r="B54" s="2723"/>
      <c r="C54" s="446" t="s">
        <v>1795</v>
      </c>
      <c r="D54" s="450"/>
      <c r="E54" s="448">
        <f>IF(E49&lt;G49,G49/E49-1,E49/G49-1)</f>
        <v>0.26851911339543855</v>
      </c>
      <c r="F54" s="449" t="str">
        <f>IF(OR(E54&gt;=0.2,E54&lt;=-0.2),"超过20%","")</f>
        <v>超过20%</v>
      </c>
      <c r="G54" s="448">
        <f>IF(G49&lt;I49,I49/G49-1,G49/I49-1)</f>
        <v>2.7690330870542956E-2</v>
      </c>
      <c r="H54" s="449" t="str">
        <f>IF(OR(G54&gt;=0.2,G54&lt;=-0.2),"超过20%","")</f>
        <v/>
      </c>
      <c r="I54" s="448">
        <f>IF(I49&lt;E49,E49/I49-1,I49/E49-1)</f>
        <v>0.23433983495873978</v>
      </c>
      <c r="J54" s="449" t="str">
        <f>IF(OR(I54&gt;=0.2,I54&lt;=-0.2),"超过20%","")</f>
        <v>超过20%</v>
      </c>
      <c r="K54" s="2728"/>
      <c r="L54" s="2724"/>
      <c r="M54" s="2723"/>
      <c r="N54" s="2723"/>
      <c r="O54" s="2723"/>
      <c r="P54" s="2754"/>
      <c r="Q54" s="2723"/>
      <c r="R54" s="2723"/>
      <c r="S54" s="2723"/>
      <c r="T54" s="2723"/>
      <c r="U54" s="2723"/>
      <c r="V54" s="2723"/>
      <c r="W54" s="2723"/>
      <c r="X54" s="2723"/>
      <c r="Y54" s="2723"/>
      <c r="Z54" s="2723"/>
      <c r="AA54" s="2723"/>
      <c r="AB54" s="2723"/>
      <c r="AC54" s="2723"/>
    </row>
    <row r="55" spans="1:37" s="451" customFormat="1" ht="13.5" customHeight="1">
      <c r="A55" s="2726"/>
      <c r="B55" s="2726"/>
      <c r="C55" s="446" t="s">
        <v>1796</v>
      </c>
      <c r="D55" s="450"/>
      <c r="E55" s="448">
        <f>IF(E48&lt;G48,G48/E48-1,E48/G48-1)</f>
        <v>0.18421052631578938</v>
      </c>
      <c r="F55" s="449" t="str">
        <f>IF(OR(E55&gt;=0.3,E55&lt;=-0.3),"超过30%","")</f>
        <v/>
      </c>
      <c r="G55" s="448">
        <f>IF(G48&lt;I48,I48/G48-1,G48/I48-1)</f>
        <v>7.9210526315789398E-3</v>
      </c>
      <c r="H55" s="449" t="str">
        <f>IF(OR(G55&gt;=0.3,G55&lt;=-0.3),"超过30%","")</f>
        <v/>
      </c>
      <c r="I55" s="448">
        <f>IF(I48&lt;E48,E48/I48-1,I48/E48-1)</f>
        <v>0.17490404950262395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37"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37">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37"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37" s="457" customFormat="1" ht="15">
      <c r="A59" s="454" t="s">
        <v>1678</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3527">
        <f t="shared" ref="P59" si="17">EDATE(O59,-1)</f>
        <v>45170</v>
      </c>
      <c r="Q59" s="3527">
        <f t="shared" ref="Q59" si="18">EDATE(P59,-1)</f>
        <v>45139</v>
      </c>
      <c r="R59" s="3527">
        <f t="shared" ref="R59" si="19">EDATE(Q59,-1)</f>
        <v>45108</v>
      </c>
      <c r="S59" s="3527">
        <f t="shared" ref="S59" si="20">EDATE(R59,-1)</f>
        <v>45078</v>
      </c>
      <c r="T59" s="3527">
        <f t="shared" ref="T59" si="21">EDATE(S59,-1)</f>
        <v>45047</v>
      </c>
      <c r="U59" s="3527">
        <f t="shared" ref="U59" si="22">EDATE(T59,-1)</f>
        <v>45017</v>
      </c>
      <c r="V59" s="3527">
        <f t="shared" ref="V59" si="23">EDATE(U59,-1)</f>
        <v>44986</v>
      </c>
      <c r="W59" s="3527">
        <f t="shared" ref="W59" si="24">EDATE(V59,-1)</f>
        <v>44958</v>
      </c>
      <c r="X59" s="3527">
        <f t="shared" ref="X59" si="25">EDATE(W59,-1)</f>
        <v>44927</v>
      </c>
      <c r="Y59" s="3527">
        <f t="shared" ref="Y59" si="26">EDATE(X59,-1)</f>
        <v>44896</v>
      </c>
      <c r="Z59" s="3527">
        <f t="shared" ref="Z59" si="27">EDATE(Y59,-1)</f>
        <v>44866</v>
      </c>
      <c r="AA59" s="3527">
        <f t="shared" ref="AA59" si="28">EDATE(Z59,-1)</f>
        <v>44835</v>
      </c>
      <c r="AB59" s="3527">
        <f t="shared" ref="AB59" si="29">EDATE(AA59,-1)</f>
        <v>44805</v>
      </c>
      <c r="AC59" s="3527">
        <f t="shared" ref="AC59" si="30">EDATE(AB59,-1)</f>
        <v>44774</v>
      </c>
      <c r="AD59" s="3527">
        <f t="shared" ref="AD59" si="31">EDATE(AC59,-1)</f>
        <v>44743</v>
      </c>
      <c r="AE59" s="3527">
        <f t="shared" ref="AE59" si="32">EDATE(AD59,-1)</f>
        <v>44713</v>
      </c>
      <c r="AF59" s="3527">
        <f t="shared" ref="AF59" si="33">EDATE(AE59,-1)</f>
        <v>44682</v>
      </c>
      <c r="AG59" s="3527">
        <f t="shared" ref="AG59" si="34">EDATE(AF59,-1)</f>
        <v>44652</v>
      </c>
      <c r="AH59" s="3527">
        <f t="shared" ref="AH59" si="35">EDATE(AG59,-1)</f>
        <v>44621</v>
      </c>
      <c r="AI59" s="3527">
        <f t="shared" ref="AI59" si="36">EDATE(AH59,-1)</f>
        <v>44593</v>
      </c>
      <c r="AJ59" s="3527">
        <f t="shared" ref="AJ59" si="37">EDATE(AI59,-1)</f>
        <v>44562</v>
      </c>
      <c r="AK59" s="3527">
        <f t="shared" ref="AK59" si="38">EDATE(AJ59,-1)</f>
        <v>44531</v>
      </c>
    </row>
    <row r="60" spans="1:37"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row>
    <row r="61" spans="1:37"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37"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37"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37">
      <c r="A64" s="476" t="s">
        <v>1718</v>
      </c>
      <c r="B64" s="477" t="s">
        <v>1684</v>
      </c>
      <c r="C64" s="478" t="str">
        <f>C9</f>
        <v>研发</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t="s">
        <v>3515</v>
      </c>
      <c r="D66" s="532" t="s">
        <v>3509</v>
      </c>
      <c r="E66" s="532" t="s">
        <v>3902</v>
      </c>
      <c r="F66" s="532" t="s">
        <v>3903</v>
      </c>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97</v>
      </c>
      <c r="E67" s="485">
        <v>94</v>
      </c>
      <c r="F67" s="485">
        <v>91</v>
      </c>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517" t="s">
        <v>3904</v>
      </c>
      <c r="D101" s="3517" t="s">
        <v>3905</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44">C102-$K33</f>
        <v>98</v>
      </c>
      <c r="E102" s="493">
        <f t="shared" si="44"/>
        <v>96</v>
      </c>
      <c r="F102" s="493">
        <f t="shared" si="44"/>
        <v>94</v>
      </c>
      <c r="G102" s="493">
        <f t="shared" si="44"/>
        <v>92</v>
      </c>
      <c r="H102" s="493">
        <f t="shared" si="44"/>
        <v>90</v>
      </c>
      <c r="I102" s="493">
        <f t="shared" si="44"/>
        <v>88</v>
      </c>
      <c r="J102" s="493">
        <f t="shared" si="44"/>
        <v>86</v>
      </c>
      <c r="K102" s="493">
        <f t="shared" si="44"/>
        <v>84</v>
      </c>
      <c r="L102" s="493">
        <f t="shared" si="44"/>
        <v>82</v>
      </c>
      <c r="M102" s="494">
        <f t="shared" si="44"/>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1736</v>
      </c>
      <c r="C103" s="527" t="str">
        <f>C104&amp;"(含)"&amp;"-"&amp;D104</f>
        <v>0(含)-5000</v>
      </c>
      <c r="D103" s="527" t="str">
        <f t="shared" ref="D103:L103" si="45">D104&amp;"(含)"&amp;"-"&amp;E104</f>
        <v>5000(含)-10000</v>
      </c>
      <c r="E103" s="527" t="str">
        <f t="shared" si="45"/>
        <v>10000(含)-30000</v>
      </c>
      <c r="F103" s="527" t="str">
        <f t="shared" si="45"/>
        <v>30000(含)-80000</v>
      </c>
      <c r="G103" s="527" t="str">
        <f t="shared" si="45"/>
        <v>80000(含)-150000</v>
      </c>
      <c r="H103" s="527" t="str">
        <f t="shared" si="45"/>
        <v>150000(含)-</v>
      </c>
      <c r="I103" s="527" t="str">
        <f t="shared" si="45"/>
        <v>(含)-</v>
      </c>
      <c r="J103" s="527" t="str">
        <f t="shared" si="45"/>
        <v>(含)-</v>
      </c>
      <c r="K103" s="527" t="str">
        <f t="shared" si="45"/>
        <v>(含)-</v>
      </c>
      <c r="L103" s="527" t="str">
        <f t="shared" si="45"/>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5000</v>
      </c>
      <c r="E104" s="544">
        <v>10000</v>
      </c>
      <c r="F104" s="544">
        <v>30000</v>
      </c>
      <c r="G104" s="544">
        <v>80000</v>
      </c>
      <c r="H104" s="544">
        <v>150000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106</v>
      </c>
      <c r="D105" s="485">
        <v>104</v>
      </c>
      <c r="E105" s="485">
        <v>102</v>
      </c>
      <c r="F105" s="485">
        <v>100</v>
      </c>
      <c r="G105" s="485">
        <v>98</v>
      </c>
      <c r="H105" s="485">
        <v>96</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518" t="s">
        <v>3908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46">C107-$K35</f>
        <v>98</v>
      </c>
      <c r="E107" s="493">
        <f t="shared" si="46"/>
        <v>96</v>
      </c>
      <c r="F107" s="493">
        <f t="shared" si="46"/>
        <v>94</v>
      </c>
      <c r="G107" s="493">
        <f t="shared" si="46"/>
        <v>92</v>
      </c>
      <c r="H107" s="493">
        <f t="shared" si="46"/>
        <v>90</v>
      </c>
      <c r="I107" s="493">
        <f t="shared" si="46"/>
        <v>88</v>
      </c>
      <c r="J107" s="493">
        <f t="shared" si="46"/>
        <v>86</v>
      </c>
      <c r="K107" s="493">
        <f t="shared" si="46"/>
        <v>84</v>
      </c>
      <c r="L107" s="493">
        <f t="shared" si="46"/>
        <v>82</v>
      </c>
      <c r="M107" s="494">
        <f t="shared" si="46"/>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t="s">
        <v>3512</v>
      </c>
      <c r="D108" s="503" t="s">
        <v>3906</v>
      </c>
      <c r="E108" s="503" t="s">
        <v>3907</v>
      </c>
      <c r="F108" s="532" t="s">
        <v>3514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47">C109-$K36</f>
        <v>98</v>
      </c>
      <c r="E109" s="493">
        <f t="shared" si="47"/>
        <v>96</v>
      </c>
      <c r="F109" s="493">
        <f t="shared" si="47"/>
        <v>94</v>
      </c>
      <c r="G109" s="493">
        <f t="shared" si="47"/>
        <v>92</v>
      </c>
      <c r="H109" s="493">
        <f t="shared" si="47"/>
        <v>90</v>
      </c>
      <c r="I109" s="493">
        <f t="shared" si="47"/>
        <v>88</v>
      </c>
      <c r="J109" s="493">
        <f t="shared" si="47"/>
        <v>86</v>
      </c>
      <c r="K109" s="493">
        <f t="shared" si="47"/>
        <v>84</v>
      </c>
      <c r="L109" s="493">
        <f t="shared" si="47"/>
        <v>82</v>
      </c>
      <c r="M109" s="494">
        <f t="shared" si="47"/>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518" t="s">
        <v>3909</v>
      </c>
      <c r="D115" s="3518" t="s">
        <v>3910</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50">C116-$K39</f>
        <v>98</v>
      </c>
      <c r="E116" s="493">
        <f t="shared" si="50"/>
        <v>96</v>
      </c>
      <c r="F116" s="493">
        <f t="shared" si="50"/>
        <v>94</v>
      </c>
      <c r="G116" s="493">
        <f t="shared" si="50"/>
        <v>92</v>
      </c>
      <c r="H116" s="493">
        <f t="shared" si="50"/>
        <v>90</v>
      </c>
      <c r="I116" s="493">
        <f t="shared" si="50"/>
        <v>88</v>
      </c>
      <c r="J116" s="493">
        <f t="shared" si="50"/>
        <v>86</v>
      </c>
      <c r="K116" s="493">
        <f t="shared" si="50"/>
        <v>84</v>
      </c>
      <c r="L116" s="493">
        <f t="shared" si="50"/>
        <v>82</v>
      </c>
      <c r="M116" s="494">
        <f t="shared" si="50"/>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t="str">
        <f>C108</f>
        <v>精装修</v>
      </c>
      <c r="D123" s="503" t="str">
        <f t="shared" ref="D123:F123" si="52">D108</f>
        <v>普通装修</v>
      </c>
      <c r="E123" s="503" t="str">
        <f t="shared" si="52"/>
        <v>简单装修</v>
      </c>
      <c r="F123" s="503" t="str">
        <f t="shared" si="52"/>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53">C124-$K43</f>
        <v>99</v>
      </c>
      <c r="E124" s="493">
        <f t="shared" si="53"/>
        <v>98</v>
      </c>
      <c r="F124" s="493">
        <f t="shared" si="53"/>
        <v>97</v>
      </c>
      <c r="G124" s="493">
        <f t="shared" si="53"/>
        <v>96</v>
      </c>
      <c r="H124" s="493">
        <f t="shared" si="53"/>
        <v>95</v>
      </c>
      <c r="I124" s="493">
        <f t="shared" si="53"/>
        <v>94</v>
      </c>
      <c r="J124" s="493">
        <f t="shared" si="53"/>
        <v>93</v>
      </c>
      <c r="K124" s="493">
        <f t="shared" si="53"/>
        <v>92</v>
      </c>
      <c r="L124" s="493">
        <f t="shared" si="53"/>
        <v>91</v>
      </c>
      <c r="M124" s="494">
        <f t="shared" si="53"/>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地下占比</v>
      </c>
      <c r="C127" s="503">
        <v>0.15</v>
      </c>
      <c r="D127" s="503">
        <v>0</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120</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X14" sqref="X14"/>
    </sheetView>
  </sheetViews>
  <sheetFormatPr defaultRowHeight="13.5"/>
  <cols>
    <col min="1" max="15" width="9" style="3460"/>
    <col min="16" max="16" width="13.5" style="3460" customWidth="1"/>
    <col min="17" max="17" width="14.5" style="3460" customWidth="1"/>
    <col min="18" max="16384" width="9" style="3460"/>
  </cols>
  <sheetData>
    <row r="1" spans="1:23" ht="48">
      <c r="A1" s="3457" t="s">
        <v>3517</v>
      </c>
      <c r="B1" s="3457" t="s">
        <v>3518</v>
      </c>
      <c r="C1" s="3457" t="s">
        <v>3519</v>
      </c>
      <c r="D1" s="3457" t="s">
        <v>3520</v>
      </c>
      <c r="E1" s="3457" t="s">
        <v>3521</v>
      </c>
      <c r="F1" s="3457" t="s">
        <v>3522</v>
      </c>
      <c r="G1" s="3457" t="s">
        <v>3523</v>
      </c>
      <c r="H1" s="3457" t="s">
        <v>3524</v>
      </c>
      <c r="I1" s="3457" t="s">
        <v>3525</v>
      </c>
      <c r="J1" s="3458" t="s">
        <v>3526</v>
      </c>
      <c r="K1" s="3457" t="s">
        <v>3527</v>
      </c>
      <c r="L1" s="3457" t="s">
        <v>3528</v>
      </c>
      <c r="M1" s="3457" t="s">
        <v>3529</v>
      </c>
      <c r="N1" s="3457" t="s">
        <v>3530</v>
      </c>
      <c r="O1" s="3457" t="s">
        <v>3531</v>
      </c>
      <c r="P1" s="3459" t="s">
        <v>3532</v>
      </c>
      <c r="Q1" s="3457" t="s">
        <v>3533</v>
      </c>
      <c r="R1" s="3457" t="s">
        <v>3534</v>
      </c>
      <c r="S1" s="3457" t="s">
        <v>3535</v>
      </c>
      <c r="T1" s="3457" t="s">
        <v>3536</v>
      </c>
      <c r="U1" s="3457" t="s">
        <v>3537</v>
      </c>
      <c r="V1" s="3457" t="s">
        <v>3538</v>
      </c>
      <c r="W1" s="3457" t="s">
        <v>3539</v>
      </c>
    </row>
    <row r="2" spans="1:23" ht="60" hidden="1">
      <c r="A2" s="3457">
        <v>374</v>
      </c>
      <c r="B2" s="3457" t="s">
        <v>3540</v>
      </c>
      <c r="C2" s="3457" t="s">
        <v>3541</v>
      </c>
      <c r="D2" s="3457" t="s">
        <v>3542</v>
      </c>
      <c r="E2" s="3461" t="s">
        <v>3543</v>
      </c>
      <c r="F2" s="3461" t="s">
        <v>3544</v>
      </c>
      <c r="G2" s="3457" t="s">
        <v>3545</v>
      </c>
      <c r="H2" s="3461"/>
      <c r="I2" s="3461">
        <v>8593.369999999999</v>
      </c>
      <c r="J2" s="3462">
        <v>6760.7019999999993</v>
      </c>
      <c r="K2" s="3462">
        <v>1832.6679999999997</v>
      </c>
      <c r="L2" s="3461">
        <v>17186.740000000002</v>
      </c>
      <c r="M2" s="3463">
        <v>20000</v>
      </c>
      <c r="N2" s="3464">
        <v>25421.5316693444</v>
      </c>
      <c r="O2" s="3461" t="s">
        <v>3546</v>
      </c>
      <c r="P2" s="3465">
        <v>44562</v>
      </c>
      <c r="Q2" s="3466" t="s">
        <v>3547</v>
      </c>
      <c r="R2" s="3461" t="s">
        <v>3548</v>
      </c>
      <c r="S2" s="3461"/>
      <c r="T2" s="3467">
        <v>0</v>
      </c>
      <c r="U2" s="3461"/>
      <c r="V2" s="3468" t="e">
        <v>#DIV/0!</v>
      </c>
      <c r="W2" s="3461"/>
    </row>
    <row r="3" spans="1:23" ht="36" hidden="1">
      <c r="A3" s="3457">
        <v>377</v>
      </c>
      <c r="B3" s="3457" t="s">
        <v>3549</v>
      </c>
      <c r="C3" s="3457" t="s">
        <v>3550</v>
      </c>
      <c r="D3" s="3457" t="s">
        <v>3551</v>
      </c>
      <c r="E3" s="3461" t="s">
        <v>3552</v>
      </c>
      <c r="F3" s="3457" t="s">
        <v>3553</v>
      </c>
      <c r="G3" s="3457" t="s">
        <v>3554</v>
      </c>
      <c r="H3" s="3461"/>
      <c r="I3" s="3462">
        <v>24629.24</v>
      </c>
      <c r="J3" s="3462">
        <v>21550.585000000003</v>
      </c>
      <c r="K3" s="3462">
        <v>3078.6549999999988</v>
      </c>
      <c r="L3" s="3461">
        <v>64775</v>
      </c>
      <c r="M3" s="3457">
        <v>26300</v>
      </c>
      <c r="N3" s="3461">
        <v>30057</v>
      </c>
      <c r="O3" s="3457" t="s">
        <v>3546</v>
      </c>
      <c r="P3" s="3469">
        <v>44573</v>
      </c>
      <c r="Q3" s="3470" t="s">
        <v>3555</v>
      </c>
      <c r="R3" s="3471" t="s">
        <v>3556</v>
      </c>
      <c r="S3" s="3461"/>
      <c r="T3" s="3461"/>
      <c r="U3" s="3461"/>
      <c r="V3" s="3461"/>
      <c r="W3" s="3461"/>
    </row>
    <row r="4" spans="1:23" ht="132" hidden="1">
      <c r="A4" s="3457">
        <v>378</v>
      </c>
      <c r="B4" s="3457" t="s">
        <v>3557</v>
      </c>
      <c r="C4" s="3457" t="s">
        <v>3558</v>
      </c>
      <c r="D4" s="3461" t="s">
        <v>3559</v>
      </c>
      <c r="E4" s="3457" t="s">
        <v>3560</v>
      </c>
      <c r="F4" s="3461" t="s">
        <v>3561</v>
      </c>
      <c r="G4" s="3457" t="s">
        <v>3562</v>
      </c>
      <c r="H4" s="3461"/>
      <c r="I4" s="3461">
        <v>6383.22</v>
      </c>
      <c r="J4" s="3462">
        <v>6383.22</v>
      </c>
      <c r="K4" s="3461"/>
      <c r="L4" s="3461">
        <v>28086.17</v>
      </c>
      <c r="M4" s="3463">
        <v>44000</v>
      </c>
      <c r="N4" s="3464">
        <v>44000.003133214894</v>
      </c>
      <c r="O4" s="3461" t="s">
        <v>3546</v>
      </c>
      <c r="P4" s="3469" t="s">
        <v>3563</v>
      </c>
      <c r="Q4" s="3472" t="s">
        <v>3564</v>
      </c>
      <c r="R4" s="3461" t="s">
        <v>3565</v>
      </c>
      <c r="S4" s="3461"/>
      <c r="T4" s="3467">
        <v>0</v>
      </c>
      <c r="U4" s="3461"/>
      <c r="V4" s="3468" t="e">
        <v>#DIV/0!</v>
      </c>
      <c r="W4" s="3461"/>
    </row>
    <row r="5" spans="1:23" ht="60" hidden="1">
      <c r="A5" s="3457">
        <v>382</v>
      </c>
      <c r="B5" s="3457" t="s">
        <v>3566</v>
      </c>
      <c r="C5" s="3457" t="s">
        <v>3541</v>
      </c>
      <c r="D5" s="3457" t="s">
        <v>3542</v>
      </c>
      <c r="E5" s="3461" t="s">
        <v>3543</v>
      </c>
      <c r="F5" s="3461" t="s">
        <v>3544</v>
      </c>
      <c r="G5" s="3457" t="s">
        <v>3545</v>
      </c>
      <c r="H5" s="3461"/>
      <c r="I5" s="3461">
        <v>2279.88</v>
      </c>
      <c r="J5" s="3462">
        <v>1709.91</v>
      </c>
      <c r="K5" s="3462">
        <v>569.97</v>
      </c>
      <c r="L5" s="3461">
        <v>4559.76</v>
      </c>
      <c r="M5" s="3463">
        <v>20000</v>
      </c>
      <c r="N5" s="3464">
        <v>26666.666666666664</v>
      </c>
      <c r="O5" s="3461" t="s">
        <v>3546</v>
      </c>
      <c r="P5" s="3469">
        <v>44580</v>
      </c>
      <c r="Q5" s="3466" t="s">
        <v>3567</v>
      </c>
      <c r="R5" s="3461" t="s">
        <v>3548</v>
      </c>
      <c r="S5" s="3461"/>
      <c r="T5" s="3467">
        <v>0</v>
      </c>
      <c r="U5" s="3461"/>
      <c r="V5" s="3468" t="e">
        <v>#DIV/0!</v>
      </c>
      <c r="W5" s="3461"/>
    </row>
    <row r="6" spans="1:23" ht="84" hidden="1">
      <c r="A6" s="3457">
        <v>390</v>
      </c>
      <c r="B6" s="3457" t="s">
        <v>3568</v>
      </c>
      <c r="C6" s="3457" t="s">
        <v>3569</v>
      </c>
      <c r="D6" s="3461" t="s">
        <v>3570</v>
      </c>
      <c r="E6" s="3461" t="s">
        <v>3571</v>
      </c>
      <c r="F6" s="3461" t="s">
        <v>3572</v>
      </c>
      <c r="G6" s="3457" t="s">
        <v>3573</v>
      </c>
      <c r="H6" s="3461"/>
      <c r="I6" s="3461">
        <v>1693.08</v>
      </c>
      <c r="J6" s="3462">
        <v>1495.49</v>
      </c>
      <c r="K6" s="3462">
        <v>197.58999999999992</v>
      </c>
      <c r="L6" s="3461">
        <v>1727.712</v>
      </c>
      <c r="M6" s="3463">
        <v>10205</v>
      </c>
      <c r="N6" s="3464">
        <v>11552.815465165262</v>
      </c>
      <c r="O6" s="3457" t="s">
        <v>3574</v>
      </c>
      <c r="P6" s="3469">
        <v>44631</v>
      </c>
      <c r="Q6" s="3457" t="s">
        <v>3575</v>
      </c>
      <c r="R6" s="3461" t="s">
        <v>3576</v>
      </c>
      <c r="S6" s="3461">
        <v>2879.52</v>
      </c>
      <c r="T6" s="3467">
        <v>19254.692441942105</v>
      </c>
      <c r="U6" s="3461"/>
      <c r="V6" s="3468">
        <v>0.6</v>
      </c>
      <c r="W6" s="3461" t="s">
        <v>3577</v>
      </c>
    </row>
    <row r="7" spans="1:23" ht="132" hidden="1">
      <c r="A7" s="3457">
        <v>401</v>
      </c>
      <c r="B7" s="3457" t="s">
        <v>3578</v>
      </c>
      <c r="C7" s="3457" t="s">
        <v>3578</v>
      </c>
      <c r="D7" s="3461" t="s">
        <v>3579</v>
      </c>
      <c r="E7" s="3461" t="s">
        <v>3579</v>
      </c>
      <c r="F7" s="3461" t="s">
        <v>3546</v>
      </c>
      <c r="G7" s="3457" t="s">
        <v>3580</v>
      </c>
      <c r="H7" s="3461">
        <v>6089.36</v>
      </c>
      <c r="I7" s="3461">
        <v>5474.29</v>
      </c>
      <c r="J7" s="3462">
        <v>5474.29</v>
      </c>
      <c r="K7" s="3461"/>
      <c r="L7" s="3461">
        <v>2801.8130000000001</v>
      </c>
      <c r="M7" s="3463">
        <v>5118</v>
      </c>
      <c r="N7" s="3464">
        <v>5118.1303876849779</v>
      </c>
      <c r="O7" s="3461" t="s">
        <v>3581</v>
      </c>
      <c r="P7" s="3469">
        <v>44656</v>
      </c>
      <c r="Q7" s="3457" t="s">
        <v>3582</v>
      </c>
      <c r="R7" s="3461" t="s">
        <v>3576</v>
      </c>
      <c r="S7" s="3461">
        <v>2072.59</v>
      </c>
      <c r="T7" s="3467">
        <v>3786.043486917938</v>
      </c>
      <c r="U7" s="3461"/>
      <c r="V7" s="3468">
        <v>1.3518414158130647</v>
      </c>
      <c r="W7" s="3461" t="s">
        <v>3577</v>
      </c>
    </row>
    <row r="8" spans="1:23" ht="60" hidden="1">
      <c r="A8" s="3457">
        <v>443</v>
      </c>
      <c r="B8" s="3457" t="s">
        <v>3583</v>
      </c>
      <c r="C8" s="3457" t="s">
        <v>3584</v>
      </c>
      <c r="D8" s="3457" t="s">
        <v>3585</v>
      </c>
      <c r="E8" s="3457" t="s">
        <v>3585</v>
      </c>
      <c r="F8" s="3457" t="s">
        <v>3586</v>
      </c>
      <c r="G8" s="3457" t="s">
        <v>3562</v>
      </c>
      <c r="H8" s="3457"/>
      <c r="I8" s="3457">
        <v>3972.93</v>
      </c>
      <c r="J8" s="3458">
        <v>2983.89</v>
      </c>
      <c r="K8" s="3458">
        <v>989.04</v>
      </c>
      <c r="L8" s="3457">
        <v>15693</v>
      </c>
      <c r="M8" s="3457">
        <v>39500</v>
      </c>
      <c r="N8" s="3473">
        <v>52592.421302393857</v>
      </c>
      <c r="O8" s="3457" t="s">
        <v>3546</v>
      </c>
      <c r="P8" s="3459">
        <v>44659</v>
      </c>
      <c r="Q8" s="3457" t="s">
        <v>3587</v>
      </c>
      <c r="R8" s="3457" t="s">
        <v>3556</v>
      </c>
      <c r="S8" s="3457"/>
      <c r="T8" s="3457"/>
      <c r="U8" s="3457"/>
      <c r="V8" s="3457"/>
      <c r="W8" s="3457"/>
    </row>
    <row r="9" spans="1:23" ht="72" hidden="1">
      <c r="A9" s="3457">
        <v>449</v>
      </c>
      <c r="B9" s="3457" t="s">
        <v>3588</v>
      </c>
      <c r="C9" s="3457" t="s">
        <v>3589</v>
      </c>
      <c r="D9" s="3457" t="s">
        <v>3590</v>
      </c>
      <c r="E9" s="3461" t="s">
        <v>3591</v>
      </c>
      <c r="F9" s="3457" t="s">
        <v>3592</v>
      </c>
      <c r="G9" s="3457" t="s">
        <v>3593</v>
      </c>
      <c r="H9" s="3461"/>
      <c r="I9" s="3461">
        <v>3644.4</v>
      </c>
      <c r="J9" s="3462"/>
      <c r="K9" s="3461"/>
      <c r="L9" s="3461">
        <v>4178.9776000000002</v>
      </c>
      <c r="M9" s="3463">
        <v>11467</v>
      </c>
      <c r="N9" s="3464" t="e">
        <v>#DIV/0!</v>
      </c>
      <c r="O9" s="3457" t="s">
        <v>3594</v>
      </c>
      <c r="P9" s="3469">
        <v>44744</v>
      </c>
      <c r="Q9" s="3457" t="s">
        <v>3595</v>
      </c>
      <c r="R9" s="3461" t="s">
        <v>3596</v>
      </c>
      <c r="S9" s="3461">
        <v>7462.46</v>
      </c>
      <c r="T9" s="3467">
        <v>20476.511908681812</v>
      </c>
      <c r="U9" s="3461"/>
      <c r="V9" s="3468">
        <v>0.56000000000000005</v>
      </c>
      <c r="W9" s="3457" t="s">
        <v>3597</v>
      </c>
    </row>
    <row r="10" spans="1:23" ht="36" hidden="1">
      <c r="A10" s="3457">
        <v>450</v>
      </c>
      <c r="B10" s="3457" t="s">
        <v>3598</v>
      </c>
      <c r="C10" s="3457" t="s">
        <v>3599</v>
      </c>
      <c r="D10" s="3461" t="s">
        <v>3600</v>
      </c>
      <c r="E10" s="3461" t="s">
        <v>3601</v>
      </c>
      <c r="F10" s="3461" t="s">
        <v>3602</v>
      </c>
      <c r="G10" s="3457" t="s">
        <v>3603</v>
      </c>
      <c r="H10" s="3461"/>
      <c r="I10" s="3461">
        <v>5738.59</v>
      </c>
      <c r="J10" s="3462">
        <v>4782.1583333333338</v>
      </c>
      <c r="K10" s="3462">
        <v>956.43166666666639</v>
      </c>
      <c r="L10" s="3461">
        <v>9259.2099999999991</v>
      </c>
      <c r="M10" s="3463">
        <v>16135</v>
      </c>
      <c r="N10" s="3464">
        <v>19361.989617658692</v>
      </c>
      <c r="O10" s="3461" t="s">
        <v>3604</v>
      </c>
      <c r="P10" s="3469">
        <v>44739</v>
      </c>
      <c r="Q10" s="3461" t="s">
        <v>3605</v>
      </c>
      <c r="R10" s="3461" t="s">
        <v>3606</v>
      </c>
      <c r="S10" s="3461"/>
      <c r="T10" s="3467">
        <v>0</v>
      </c>
      <c r="U10" s="3461"/>
      <c r="V10" s="3468" t="e">
        <v>#DIV/0!</v>
      </c>
      <c r="W10" s="3461"/>
    </row>
    <row r="11" spans="1:23" ht="60" hidden="1">
      <c r="A11" s="3457">
        <v>451</v>
      </c>
      <c r="B11" s="3457" t="s">
        <v>3607</v>
      </c>
      <c r="C11" s="3457" t="s">
        <v>3608</v>
      </c>
      <c r="D11" s="3461" t="s">
        <v>3609</v>
      </c>
      <c r="E11" s="3461" t="s">
        <v>3591</v>
      </c>
      <c r="F11" s="3461" t="s">
        <v>3610</v>
      </c>
      <c r="G11" s="3457" t="s">
        <v>3611</v>
      </c>
      <c r="H11" s="3461"/>
      <c r="I11" s="3461">
        <v>2488.9499999999998</v>
      </c>
      <c r="J11" s="3462">
        <v>1989.8799999999999</v>
      </c>
      <c r="K11" s="3461">
        <v>499.07</v>
      </c>
      <c r="L11" s="3461">
        <v>5033.47</v>
      </c>
      <c r="M11" s="3463">
        <v>20223</v>
      </c>
      <c r="N11" s="3464">
        <v>25295.344442880982</v>
      </c>
      <c r="O11" s="3461" t="s">
        <v>3604</v>
      </c>
      <c r="P11" s="3469">
        <v>44740</v>
      </c>
      <c r="Q11" s="3461" t="s">
        <v>3612</v>
      </c>
      <c r="R11" s="3461" t="s">
        <v>3613</v>
      </c>
      <c r="S11" s="3461"/>
      <c r="T11" s="3467">
        <v>0</v>
      </c>
      <c r="U11" s="3461"/>
      <c r="V11" s="3468" t="e">
        <v>#DIV/0!</v>
      </c>
      <c r="W11" s="3461"/>
    </row>
    <row r="12" spans="1:23" ht="48" hidden="1">
      <c r="A12" s="3457">
        <v>456</v>
      </c>
      <c r="B12" s="3457" t="s">
        <v>3614</v>
      </c>
      <c r="C12" s="3457" t="s">
        <v>3615</v>
      </c>
      <c r="D12" s="3461" t="s">
        <v>3616</v>
      </c>
      <c r="E12" s="3461" t="s">
        <v>3617</v>
      </c>
      <c r="F12" s="3461" t="s">
        <v>3618</v>
      </c>
      <c r="G12" s="3457" t="s">
        <v>3619</v>
      </c>
      <c r="H12" s="3461">
        <v>179.4</v>
      </c>
      <c r="I12" s="3461">
        <v>1228.5899999999999</v>
      </c>
      <c r="J12" s="3462">
        <v>1228.5899999999999</v>
      </c>
      <c r="K12" s="3461"/>
      <c r="L12" s="3461">
        <v>2440</v>
      </c>
      <c r="M12" s="3463">
        <v>19860</v>
      </c>
      <c r="N12" s="3464">
        <v>19860.164904484005</v>
      </c>
      <c r="O12" s="3461" t="s">
        <v>3604</v>
      </c>
      <c r="P12" s="3469">
        <v>44571</v>
      </c>
      <c r="Q12" s="3457" t="s">
        <v>3620</v>
      </c>
      <c r="R12" s="3461" t="s">
        <v>3596</v>
      </c>
      <c r="S12" s="3461">
        <v>4431.55</v>
      </c>
      <c r="T12" s="3467">
        <v>36070.210566584465</v>
      </c>
      <c r="U12" s="3461"/>
      <c r="V12" s="3468">
        <v>0.55059742076700025</v>
      </c>
      <c r="W12" s="3461" t="s">
        <v>3597</v>
      </c>
    </row>
    <row r="13" spans="1:23" ht="108" hidden="1">
      <c r="A13" s="3457">
        <v>463</v>
      </c>
      <c r="B13" s="3457" t="s">
        <v>3621</v>
      </c>
      <c r="C13" s="3457" t="s">
        <v>3622</v>
      </c>
      <c r="D13" s="3461" t="s">
        <v>3623</v>
      </c>
      <c r="E13" s="3461" t="s">
        <v>3624</v>
      </c>
      <c r="F13" s="3461" t="s">
        <v>3625</v>
      </c>
      <c r="G13" s="3457" t="s">
        <v>3626</v>
      </c>
      <c r="H13" s="3461"/>
      <c r="I13" s="3461">
        <v>61606.26</v>
      </c>
      <c r="J13" s="3462">
        <v>42096.020000000004</v>
      </c>
      <c r="K13" s="3461">
        <v>19510.239999999998</v>
      </c>
      <c r="L13" s="3461">
        <v>175005.77</v>
      </c>
      <c r="M13" s="3463">
        <v>28407</v>
      </c>
      <c r="N13" s="3464">
        <v>41572.99668709773</v>
      </c>
      <c r="O13" s="3461" t="s">
        <v>3627</v>
      </c>
      <c r="P13" s="3469">
        <v>44771</v>
      </c>
      <c r="Q13" s="3457" t="s">
        <v>3628</v>
      </c>
      <c r="R13" s="3461" t="s">
        <v>3629</v>
      </c>
      <c r="S13" s="3461"/>
      <c r="T13" s="3467">
        <v>0</v>
      </c>
      <c r="U13" s="3461"/>
      <c r="V13" s="3468" t="e">
        <v>#DIV/0!</v>
      </c>
      <c r="W13" s="3461"/>
    </row>
    <row r="14" spans="1:23" ht="240">
      <c r="A14" s="3457">
        <v>467</v>
      </c>
      <c r="B14" s="3457" t="s">
        <v>3630</v>
      </c>
      <c r="C14" s="3457" t="s">
        <v>3631</v>
      </c>
      <c r="D14" s="3461" t="s">
        <v>3623</v>
      </c>
      <c r="E14" s="3461" t="s">
        <v>3632</v>
      </c>
      <c r="F14" s="3457" t="s">
        <v>3633</v>
      </c>
      <c r="G14" s="3457" t="s">
        <v>3634</v>
      </c>
      <c r="H14" s="3461">
        <v>19305.400000000001</v>
      </c>
      <c r="I14" s="3461">
        <v>14584.58</v>
      </c>
      <c r="J14" s="3462">
        <v>10919.396666666667</v>
      </c>
      <c r="K14" s="3474">
        <v>3665.1833333333329</v>
      </c>
      <c r="L14" s="3461">
        <v>29363.146400000001</v>
      </c>
      <c r="M14" s="3463">
        <v>20133</v>
      </c>
      <c r="N14" s="3464">
        <v>26890.813930806311</v>
      </c>
      <c r="O14" s="3457" t="s">
        <v>3635</v>
      </c>
      <c r="P14" s="3469">
        <v>44779</v>
      </c>
      <c r="Q14" s="3457" t="s">
        <v>3636</v>
      </c>
      <c r="R14" s="3461">
        <v>2004</v>
      </c>
      <c r="S14" s="3461">
        <v>52434.19</v>
      </c>
      <c r="T14" s="3467">
        <v>48019.310590725552</v>
      </c>
      <c r="U14" s="3461"/>
      <c r="V14" s="3468">
        <v>0.56000000000000005</v>
      </c>
      <c r="W14" s="3461" t="s">
        <v>3597</v>
      </c>
    </row>
    <row r="15" spans="1:23" ht="60" hidden="1">
      <c r="A15" s="3457">
        <v>473</v>
      </c>
      <c r="B15" s="3457" t="s">
        <v>3637</v>
      </c>
      <c r="C15" s="3457" t="s">
        <v>3638</v>
      </c>
      <c r="D15" s="3457" t="s">
        <v>3609</v>
      </c>
      <c r="E15" s="3461" t="s">
        <v>3639</v>
      </c>
      <c r="F15" s="3461" t="s">
        <v>3640</v>
      </c>
      <c r="G15" s="3457" t="s">
        <v>3641</v>
      </c>
      <c r="H15" s="3461"/>
      <c r="I15" s="3461">
        <v>3382.65</v>
      </c>
      <c r="J15" s="3462">
        <v>2706.12</v>
      </c>
      <c r="K15" s="3462">
        <v>676.5300000000002</v>
      </c>
      <c r="L15" s="3461">
        <v>5151.78</v>
      </c>
      <c r="M15" s="3463">
        <v>15230</v>
      </c>
      <c r="N15" s="3464">
        <v>19037.514966076891</v>
      </c>
      <c r="O15" s="3461" t="s">
        <v>3604</v>
      </c>
      <c r="P15" s="3465">
        <v>44781</v>
      </c>
      <c r="Q15" s="3466" t="s">
        <v>3642</v>
      </c>
      <c r="R15" s="3461" t="s">
        <v>3643</v>
      </c>
      <c r="S15" s="3461"/>
      <c r="T15" s="3467">
        <v>0</v>
      </c>
      <c r="U15" s="3461"/>
      <c r="V15" s="3468" t="e">
        <v>#DIV/0!</v>
      </c>
      <c r="W15" s="3461"/>
    </row>
    <row r="16" spans="1:23" ht="36" hidden="1">
      <c r="A16" s="3457">
        <v>479</v>
      </c>
      <c r="B16" s="3457" t="s">
        <v>3644</v>
      </c>
      <c r="C16" s="3457" t="s">
        <v>3645</v>
      </c>
      <c r="D16" s="3457" t="s">
        <v>3646</v>
      </c>
      <c r="E16" s="3461" t="s">
        <v>3647</v>
      </c>
      <c r="F16" s="3457" t="s">
        <v>3648</v>
      </c>
      <c r="G16" s="3457" t="s">
        <v>3649</v>
      </c>
      <c r="H16" s="3461"/>
      <c r="I16" s="3462">
        <v>28179.63</v>
      </c>
      <c r="J16" s="3462">
        <v>22543.704000000002</v>
      </c>
      <c r="K16" s="3462">
        <v>5635.9259999999995</v>
      </c>
      <c r="L16" s="3461">
        <v>59177.22</v>
      </c>
      <c r="M16" s="3457">
        <v>21000</v>
      </c>
      <c r="N16" s="3464">
        <v>26249.998669251512</v>
      </c>
      <c r="O16" s="3457" t="s">
        <v>3650</v>
      </c>
      <c r="P16" s="3469">
        <v>44795</v>
      </c>
      <c r="Q16" s="3470" t="s">
        <v>3651</v>
      </c>
      <c r="R16" s="3471" t="s">
        <v>3596</v>
      </c>
      <c r="S16" s="3461"/>
      <c r="T16" s="3461"/>
      <c r="U16" s="3475"/>
      <c r="V16" s="3461"/>
      <c r="W16" s="3461" t="s">
        <v>3652</v>
      </c>
    </row>
    <row r="17" spans="1:23" ht="156" hidden="1">
      <c r="A17" s="3457">
        <v>504</v>
      </c>
      <c r="B17" s="3457" t="s">
        <v>3653</v>
      </c>
      <c r="C17" s="3457" t="s">
        <v>3654</v>
      </c>
      <c r="D17" s="3461" t="s">
        <v>3655</v>
      </c>
      <c r="E17" s="3461" t="s">
        <v>3656</v>
      </c>
      <c r="F17" s="3461" t="s">
        <v>3657</v>
      </c>
      <c r="G17" s="3457" t="s">
        <v>3593</v>
      </c>
      <c r="H17" s="3461">
        <v>23400</v>
      </c>
      <c r="I17" s="3461">
        <v>135500</v>
      </c>
      <c r="J17" s="3462">
        <v>93500</v>
      </c>
      <c r="K17" s="3462">
        <v>42000</v>
      </c>
      <c r="L17" s="3461">
        <v>452000</v>
      </c>
      <c r="M17" s="3463">
        <v>33358</v>
      </c>
      <c r="N17" s="3464">
        <v>48342.245989304807</v>
      </c>
      <c r="O17" s="3461" t="s">
        <v>3658</v>
      </c>
      <c r="P17" s="3469">
        <v>44891</v>
      </c>
      <c r="Q17" s="3457" t="s">
        <v>3659</v>
      </c>
      <c r="R17" s="3461" t="s">
        <v>3660</v>
      </c>
      <c r="S17" s="3461"/>
      <c r="T17" s="3467">
        <v>0</v>
      </c>
      <c r="U17" s="3461"/>
      <c r="V17" s="3468" t="e">
        <v>#DIV/0!</v>
      </c>
      <c r="W17" s="3461" t="s">
        <v>3661</v>
      </c>
    </row>
    <row r="18" spans="1:23" ht="48" hidden="1">
      <c r="A18" s="3457">
        <v>505</v>
      </c>
      <c r="B18" s="3457" t="s">
        <v>3662</v>
      </c>
      <c r="C18" s="3457" t="s">
        <v>3663</v>
      </c>
      <c r="D18" s="3461" t="s">
        <v>3664</v>
      </c>
      <c r="E18" s="3461" t="s">
        <v>3665</v>
      </c>
      <c r="F18" s="3461" t="s">
        <v>3572</v>
      </c>
      <c r="G18" s="3457" t="s">
        <v>3666</v>
      </c>
      <c r="H18" s="3461"/>
      <c r="I18" s="3461">
        <v>1187.81</v>
      </c>
      <c r="J18" s="3462">
        <v>1187.71</v>
      </c>
      <c r="K18" s="3461"/>
      <c r="L18" s="3461">
        <v>2154</v>
      </c>
      <c r="M18" s="3463">
        <v>18134</v>
      </c>
      <c r="N18" s="3464">
        <v>18135.740205942529</v>
      </c>
      <c r="O18" s="3457" t="s">
        <v>3667</v>
      </c>
      <c r="P18" s="3469">
        <v>44919</v>
      </c>
      <c r="Q18" s="3457" t="s">
        <v>3668</v>
      </c>
      <c r="R18" s="3461" t="s">
        <v>3669</v>
      </c>
      <c r="S18" s="3461">
        <v>3361.92</v>
      </c>
      <c r="T18" s="3467">
        <v>28305.899588283333</v>
      </c>
      <c r="U18" s="3461"/>
      <c r="V18" s="3468">
        <v>0.64070531125071384</v>
      </c>
      <c r="W18" s="3461" t="s">
        <v>3577</v>
      </c>
    </row>
    <row r="19" spans="1:23" ht="72.75" hidden="1">
      <c r="A19" s="3457">
        <v>507</v>
      </c>
      <c r="B19" s="3457" t="s">
        <v>3670</v>
      </c>
      <c r="C19" s="3457" t="s">
        <v>3671</v>
      </c>
      <c r="D19" s="3461" t="s">
        <v>3559</v>
      </c>
      <c r="E19" s="3461" t="s">
        <v>3672</v>
      </c>
      <c r="F19" s="3461" t="s">
        <v>3673</v>
      </c>
      <c r="G19" s="3457" t="s">
        <v>3562</v>
      </c>
      <c r="H19" s="3461"/>
      <c r="I19" s="3461">
        <v>8671.6</v>
      </c>
      <c r="J19" s="3462">
        <v>8671.6</v>
      </c>
      <c r="K19" s="3461"/>
      <c r="L19" s="3461">
        <v>29483.439999999999</v>
      </c>
      <c r="M19" s="3463">
        <v>34000</v>
      </c>
      <c r="N19" s="3464">
        <v>34000</v>
      </c>
      <c r="O19" s="3461" t="s">
        <v>3546</v>
      </c>
      <c r="P19" s="3469">
        <v>44917</v>
      </c>
      <c r="Q19" s="3461" t="s">
        <v>3674</v>
      </c>
      <c r="R19" s="3461" t="s">
        <v>3675</v>
      </c>
      <c r="S19" s="3461"/>
      <c r="T19" s="3467">
        <v>0</v>
      </c>
      <c r="U19" s="3461"/>
      <c r="V19" s="3468" t="e">
        <v>#DIV/0!</v>
      </c>
      <c r="W19" s="3461" t="s">
        <v>3676</v>
      </c>
    </row>
    <row r="20" spans="1:23" ht="48">
      <c r="A20" s="3457">
        <v>508</v>
      </c>
      <c r="B20" s="3461" t="s">
        <v>3677</v>
      </c>
      <c r="C20" s="3457" t="s">
        <v>3678</v>
      </c>
      <c r="D20" s="3461" t="s">
        <v>3679</v>
      </c>
      <c r="E20" s="3461" t="s">
        <v>3680</v>
      </c>
      <c r="F20" s="3461" t="s">
        <v>3546</v>
      </c>
      <c r="G20" s="3457" t="s">
        <v>3681</v>
      </c>
      <c r="H20" s="3461"/>
      <c r="I20" s="3461">
        <v>470.01</v>
      </c>
      <c r="J20" s="3462">
        <v>352.50749999999999</v>
      </c>
      <c r="K20" s="3462">
        <v>117.5025</v>
      </c>
      <c r="L20" s="3461">
        <v>1921</v>
      </c>
      <c r="M20" s="3463">
        <v>40871</v>
      </c>
      <c r="N20" s="3464">
        <v>54495.294426359724</v>
      </c>
      <c r="O20" s="3461" t="s">
        <v>3581</v>
      </c>
      <c r="P20" s="3469">
        <v>44930</v>
      </c>
      <c r="Q20" s="3461" t="s">
        <v>3682</v>
      </c>
      <c r="R20" s="3461" t="s">
        <v>3683</v>
      </c>
      <c r="S20" s="3461">
        <v>1500</v>
      </c>
      <c r="T20" s="3467">
        <v>42552.28612157188</v>
      </c>
      <c r="U20" s="3461"/>
      <c r="V20" s="3468">
        <v>1.2806666666666666</v>
      </c>
      <c r="W20" s="3461" t="s">
        <v>3577</v>
      </c>
    </row>
    <row r="21" spans="1:23" ht="48" hidden="1">
      <c r="A21" s="3457">
        <v>511</v>
      </c>
      <c r="B21" s="3457" t="s">
        <v>3684</v>
      </c>
      <c r="C21" s="3461" t="s">
        <v>3685</v>
      </c>
      <c r="D21" s="3461" t="s">
        <v>3585</v>
      </c>
      <c r="E21" s="3457" t="s">
        <v>3686</v>
      </c>
      <c r="F21" s="3461" t="s">
        <v>3687</v>
      </c>
      <c r="G21" s="3457" t="s">
        <v>3688</v>
      </c>
      <c r="H21" s="3461"/>
      <c r="I21" s="3461">
        <v>36279.259999999995</v>
      </c>
      <c r="J21" s="3462">
        <v>36279.259999999995</v>
      </c>
      <c r="K21" s="3461"/>
      <c r="L21" s="3461">
        <v>58046.82</v>
      </c>
      <c r="M21" s="3463">
        <v>16000</v>
      </c>
      <c r="N21" s="3464">
        <v>16000.001102558323</v>
      </c>
      <c r="O21" s="3461" t="s">
        <v>3689</v>
      </c>
      <c r="P21" s="3465">
        <v>44866</v>
      </c>
      <c r="Q21" s="3461" t="s">
        <v>3690</v>
      </c>
      <c r="R21" s="3461" t="s">
        <v>3565</v>
      </c>
      <c r="S21" s="3461"/>
      <c r="T21" s="3467">
        <v>0</v>
      </c>
      <c r="U21" s="3461"/>
      <c r="V21" s="3468" t="e">
        <v>#DIV/0!</v>
      </c>
      <c r="W21" s="3461" t="s">
        <v>3691</v>
      </c>
    </row>
    <row r="22" spans="1:23" ht="84" hidden="1">
      <c r="A22" s="3457">
        <v>524</v>
      </c>
      <c r="B22" s="3476" t="s">
        <v>3692</v>
      </c>
      <c r="C22" s="3476" t="s">
        <v>3693</v>
      </c>
      <c r="D22" s="3476" t="s">
        <v>3679</v>
      </c>
      <c r="E22" s="3476" t="s">
        <v>3694</v>
      </c>
      <c r="F22" s="3476" t="s">
        <v>3695</v>
      </c>
      <c r="G22" s="3476" t="s">
        <v>3696</v>
      </c>
      <c r="H22" s="3476"/>
      <c r="I22" s="3476">
        <v>4831.22</v>
      </c>
      <c r="J22" s="3476">
        <v>4177.5700000000006</v>
      </c>
      <c r="K22" s="3476">
        <v>653.65</v>
      </c>
      <c r="L22" s="3476">
        <v>17086.28</v>
      </c>
      <c r="M22" s="3476">
        <v>35366</v>
      </c>
      <c r="N22" s="3476">
        <v>40900</v>
      </c>
      <c r="O22" s="3476" t="s">
        <v>3546</v>
      </c>
      <c r="P22" s="3477">
        <v>44994</v>
      </c>
      <c r="Q22" s="3476" t="s">
        <v>3697</v>
      </c>
      <c r="R22" s="3476" t="s">
        <v>3698</v>
      </c>
      <c r="S22" s="3476"/>
      <c r="T22" s="3467"/>
      <c r="U22" s="3476"/>
      <c r="V22" s="3468"/>
      <c r="W22" s="3461" t="s">
        <v>3699</v>
      </c>
    </row>
    <row r="23" spans="1:23" ht="96" hidden="1">
      <c r="A23" s="3457">
        <v>526</v>
      </c>
      <c r="B23" s="3457" t="s">
        <v>3700</v>
      </c>
      <c r="C23" s="3457" t="s">
        <v>3701</v>
      </c>
      <c r="D23" s="3461" t="s">
        <v>3559</v>
      </c>
      <c r="E23" s="3461" t="s">
        <v>3672</v>
      </c>
      <c r="F23" s="3461" t="s">
        <v>3673</v>
      </c>
      <c r="G23" s="3457" t="s">
        <v>3562</v>
      </c>
      <c r="H23" s="3461"/>
      <c r="I23" s="3461">
        <v>35216.400000000001</v>
      </c>
      <c r="J23" s="3462">
        <v>35216.400000000001</v>
      </c>
      <c r="K23" s="3461"/>
      <c r="L23" s="3461">
        <v>119735.76</v>
      </c>
      <c r="M23" s="3463">
        <v>34000</v>
      </c>
      <c r="N23" s="3464">
        <v>34000</v>
      </c>
      <c r="O23" s="3461" t="s">
        <v>3546</v>
      </c>
      <c r="P23" s="3477">
        <v>44986</v>
      </c>
      <c r="Q23" s="3461" t="s">
        <v>3702</v>
      </c>
      <c r="R23" s="3461" t="s">
        <v>3675</v>
      </c>
      <c r="S23" s="3461"/>
      <c r="T23" s="3467">
        <v>0</v>
      </c>
      <c r="U23" s="3461"/>
      <c r="V23" s="3468" t="e">
        <v>#DIV/0!</v>
      </c>
      <c r="W23" s="3461" t="s">
        <v>3676</v>
      </c>
    </row>
    <row r="24" spans="1:23" ht="48">
      <c r="A24" s="3457">
        <v>543</v>
      </c>
      <c r="B24" s="3457" t="s">
        <v>3703</v>
      </c>
      <c r="C24" s="3461" t="s">
        <v>3704</v>
      </c>
      <c r="D24" s="3461" t="s">
        <v>3551</v>
      </c>
      <c r="E24" s="3461" t="s">
        <v>3705</v>
      </c>
      <c r="F24" s="3461" t="s">
        <v>3553</v>
      </c>
      <c r="G24" s="3457" t="s">
        <v>3706</v>
      </c>
      <c r="H24" s="3461"/>
      <c r="I24" s="3461">
        <v>16577.27</v>
      </c>
      <c r="J24" s="3462">
        <v>16577.27</v>
      </c>
      <c r="K24" s="3461"/>
      <c r="L24" s="3461">
        <v>22911.439999999999</v>
      </c>
      <c r="M24" s="3463">
        <v>13821</v>
      </c>
      <c r="N24" s="3464">
        <v>13820.997064052162</v>
      </c>
      <c r="O24" s="3461" t="s">
        <v>3707</v>
      </c>
      <c r="P24" s="3477">
        <v>45078</v>
      </c>
      <c r="Q24" s="3461" t="s">
        <v>3702</v>
      </c>
      <c r="R24" s="3461" t="s">
        <v>3708</v>
      </c>
      <c r="S24" s="3461"/>
      <c r="T24" s="3467">
        <v>0</v>
      </c>
      <c r="U24" s="3461"/>
      <c r="V24" s="3468" t="e">
        <v>#DIV/0!</v>
      </c>
      <c r="W24" s="3461" t="s">
        <v>3699</v>
      </c>
    </row>
    <row r="25" spans="1:23" ht="132" hidden="1">
      <c r="A25" s="3457">
        <v>553</v>
      </c>
      <c r="B25" s="3461" t="s">
        <v>3709</v>
      </c>
      <c r="C25" s="3457" t="s">
        <v>3710</v>
      </c>
      <c r="D25" s="3461" t="s">
        <v>3664</v>
      </c>
      <c r="E25" s="3457" t="s">
        <v>3665</v>
      </c>
      <c r="F25" s="3457" t="s">
        <v>3711</v>
      </c>
      <c r="G25" s="3457" t="s">
        <v>3712</v>
      </c>
      <c r="H25" s="3461"/>
      <c r="I25" s="3461">
        <v>2230.1799999999998</v>
      </c>
      <c r="J25" s="3462">
        <v>2230.1799999999998</v>
      </c>
      <c r="K25" s="3461"/>
      <c r="L25" s="3461">
        <v>4231.7056000000002</v>
      </c>
      <c r="M25" s="3463">
        <v>18975</v>
      </c>
      <c r="N25" s="3464">
        <v>18974.726703674147</v>
      </c>
      <c r="O25" s="3457" t="s">
        <v>3713</v>
      </c>
      <c r="P25" s="3469">
        <v>45115</v>
      </c>
      <c r="Q25" s="3457" t="s">
        <v>3714</v>
      </c>
      <c r="R25" s="3461" t="s">
        <v>3715</v>
      </c>
      <c r="S25" s="3461">
        <v>6612.04</v>
      </c>
      <c r="T25" s="3467">
        <v>29648.010474490849</v>
      </c>
      <c r="U25" s="3461"/>
      <c r="V25" s="3468">
        <v>0.64</v>
      </c>
      <c r="W25" s="3461" t="s">
        <v>3577</v>
      </c>
    </row>
    <row r="26" spans="1:23" ht="60" hidden="1">
      <c r="A26" s="3457">
        <v>555</v>
      </c>
      <c r="B26" s="3461" t="s">
        <v>3716</v>
      </c>
      <c r="C26" s="3457" t="s">
        <v>3717</v>
      </c>
      <c r="D26" s="3461" t="s">
        <v>3664</v>
      </c>
      <c r="E26" s="3457" t="s">
        <v>3665</v>
      </c>
      <c r="F26" s="3457" t="s">
        <v>3718</v>
      </c>
      <c r="G26" s="3457" t="s">
        <v>3712</v>
      </c>
      <c r="H26" s="3461"/>
      <c r="I26" s="3461">
        <v>1187.81</v>
      </c>
      <c r="J26" s="3462">
        <v>1187.81</v>
      </c>
      <c r="K26" s="3461"/>
      <c r="L26" s="3461">
        <v>2550</v>
      </c>
      <c r="M26" s="3463">
        <v>21468</v>
      </c>
      <c r="N26" s="3464">
        <v>21468.079911770405</v>
      </c>
      <c r="O26" s="3457" t="s">
        <v>3719</v>
      </c>
      <c r="P26" s="3469">
        <v>45126</v>
      </c>
      <c r="Q26" s="3457" t="s">
        <v>3720</v>
      </c>
      <c r="R26" s="3461" t="s">
        <v>3721</v>
      </c>
      <c r="S26" s="3461">
        <v>3590.04</v>
      </c>
      <c r="T26" s="3467">
        <v>30224.025728020475</v>
      </c>
      <c r="U26" s="3461"/>
      <c r="V26" s="3468">
        <v>0.71029849249590538</v>
      </c>
      <c r="W26" s="3461" t="s">
        <v>3577</v>
      </c>
    </row>
    <row r="27" spans="1:23" ht="72" hidden="1">
      <c r="A27" s="3457">
        <v>559</v>
      </c>
      <c r="B27" s="3457" t="s">
        <v>3722</v>
      </c>
      <c r="C27" s="3457" t="s">
        <v>3723</v>
      </c>
      <c r="D27" s="3457" t="s">
        <v>3590</v>
      </c>
      <c r="E27" s="3461" t="s">
        <v>3724</v>
      </c>
      <c r="F27" s="3457" t="s">
        <v>3725</v>
      </c>
      <c r="G27" s="3457" t="s">
        <v>3554</v>
      </c>
      <c r="H27" s="3461"/>
      <c r="I27" s="3461">
        <v>2079.25</v>
      </c>
      <c r="J27" s="3462"/>
      <c r="K27" s="3461"/>
      <c r="L27" s="3461">
        <v>3229.33</v>
      </c>
      <c r="M27" s="3463">
        <v>15531</v>
      </c>
      <c r="N27" s="3464" t="e">
        <v>#DIV/0!</v>
      </c>
      <c r="O27" s="3457" t="s">
        <v>3726</v>
      </c>
      <c r="P27" s="3469">
        <v>45146</v>
      </c>
      <c r="Q27" s="3457" t="s">
        <v>3727</v>
      </c>
      <c r="R27" s="3461" t="s">
        <v>3683</v>
      </c>
      <c r="S27" s="3461">
        <v>3799.21</v>
      </c>
      <c r="T27" s="3467">
        <v>18272.021161476496</v>
      </c>
      <c r="U27" s="3461"/>
      <c r="V27" s="3468">
        <v>0.85000039481892287</v>
      </c>
      <c r="W27" s="3457" t="s">
        <v>3577</v>
      </c>
    </row>
    <row r="28" spans="1:23" ht="96" hidden="1">
      <c r="A28" s="3457">
        <v>564</v>
      </c>
      <c r="B28" s="3457" t="s">
        <v>3728</v>
      </c>
      <c r="C28" s="3457" t="s">
        <v>3729</v>
      </c>
      <c r="D28" s="3461" t="s">
        <v>3655</v>
      </c>
      <c r="E28" s="3461" t="s">
        <v>3730</v>
      </c>
      <c r="F28" s="3461" t="s">
        <v>3731</v>
      </c>
      <c r="G28" s="3457" t="s">
        <v>3593</v>
      </c>
      <c r="H28" s="3461"/>
      <c r="I28" s="3461">
        <v>30899.29</v>
      </c>
      <c r="J28" s="3462">
        <v>30899.29</v>
      </c>
      <c r="K28" s="3461"/>
      <c r="L28" s="3461">
        <v>105057.59</v>
      </c>
      <c r="M28" s="3463">
        <v>34000</v>
      </c>
      <c r="N28" s="3464">
        <v>34000.001294528127</v>
      </c>
      <c r="O28" s="3461" t="s">
        <v>3604</v>
      </c>
      <c r="P28" s="3477">
        <v>45139</v>
      </c>
      <c r="Q28" s="3461" t="s">
        <v>3732</v>
      </c>
      <c r="R28" s="3461" t="s">
        <v>3733</v>
      </c>
      <c r="S28" s="3461"/>
      <c r="T28" s="3467">
        <v>0</v>
      </c>
      <c r="U28" s="3461"/>
      <c r="V28" s="3468" t="e">
        <v>#DIV/0!</v>
      </c>
      <c r="W28" s="3461" t="s">
        <v>3734</v>
      </c>
    </row>
    <row r="29" spans="1:23" s="3484" customFormat="1" ht="48">
      <c r="A29" s="3478">
        <v>565</v>
      </c>
      <c r="B29" s="3479" t="s">
        <v>3735</v>
      </c>
      <c r="C29" s="3479" t="s">
        <v>3736</v>
      </c>
      <c r="D29" s="3479" t="s">
        <v>3655</v>
      </c>
      <c r="E29" s="3478" t="s">
        <v>3737</v>
      </c>
      <c r="F29" s="3478" t="s">
        <v>3738</v>
      </c>
      <c r="G29" s="3478" t="s">
        <v>3739</v>
      </c>
      <c r="H29" s="3479"/>
      <c r="I29" s="3479">
        <v>20714.13</v>
      </c>
      <c r="J29" s="3480">
        <v>20714.13</v>
      </c>
      <c r="K29" s="3479"/>
      <c r="L29" s="3479">
        <v>93213.58</v>
      </c>
      <c r="M29" s="3478">
        <v>45000</v>
      </c>
      <c r="N29" s="3481">
        <v>44999.997586188751</v>
      </c>
      <c r="O29" s="3478" t="s">
        <v>3740</v>
      </c>
      <c r="P29" s="3482">
        <v>45139</v>
      </c>
      <c r="Q29" s="3478" t="s">
        <v>3741</v>
      </c>
      <c r="R29" s="3479" t="s">
        <v>3733</v>
      </c>
      <c r="S29" s="3479"/>
      <c r="T29" s="3481">
        <v>0</v>
      </c>
      <c r="U29" s="3479"/>
      <c r="V29" s="3483" t="e">
        <v>#DIV/0!</v>
      </c>
      <c r="W29" s="3479" t="s">
        <v>3742</v>
      </c>
    </row>
    <row r="30" spans="1:23" s="3484" customFormat="1" ht="156">
      <c r="A30" s="3478">
        <v>566</v>
      </c>
      <c r="B30" s="3478" t="s">
        <v>3743</v>
      </c>
      <c r="C30" s="3478" t="s">
        <v>3744</v>
      </c>
      <c r="D30" s="3479" t="s">
        <v>3623</v>
      </c>
      <c r="E30" s="3479" t="s">
        <v>3745</v>
      </c>
      <c r="F30" s="3479" t="s">
        <v>3746</v>
      </c>
      <c r="G30" s="3478" t="s">
        <v>3747</v>
      </c>
      <c r="H30" s="3479"/>
      <c r="I30" s="3479">
        <v>8905</v>
      </c>
      <c r="J30" s="3480">
        <v>8905</v>
      </c>
      <c r="K30" s="3479"/>
      <c r="L30" s="3479">
        <v>33839</v>
      </c>
      <c r="M30" s="3478">
        <v>38000</v>
      </c>
      <c r="N30" s="3481">
        <v>38000</v>
      </c>
      <c r="O30" s="3479" t="s">
        <v>3748</v>
      </c>
      <c r="P30" s="3485">
        <v>45041</v>
      </c>
      <c r="Q30" s="3478" t="s">
        <v>3749</v>
      </c>
      <c r="R30" s="3479" t="s">
        <v>3750</v>
      </c>
      <c r="S30" s="3479"/>
      <c r="T30" s="3481">
        <v>0</v>
      </c>
      <c r="U30" s="3479"/>
      <c r="V30" s="3483" t="e">
        <v>#DIV/0!</v>
      </c>
      <c r="W30" s="3479" t="s">
        <v>3751</v>
      </c>
    </row>
    <row r="31" spans="1:23" ht="36" hidden="1">
      <c r="A31" s="3463">
        <v>568</v>
      </c>
      <c r="B31" s="3463" t="s">
        <v>3752</v>
      </c>
      <c r="C31" s="3463" t="s">
        <v>3753</v>
      </c>
      <c r="D31" s="3463" t="s">
        <v>3646</v>
      </c>
      <c r="E31" s="3486" t="s">
        <v>3647</v>
      </c>
      <c r="F31" s="3463" t="s">
        <v>3648</v>
      </c>
      <c r="G31" s="3463" t="s">
        <v>3649</v>
      </c>
      <c r="H31" s="3486"/>
      <c r="I31" s="3487">
        <v>35283.660000000003</v>
      </c>
      <c r="J31" s="3487">
        <v>29000</v>
      </c>
      <c r="K31" s="3487">
        <v>6283.6600000000035</v>
      </c>
      <c r="L31" s="3486">
        <v>90000</v>
      </c>
      <c r="M31" s="3463">
        <v>25508</v>
      </c>
      <c r="N31" s="3486">
        <v>31034</v>
      </c>
      <c r="O31" s="3463" t="s">
        <v>3754</v>
      </c>
      <c r="P31" s="3488" t="s">
        <v>3755</v>
      </c>
      <c r="Q31" s="3489" t="s">
        <v>3756</v>
      </c>
      <c r="R31" s="3490" t="s">
        <v>3733</v>
      </c>
      <c r="S31" s="3486"/>
      <c r="T31" s="3486"/>
      <c r="U31" s="3486"/>
      <c r="V31" s="3486"/>
      <c r="W31" s="3486" t="s">
        <v>3757</v>
      </c>
    </row>
    <row r="32" spans="1:23" ht="96" hidden="1">
      <c r="A32" s="3457">
        <v>571</v>
      </c>
      <c r="B32" s="3457" t="s">
        <v>3758</v>
      </c>
      <c r="C32" s="3457" t="s">
        <v>3759</v>
      </c>
      <c r="D32" s="3461" t="s">
        <v>3655</v>
      </c>
      <c r="E32" s="3461" t="s">
        <v>3730</v>
      </c>
      <c r="F32" s="3461" t="s">
        <v>3731</v>
      </c>
      <c r="G32" s="3457" t="s">
        <v>3593</v>
      </c>
      <c r="H32" s="3461"/>
      <c r="I32" s="3461">
        <v>4550.4799999999996</v>
      </c>
      <c r="J32" s="3462">
        <v>4550.4799999999996</v>
      </c>
      <c r="K32" s="3461"/>
      <c r="L32" s="3461">
        <v>15471.632</v>
      </c>
      <c r="M32" s="3463">
        <v>34000</v>
      </c>
      <c r="N32" s="3464">
        <v>34000</v>
      </c>
      <c r="O32" s="3461" t="s">
        <v>3604</v>
      </c>
      <c r="P32" s="3477">
        <v>45139</v>
      </c>
      <c r="Q32" s="3461" t="s">
        <v>3732</v>
      </c>
      <c r="R32" s="3461" t="s">
        <v>3733</v>
      </c>
      <c r="S32" s="3461"/>
      <c r="T32" s="3467">
        <v>0</v>
      </c>
      <c r="U32" s="3461"/>
      <c r="V32" s="3468" t="e">
        <v>#DIV/0!</v>
      </c>
      <c r="W32" s="3461" t="s">
        <v>3734</v>
      </c>
    </row>
    <row r="33" spans="1:23" ht="96" hidden="1">
      <c r="A33" s="3457">
        <v>578</v>
      </c>
      <c r="B33" s="3457" t="s">
        <v>3760</v>
      </c>
      <c r="C33" s="3457" t="s">
        <v>3761</v>
      </c>
      <c r="D33" s="3461" t="s">
        <v>3655</v>
      </c>
      <c r="E33" s="3461" t="s">
        <v>3730</v>
      </c>
      <c r="F33" s="3461" t="s">
        <v>3731</v>
      </c>
      <c r="G33" s="3457" t="s">
        <v>3593</v>
      </c>
      <c r="H33" s="3461"/>
      <c r="I33" s="3461">
        <v>20425.009999999998</v>
      </c>
      <c r="J33" s="3462">
        <v>20425.009999999998</v>
      </c>
      <c r="K33" s="3461"/>
      <c r="L33" s="3461">
        <v>69445.03</v>
      </c>
      <c r="M33" s="3463">
        <v>34000</v>
      </c>
      <c r="N33" s="3464">
        <v>33999.998041616629</v>
      </c>
      <c r="O33" s="3461" t="s">
        <v>3604</v>
      </c>
      <c r="P33" s="3477">
        <v>45184</v>
      </c>
      <c r="Q33" s="3461" t="s">
        <v>3762</v>
      </c>
      <c r="R33" s="3461" t="s">
        <v>3733</v>
      </c>
      <c r="S33" s="3461"/>
      <c r="T33" s="3467">
        <v>0</v>
      </c>
      <c r="U33" s="3461"/>
      <c r="V33" s="3468" t="e">
        <v>#DIV/0!</v>
      </c>
      <c r="W33" s="3461" t="s">
        <v>3734</v>
      </c>
    </row>
    <row r="34" spans="1:23" ht="72" hidden="1">
      <c r="A34" s="3457">
        <v>585</v>
      </c>
      <c r="B34" s="3457" t="s">
        <v>3763</v>
      </c>
      <c r="C34" s="3457" t="s">
        <v>3764</v>
      </c>
      <c r="D34" s="3461" t="s">
        <v>3609</v>
      </c>
      <c r="E34" s="3461" t="s">
        <v>3765</v>
      </c>
      <c r="F34" s="3461" t="s">
        <v>3766</v>
      </c>
      <c r="G34" s="3457" t="s">
        <v>3767</v>
      </c>
      <c r="H34" s="3461"/>
      <c r="I34" s="3461">
        <v>1500.64</v>
      </c>
      <c r="J34" s="3462">
        <v>1203.8800000000001</v>
      </c>
      <c r="K34" s="3461">
        <v>296.76</v>
      </c>
      <c r="L34" s="3461">
        <v>1623.6775</v>
      </c>
      <c r="M34" s="3463">
        <v>10820</v>
      </c>
      <c r="N34" s="3464">
        <v>13487.03774462571</v>
      </c>
      <c r="O34" s="3457" t="s">
        <v>3768</v>
      </c>
      <c r="P34" s="3469">
        <v>45216</v>
      </c>
      <c r="Q34" s="3457" t="s">
        <v>3769</v>
      </c>
      <c r="R34" s="3461" t="s">
        <v>3770</v>
      </c>
      <c r="S34" s="3461">
        <v>2319.5392000000002</v>
      </c>
      <c r="T34" s="3467">
        <v>19267.196066053093</v>
      </c>
      <c r="U34" s="3461"/>
      <c r="V34" s="3468">
        <v>0.70000002586720667</v>
      </c>
      <c r="W34" s="3461" t="s">
        <v>3597</v>
      </c>
    </row>
    <row r="35" spans="1:23" ht="72" hidden="1">
      <c r="A35" s="3457">
        <v>586</v>
      </c>
      <c r="B35" s="3461" t="s">
        <v>3771</v>
      </c>
      <c r="C35" s="3457" t="s">
        <v>3772</v>
      </c>
      <c r="D35" s="3461" t="s">
        <v>3773</v>
      </c>
      <c r="E35" s="3461" t="s">
        <v>3774</v>
      </c>
      <c r="F35" s="3461" t="s">
        <v>3775</v>
      </c>
      <c r="G35" s="3457" t="s">
        <v>3593</v>
      </c>
      <c r="H35" s="3461"/>
      <c r="I35" s="3461">
        <v>12280.94</v>
      </c>
      <c r="J35" s="3462">
        <v>12280.94</v>
      </c>
      <c r="K35" s="3461"/>
      <c r="L35" s="3467">
        <v>32716.42</v>
      </c>
      <c r="M35" s="3463">
        <v>26640</v>
      </c>
      <c r="N35" s="3464">
        <v>26639.99661263714</v>
      </c>
      <c r="O35" s="3461" t="s">
        <v>3604</v>
      </c>
      <c r="P35" s="3469">
        <v>45217</v>
      </c>
      <c r="Q35" s="3461" t="s">
        <v>3776</v>
      </c>
      <c r="R35" s="3461" t="s">
        <v>3777</v>
      </c>
      <c r="S35" s="3461">
        <v>42983.29</v>
      </c>
      <c r="T35" s="3467">
        <v>35000</v>
      </c>
      <c r="U35" s="3461" t="s">
        <v>3778</v>
      </c>
      <c r="V35" s="3468">
        <v>0.76114276036106121</v>
      </c>
      <c r="W35" s="3461" t="s">
        <v>3734</v>
      </c>
    </row>
    <row r="36" spans="1:23" ht="168">
      <c r="A36" s="3457">
        <v>589</v>
      </c>
      <c r="B36" s="3457" t="s">
        <v>3779</v>
      </c>
      <c r="C36" s="3457" t="s">
        <v>3780</v>
      </c>
      <c r="D36" s="3457" t="s">
        <v>3590</v>
      </c>
      <c r="E36" s="3461" t="s">
        <v>3724</v>
      </c>
      <c r="F36" s="3457" t="s">
        <v>3781</v>
      </c>
      <c r="G36" s="3457" t="s">
        <v>3782</v>
      </c>
      <c r="H36" s="3461"/>
      <c r="I36" s="3461">
        <v>11369.28</v>
      </c>
      <c r="J36" s="3462"/>
      <c r="K36" s="3461"/>
      <c r="L36" s="3491">
        <v>6336.32</v>
      </c>
      <c r="M36" s="3463">
        <v>5573</v>
      </c>
      <c r="N36" s="3464" t="e">
        <v>#DIV/0!</v>
      </c>
      <c r="O36" s="3457" t="s">
        <v>3783</v>
      </c>
      <c r="P36" s="3469">
        <v>45249</v>
      </c>
      <c r="Q36" s="3457" t="s">
        <v>3784</v>
      </c>
      <c r="R36" s="3461" t="s">
        <v>3785</v>
      </c>
      <c r="S36" s="3461">
        <v>11047</v>
      </c>
      <c r="T36" s="3467" t="e">
        <v>#DIV/0!</v>
      </c>
      <c r="U36" s="3461"/>
      <c r="V36" s="3468">
        <v>0.57357834706255084</v>
      </c>
      <c r="W36" s="3461" t="s">
        <v>3577</v>
      </c>
    </row>
    <row r="37" spans="1:23" ht="60" hidden="1">
      <c r="A37" s="3457">
        <v>590</v>
      </c>
      <c r="B37" s="3457" t="s">
        <v>3786</v>
      </c>
      <c r="C37" s="3457" t="s">
        <v>3787</v>
      </c>
      <c r="D37" s="3461" t="s">
        <v>3788</v>
      </c>
      <c r="E37" s="3461" t="s">
        <v>3789</v>
      </c>
      <c r="F37" s="3457" t="s">
        <v>3790</v>
      </c>
      <c r="G37" s="3457" t="s">
        <v>3545</v>
      </c>
      <c r="H37" s="3461"/>
      <c r="I37" s="3461">
        <v>2772.84</v>
      </c>
      <c r="J37" s="3462">
        <v>2772.84</v>
      </c>
      <c r="K37" s="3461"/>
      <c r="L37" s="3461">
        <v>1537.2144000000001</v>
      </c>
      <c r="M37" s="3463">
        <v>5544</v>
      </c>
      <c r="N37" s="3464">
        <v>5543.8265460682915</v>
      </c>
      <c r="O37" s="3457" t="s">
        <v>3791</v>
      </c>
      <c r="P37" s="3469">
        <v>45150</v>
      </c>
      <c r="Q37" s="3461" t="s">
        <v>3792</v>
      </c>
      <c r="R37" s="3461"/>
      <c r="S37" s="3461">
        <v>2347.21</v>
      </c>
      <c r="T37" s="3467">
        <v>8465.0033900261096</v>
      </c>
      <c r="U37" s="3461"/>
      <c r="V37" s="3468">
        <v>0.65491132024829479</v>
      </c>
      <c r="W37" s="3461" t="s">
        <v>3577</v>
      </c>
    </row>
    <row r="38" spans="1:23" ht="72" hidden="1">
      <c r="A38" s="3457">
        <v>591</v>
      </c>
      <c r="B38" s="3457" t="s">
        <v>3793</v>
      </c>
      <c r="C38" s="3461" t="s">
        <v>3685</v>
      </c>
      <c r="D38" s="3461" t="s">
        <v>3585</v>
      </c>
      <c r="E38" s="3457" t="s">
        <v>3686</v>
      </c>
      <c r="F38" s="3461" t="s">
        <v>3687</v>
      </c>
      <c r="G38" s="3457" t="s">
        <v>3688</v>
      </c>
      <c r="H38" s="3461"/>
      <c r="I38" s="3461">
        <v>57617.54</v>
      </c>
      <c r="J38" s="3462">
        <v>51245.68</v>
      </c>
      <c r="K38" s="3462">
        <v>6371.8600000000006</v>
      </c>
      <c r="L38" s="3461">
        <v>81377.37</v>
      </c>
      <c r="M38" s="3463">
        <v>14124</v>
      </c>
      <c r="N38" s="3464">
        <v>15879.849774654176</v>
      </c>
      <c r="O38" s="3461" t="s">
        <v>3546</v>
      </c>
      <c r="P38" s="3465">
        <v>45231</v>
      </c>
      <c r="Q38" s="3461" t="s">
        <v>3794</v>
      </c>
      <c r="R38" s="3461" t="s">
        <v>3565</v>
      </c>
      <c r="S38" s="3461"/>
      <c r="T38" s="3467">
        <v>0</v>
      </c>
      <c r="U38" s="3461"/>
      <c r="V38" s="3468" t="e">
        <v>#DIV/0!</v>
      </c>
      <c r="W38" s="3461" t="s">
        <v>3676</v>
      </c>
    </row>
    <row r="39" spans="1:23" ht="120" hidden="1">
      <c r="A39" s="3457">
        <v>596</v>
      </c>
      <c r="B39" s="3457" t="s">
        <v>3795</v>
      </c>
      <c r="C39" s="3457" t="s">
        <v>3796</v>
      </c>
      <c r="D39" s="3461" t="s">
        <v>3679</v>
      </c>
      <c r="E39" s="3461" t="s">
        <v>3797</v>
      </c>
      <c r="F39" s="3461" t="s">
        <v>3798</v>
      </c>
      <c r="G39" s="3457" t="s">
        <v>3562</v>
      </c>
      <c r="H39" s="3461"/>
      <c r="I39" s="3461">
        <v>19158.28</v>
      </c>
      <c r="J39" s="3462">
        <v>19158.28</v>
      </c>
      <c r="K39" s="3461"/>
      <c r="L39" s="3461">
        <v>167194.31</v>
      </c>
      <c r="M39" s="3463">
        <v>87270</v>
      </c>
      <c r="N39" s="3464">
        <v>87270.000229665719</v>
      </c>
      <c r="O39" s="3461" t="s">
        <v>3546</v>
      </c>
      <c r="P39" s="3465">
        <v>45280</v>
      </c>
      <c r="Q39" s="3457" t="s">
        <v>3799</v>
      </c>
      <c r="R39" s="3461" t="s">
        <v>3800</v>
      </c>
      <c r="S39" s="3461">
        <v>186026.87964172001</v>
      </c>
      <c r="T39" s="3467">
        <v>97099.99000000002</v>
      </c>
      <c r="U39" s="3461"/>
      <c r="V39" s="3468">
        <v>0.89876425558504902</v>
      </c>
      <c r="W39" s="3461" t="s">
        <v>3676</v>
      </c>
    </row>
    <row r="40" spans="1:23" ht="120" hidden="1">
      <c r="A40" s="3457">
        <v>600</v>
      </c>
      <c r="B40" s="3457" t="s">
        <v>3801</v>
      </c>
      <c r="C40" s="3457" t="s">
        <v>3796</v>
      </c>
      <c r="D40" s="3461" t="s">
        <v>3679</v>
      </c>
      <c r="E40" s="3461" t="s">
        <v>3797</v>
      </c>
      <c r="F40" s="3461" t="s">
        <v>3798</v>
      </c>
      <c r="G40" s="3457" t="s">
        <v>3562</v>
      </c>
      <c r="H40" s="3461"/>
      <c r="I40" s="3461">
        <v>9290.6</v>
      </c>
      <c r="J40" s="3462">
        <v>9290.6</v>
      </c>
      <c r="K40" s="3461"/>
      <c r="L40" s="3461">
        <v>81079.070000000007</v>
      </c>
      <c r="M40" s="3463">
        <v>87270</v>
      </c>
      <c r="N40" s="3464">
        <v>87270.004090155649</v>
      </c>
      <c r="O40" s="3461" t="s">
        <v>3546</v>
      </c>
      <c r="P40" s="3465">
        <v>45300</v>
      </c>
      <c r="Q40" s="3457" t="s">
        <v>3802</v>
      </c>
      <c r="R40" s="3461" t="s">
        <v>3800</v>
      </c>
      <c r="S40" s="3461">
        <v>90211.716709400003</v>
      </c>
      <c r="T40" s="3467">
        <v>97099.99</v>
      </c>
      <c r="U40" s="3461"/>
      <c r="V40" s="3468">
        <v>0.89876429534293101</v>
      </c>
      <c r="W40" s="3461" t="s">
        <v>3676</v>
      </c>
    </row>
    <row r="41" spans="1:23" ht="48">
      <c r="A41" s="3457">
        <v>613</v>
      </c>
      <c r="B41" s="3457" t="s">
        <v>3803</v>
      </c>
      <c r="C41" s="3457" t="s">
        <v>3804</v>
      </c>
      <c r="D41" s="3457" t="s">
        <v>3590</v>
      </c>
      <c r="E41" s="3461" t="s">
        <v>3724</v>
      </c>
      <c r="F41" s="3461" t="s">
        <v>3805</v>
      </c>
      <c r="G41" s="3457" t="s">
        <v>3806</v>
      </c>
      <c r="H41" s="3461"/>
      <c r="I41" s="3461">
        <v>5791.2</v>
      </c>
      <c r="J41" s="3462"/>
      <c r="K41" s="3461"/>
      <c r="L41" s="3461">
        <v>9265.92</v>
      </c>
      <c r="M41" s="3463">
        <v>16000</v>
      </c>
      <c r="N41" s="3464" t="e">
        <v>#DIV/0!</v>
      </c>
      <c r="O41" s="3461" t="s">
        <v>3546</v>
      </c>
      <c r="P41" s="3465">
        <v>45292</v>
      </c>
      <c r="Q41" s="3461" t="s">
        <v>3807</v>
      </c>
      <c r="R41" s="3461" t="s">
        <v>3808</v>
      </c>
      <c r="S41" s="3461">
        <v>12740.640000000001</v>
      </c>
      <c r="T41" s="3467" t="e">
        <v>#DIV/0!</v>
      </c>
      <c r="U41" s="3461"/>
      <c r="V41" s="3468">
        <v>0.72727272727272718</v>
      </c>
      <c r="W41" s="3461" t="s">
        <v>3699</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5"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 workbookViewId="0">
      <selection activeCell="Q31" sqref="Q31"/>
    </sheetView>
  </sheetViews>
  <sheetFormatPr defaultColWidth="9" defaultRowHeight="13.5"/>
  <cols>
    <col min="1" max="1" width="9" style="3511"/>
    <col min="2" max="2" width="21.125" style="3511" customWidth="1"/>
    <col min="3" max="6" width="9" style="3511"/>
    <col min="7" max="7" width="18.625" style="3511" customWidth="1"/>
    <col min="8" max="11" width="9" style="3511"/>
    <col min="12" max="12" width="9.5" style="3511" bestFit="1" customWidth="1"/>
    <col min="13" max="15" width="9" style="3511"/>
    <col min="16" max="16" width="15.5" style="3511" customWidth="1"/>
    <col min="17" max="17" width="9.25" style="3511" customWidth="1"/>
    <col min="18" max="16384" width="9" style="3511"/>
  </cols>
  <sheetData>
    <row r="1" spans="1:23" s="3493" customFormat="1">
      <c r="A1" s="3492" t="s">
        <v>3809</v>
      </c>
      <c r="B1" s="3492" t="s">
        <v>3810</v>
      </c>
      <c r="C1" s="3492" t="s">
        <v>3811</v>
      </c>
      <c r="D1" s="3492" t="s">
        <v>3812</v>
      </c>
      <c r="E1" s="3492" t="s">
        <v>3813</v>
      </c>
      <c r="F1" s="3492" t="s">
        <v>3814</v>
      </c>
      <c r="G1" s="3492" t="s">
        <v>672</v>
      </c>
      <c r="H1" s="3492" t="s">
        <v>3815</v>
      </c>
      <c r="I1" s="3492" t="s">
        <v>3816</v>
      </c>
      <c r="J1" s="3492" t="s">
        <v>3817</v>
      </c>
      <c r="K1" s="3492" t="s">
        <v>3818</v>
      </c>
      <c r="L1" s="3492" t="s">
        <v>3819</v>
      </c>
      <c r="M1" s="3492" t="s">
        <v>3820</v>
      </c>
      <c r="N1" s="3492" t="s">
        <v>3821</v>
      </c>
      <c r="O1" s="3492" t="s">
        <v>3822</v>
      </c>
      <c r="P1" s="3492" t="s">
        <v>3823</v>
      </c>
      <c r="Q1" s="3492" t="s">
        <v>3824</v>
      </c>
      <c r="R1" s="3492" t="s">
        <v>3825</v>
      </c>
      <c r="S1" s="3492" t="s">
        <v>3826</v>
      </c>
      <c r="T1" s="3492" t="s">
        <v>3827</v>
      </c>
      <c r="U1" s="3492" t="s">
        <v>3828</v>
      </c>
      <c r="V1" s="3492" t="s">
        <v>3829</v>
      </c>
      <c r="W1" s="3492" t="s">
        <v>3830</v>
      </c>
    </row>
    <row r="2" spans="1:23" s="3493" customFormat="1">
      <c r="A2" s="3494">
        <v>8</v>
      </c>
      <c r="B2" s="3494" t="s">
        <v>3831</v>
      </c>
      <c r="C2" s="3494" t="s">
        <v>3832</v>
      </c>
      <c r="D2" s="3494" t="s">
        <v>3833</v>
      </c>
      <c r="E2" s="3494" t="s">
        <v>3834</v>
      </c>
      <c r="F2" s="3494" t="s">
        <v>3835</v>
      </c>
      <c r="G2" s="3494" t="s">
        <v>3836</v>
      </c>
      <c r="H2" s="3494"/>
      <c r="I2" s="3494">
        <v>25834.13</v>
      </c>
      <c r="J2" s="3494">
        <v>25834.13</v>
      </c>
      <c r="K2" s="3494"/>
      <c r="L2" s="3494">
        <v>78491</v>
      </c>
      <c r="M2" s="3494">
        <v>30383</v>
      </c>
      <c r="N2" s="3494">
        <v>30383</v>
      </c>
      <c r="O2" s="3494" t="s">
        <v>3837</v>
      </c>
      <c r="P2" s="3495">
        <v>44257</v>
      </c>
      <c r="Q2" s="3494" t="s">
        <v>3838</v>
      </c>
      <c r="R2" s="3494" t="s">
        <v>3839</v>
      </c>
      <c r="S2" s="3494"/>
      <c r="T2" s="3494"/>
      <c r="U2" s="3494"/>
      <c r="V2" s="3496"/>
      <c r="W2" s="3494"/>
    </row>
    <row r="3" spans="1:23" s="3493" customFormat="1">
      <c r="A3" s="3497">
        <v>9</v>
      </c>
      <c r="B3" s="3497" t="s">
        <v>3840</v>
      </c>
      <c r="C3" s="3497" t="s">
        <v>3832</v>
      </c>
      <c r="D3" s="3497" t="s">
        <v>3833</v>
      </c>
      <c r="E3" s="3497" t="s">
        <v>3834</v>
      </c>
      <c r="F3" s="3497" t="s">
        <v>3835</v>
      </c>
      <c r="G3" s="3497" t="s">
        <v>3836</v>
      </c>
      <c r="H3" s="3497"/>
      <c r="I3" s="3497">
        <v>12857.96</v>
      </c>
      <c r="J3" s="3497">
        <v>12857.96</v>
      </c>
      <c r="K3" s="3497"/>
      <c r="L3" s="3497">
        <v>39210</v>
      </c>
      <c r="M3" s="3497">
        <v>30495</v>
      </c>
      <c r="N3" s="3497">
        <v>30495</v>
      </c>
      <c r="O3" s="3497" t="s">
        <v>3837</v>
      </c>
      <c r="P3" s="3498">
        <v>44257</v>
      </c>
      <c r="Q3" s="3497" t="s">
        <v>3838</v>
      </c>
      <c r="R3" s="3497" t="s">
        <v>3839</v>
      </c>
      <c r="S3" s="3497"/>
      <c r="T3" s="3497"/>
      <c r="U3" s="3497"/>
      <c r="V3" s="3499"/>
      <c r="W3" s="3497"/>
    </row>
    <row r="4" spans="1:23" s="3493" customFormat="1">
      <c r="A4" s="3494">
        <v>10</v>
      </c>
      <c r="B4" s="3494" t="s">
        <v>3841</v>
      </c>
      <c r="C4" s="3494" t="s">
        <v>3832</v>
      </c>
      <c r="D4" s="3494" t="s">
        <v>3833</v>
      </c>
      <c r="E4" s="3494" t="s">
        <v>3834</v>
      </c>
      <c r="F4" s="3494" t="s">
        <v>3835</v>
      </c>
      <c r="G4" s="3494" t="s">
        <v>3836</v>
      </c>
      <c r="H4" s="3494"/>
      <c r="I4" s="3494">
        <v>12955.85</v>
      </c>
      <c r="J4" s="3494">
        <v>12955.85</v>
      </c>
      <c r="K4" s="3494"/>
      <c r="L4" s="3494">
        <v>38868</v>
      </c>
      <c r="M4" s="3494">
        <v>30000</v>
      </c>
      <c r="N4" s="3494">
        <v>30000</v>
      </c>
      <c r="O4" s="3494" t="s">
        <v>3837</v>
      </c>
      <c r="P4" s="3495">
        <v>44161</v>
      </c>
      <c r="Q4" s="3494" t="s">
        <v>3838</v>
      </c>
      <c r="R4" s="3494" t="s">
        <v>3839</v>
      </c>
      <c r="S4" s="3494"/>
      <c r="T4" s="3494"/>
      <c r="U4" s="3494"/>
      <c r="V4" s="3496"/>
      <c r="W4" s="3494"/>
    </row>
    <row r="5" spans="1:23" s="3504" customFormat="1">
      <c r="A5" s="3500">
        <v>15</v>
      </c>
      <c r="B5" s="3500" t="s">
        <v>3842</v>
      </c>
      <c r="C5" s="3500" t="s">
        <v>3843</v>
      </c>
      <c r="D5" s="3500" t="s">
        <v>3833</v>
      </c>
      <c r="E5" s="3500" t="s">
        <v>3834</v>
      </c>
      <c r="F5" s="3500" t="s">
        <v>3835</v>
      </c>
      <c r="G5" s="3501" t="s">
        <v>3844</v>
      </c>
      <c r="H5" s="3500"/>
      <c r="I5" s="3500">
        <v>66987.539999999994</v>
      </c>
      <c r="J5" s="3500">
        <v>66987.539999999994</v>
      </c>
      <c r="K5" s="3500"/>
      <c r="L5" s="3500">
        <v>267950</v>
      </c>
      <c r="M5" s="3500">
        <v>40000</v>
      </c>
      <c r="N5" s="3501">
        <v>40000</v>
      </c>
      <c r="O5" s="3500" t="s">
        <v>43</v>
      </c>
      <c r="P5" s="3502">
        <v>44161</v>
      </c>
      <c r="Q5" s="3500" t="s">
        <v>3845</v>
      </c>
      <c r="R5" s="3500" t="s">
        <v>3846</v>
      </c>
      <c r="S5" s="3500"/>
      <c r="T5" s="3500"/>
      <c r="U5" s="3500"/>
      <c r="V5" s="3503"/>
      <c r="W5" s="3500"/>
    </row>
    <row r="6" spans="1:23" s="3493" customFormat="1">
      <c r="A6" s="3497">
        <v>17</v>
      </c>
      <c r="B6" s="3497" t="s">
        <v>3847</v>
      </c>
      <c r="C6" s="3497" t="s">
        <v>3832</v>
      </c>
      <c r="D6" s="3497" t="s">
        <v>3833</v>
      </c>
      <c r="E6" s="3497" t="s">
        <v>3834</v>
      </c>
      <c r="F6" s="3497" t="s">
        <v>3835</v>
      </c>
      <c r="G6" s="3505" t="s">
        <v>3836</v>
      </c>
      <c r="H6" s="3497"/>
      <c r="I6" s="3497">
        <v>30280.83</v>
      </c>
      <c r="J6" s="3497">
        <v>30280.83</v>
      </c>
      <c r="K6" s="3497"/>
      <c r="L6" s="3497">
        <v>91206</v>
      </c>
      <c r="M6" s="3497">
        <v>30120</v>
      </c>
      <c r="N6" s="3505">
        <v>30120</v>
      </c>
      <c r="O6" s="3497" t="s">
        <v>3837</v>
      </c>
      <c r="P6" s="3506">
        <v>44267</v>
      </c>
      <c r="Q6" s="3497" t="s">
        <v>3838</v>
      </c>
      <c r="R6" s="3497" t="s">
        <v>3839</v>
      </c>
      <c r="S6" s="3497"/>
      <c r="T6" s="3497"/>
      <c r="U6" s="3497"/>
      <c r="V6" s="3499"/>
      <c r="W6" s="3497"/>
    </row>
    <row r="7" spans="1:23" s="3510" customFormat="1">
      <c r="A7" s="3507">
        <v>24</v>
      </c>
      <c r="B7" s="3507" t="s">
        <v>3848</v>
      </c>
      <c r="C7" s="3507" t="s">
        <v>3849</v>
      </c>
      <c r="D7" s="3507" t="s">
        <v>3833</v>
      </c>
      <c r="E7" s="3507" t="s">
        <v>3850</v>
      </c>
      <c r="F7" s="3507" t="s">
        <v>3851</v>
      </c>
      <c r="G7" s="3507" t="s">
        <v>3852</v>
      </c>
      <c r="H7" s="3507">
        <v>4154.62</v>
      </c>
      <c r="I7" s="3507">
        <v>2784.8</v>
      </c>
      <c r="J7" s="3507">
        <v>2784.8</v>
      </c>
      <c r="K7" s="3507"/>
      <c r="L7" s="3507">
        <v>10175</v>
      </c>
      <c r="M7" s="3507">
        <v>36538</v>
      </c>
      <c r="N7" s="3507">
        <f>M7</f>
        <v>36538</v>
      </c>
      <c r="O7" s="3507" t="s">
        <v>3853</v>
      </c>
      <c r="P7" s="3508">
        <v>44302</v>
      </c>
      <c r="Q7" s="3507" t="s">
        <v>3854</v>
      </c>
      <c r="R7" s="3507" t="s">
        <v>3855</v>
      </c>
      <c r="S7" s="3507">
        <v>8664</v>
      </c>
      <c r="T7" s="3507">
        <v>31110</v>
      </c>
      <c r="U7" s="3507"/>
      <c r="V7" s="3509">
        <v>1.17</v>
      </c>
      <c r="W7" s="3507" t="s">
        <v>3856</v>
      </c>
    </row>
    <row r="8" spans="1:23" s="3510" customFormat="1">
      <c r="A8" s="3507">
        <v>51</v>
      </c>
      <c r="B8" s="3507" t="s">
        <v>3857</v>
      </c>
      <c r="C8" s="3507" t="s">
        <v>3858</v>
      </c>
      <c r="D8" s="3507" t="s">
        <v>3859</v>
      </c>
      <c r="E8" s="3507" t="s">
        <v>3860</v>
      </c>
      <c r="F8" s="3507" t="s">
        <v>3861</v>
      </c>
      <c r="G8" s="3507" t="s">
        <v>3862</v>
      </c>
      <c r="H8" s="3507">
        <v>327.82</v>
      </c>
      <c r="I8" s="3507">
        <v>1702.62</v>
      </c>
      <c r="J8" s="3507">
        <v>1702.62</v>
      </c>
      <c r="K8" s="3507"/>
      <c r="L8" s="3507">
        <v>6441.5559999999996</v>
      </c>
      <c r="M8" s="3507">
        <v>37833</v>
      </c>
      <c r="N8" s="3507">
        <v>37833</v>
      </c>
      <c r="O8" s="3507" t="s">
        <v>3863</v>
      </c>
      <c r="P8" s="3508">
        <v>44502</v>
      </c>
      <c r="Q8" s="3507" t="s">
        <v>3864</v>
      </c>
      <c r="R8" s="3507" t="s">
        <v>3865</v>
      </c>
      <c r="S8" s="3507">
        <v>10056.35</v>
      </c>
      <c r="T8" s="3507">
        <v>59064</v>
      </c>
      <c r="U8" s="3507"/>
      <c r="V8" s="3509">
        <v>0.64</v>
      </c>
      <c r="W8" s="3507" t="s">
        <v>3856</v>
      </c>
    </row>
    <row r="9" spans="1:23" s="3493" customFormat="1">
      <c r="A9" s="3497">
        <v>55</v>
      </c>
      <c r="B9" s="3497" t="s">
        <v>3866</v>
      </c>
      <c r="C9" s="3497" t="s">
        <v>3867</v>
      </c>
      <c r="D9" s="3497" t="s">
        <v>3833</v>
      </c>
      <c r="E9" s="3497" t="s">
        <v>3868</v>
      </c>
      <c r="F9" s="3497" t="s">
        <v>3869</v>
      </c>
      <c r="G9" s="3497" t="s">
        <v>673</v>
      </c>
      <c r="H9" s="3497"/>
      <c r="I9" s="3497">
        <v>377.72</v>
      </c>
      <c r="J9" s="3497">
        <v>377.72</v>
      </c>
      <c r="K9" s="3497"/>
      <c r="L9" s="3497">
        <v>1856.491</v>
      </c>
      <c r="M9" s="3497">
        <v>49150</v>
      </c>
      <c r="N9" s="3497">
        <v>49150</v>
      </c>
      <c r="O9" s="3497" t="s">
        <v>3870</v>
      </c>
      <c r="P9" s="3498">
        <v>44493</v>
      </c>
      <c r="Q9" s="3497" t="s">
        <v>3871</v>
      </c>
      <c r="R9" s="3497" t="s">
        <v>3872</v>
      </c>
      <c r="S9" s="3497">
        <v>1872.13</v>
      </c>
      <c r="T9" s="3497">
        <v>49564</v>
      </c>
      <c r="U9" s="3497"/>
      <c r="V9" s="3499">
        <v>0.99</v>
      </c>
      <c r="W9" s="3497" t="s">
        <v>3856</v>
      </c>
    </row>
    <row r="10" spans="1:23" s="3493" customFormat="1">
      <c r="A10" s="3497">
        <v>57</v>
      </c>
      <c r="B10" s="3497" t="s">
        <v>3873</v>
      </c>
      <c r="C10" s="3497" t="s">
        <v>3874</v>
      </c>
      <c r="D10" s="3497" t="s">
        <v>3833</v>
      </c>
      <c r="E10" s="3497" t="s">
        <v>3868</v>
      </c>
      <c r="F10" s="3497" t="s">
        <v>3875</v>
      </c>
      <c r="G10" s="3497" t="s">
        <v>673</v>
      </c>
      <c r="H10" s="3497">
        <v>428.89</v>
      </c>
      <c r="I10" s="3497">
        <v>1798.66</v>
      </c>
      <c r="J10" s="3497">
        <v>1371.1</v>
      </c>
      <c r="K10" s="3497">
        <v>427.56</v>
      </c>
      <c r="L10" s="3497">
        <v>6671.2269999999999</v>
      </c>
      <c r="M10" s="3497">
        <v>37090</v>
      </c>
      <c r="N10" s="3497">
        <v>48656</v>
      </c>
      <c r="O10" s="3497" t="s">
        <v>3876</v>
      </c>
      <c r="P10" s="3498">
        <v>43709</v>
      </c>
      <c r="Q10" s="3497" t="s">
        <v>3877</v>
      </c>
      <c r="R10" s="3497" t="s">
        <v>3878</v>
      </c>
      <c r="S10" s="3497">
        <v>9530</v>
      </c>
      <c r="T10" s="3497">
        <v>69509</v>
      </c>
      <c r="U10" s="3497"/>
      <c r="V10" s="3499">
        <v>0.7</v>
      </c>
      <c r="W10" s="3497" t="s">
        <v>3856</v>
      </c>
    </row>
    <row r="11" spans="1:23" s="3493" customFormat="1">
      <c r="A11" s="3497">
        <v>78</v>
      </c>
      <c r="B11" s="3497" t="s">
        <v>3879</v>
      </c>
      <c r="C11" s="3497" t="s">
        <v>3880</v>
      </c>
      <c r="D11" s="3497" t="s">
        <v>3833</v>
      </c>
      <c r="E11" s="3497" t="s">
        <v>3850</v>
      </c>
      <c r="F11" s="3497" t="s">
        <v>3881</v>
      </c>
      <c r="G11" s="3497" t="s">
        <v>3882</v>
      </c>
      <c r="H11" s="3497">
        <v>10142.94</v>
      </c>
      <c r="I11" s="3497">
        <v>39145.39</v>
      </c>
      <c r="J11" s="3497">
        <v>33000</v>
      </c>
      <c r="K11" s="3497"/>
      <c r="L11" s="3497">
        <v>250000</v>
      </c>
      <c r="M11" s="3497">
        <v>63864</v>
      </c>
      <c r="N11" s="3497">
        <v>75758</v>
      </c>
      <c r="O11" s="3497" t="s">
        <v>3883</v>
      </c>
      <c r="P11" s="3498" t="s">
        <v>3884</v>
      </c>
      <c r="Q11" s="3497" t="s">
        <v>3885</v>
      </c>
      <c r="R11" s="3497" t="s">
        <v>3886</v>
      </c>
      <c r="S11" s="3497"/>
      <c r="T11" s="3497"/>
      <c r="U11" s="3497" t="s">
        <v>3887</v>
      </c>
      <c r="V11" s="3499"/>
      <c r="W11" s="3497"/>
    </row>
    <row r="12" spans="1:23" s="3493" customFormat="1">
      <c r="A12" s="3497">
        <v>100</v>
      </c>
      <c r="B12" s="3497" t="s">
        <v>3888</v>
      </c>
      <c r="C12" s="3497" t="s">
        <v>3889</v>
      </c>
      <c r="D12" s="3497" t="s">
        <v>3833</v>
      </c>
      <c r="E12" s="3497" t="s">
        <v>3850</v>
      </c>
      <c r="F12" s="3497" t="s">
        <v>3890</v>
      </c>
      <c r="G12" s="3497" t="s">
        <v>21</v>
      </c>
      <c r="H12" s="3497">
        <v>2699.92</v>
      </c>
      <c r="I12" s="3497">
        <v>11428.07</v>
      </c>
      <c r="J12" s="3497">
        <v>6959.3</v>
      </c>
      <c r="K12" s="3497">
        <v>4468.7700000000004</v>
      </c>
      <c r="L12" s="3497">
        <v>36600</v>
      </c>
      <c r="M12" s="3497">
        <v>32026</v>
      </c>
      <c r="N12" s="3497">
        <v>52591</v>
      </c>
      <c r="O12" s="3497" t="s">
        <v>43</v>
      </c>
      <c r="P12" s="3498">
        <v>44256</v>
      </c>
      <c r="Q12" s="3497" t="s">
        <v>3891</v>
      </c>
      <c r="R12" s="3497"/>
      <c r="S12" s="3497"/>
      <c r="T12" s="3497">
        <v>0</v>
      </c>
      <c r="U12" s="3497"/>
      <c r="V12" s="3499" t="e">
        <v>#DIV/0!</v>
      </c>
      <c r="W12" s="3497"/>
    </row>
    <row r="16" spans="1:23">
      <c r="A16" s="3511" t="s">
        <v>3809</v>
      </c>
      <c r="B16" s="3511" t="s">
        <v>3810</v>
      </c>
      <c r="C16" s="3511" t="s">
        <v>3811</v>
      </c>
      <c r="D16" s="3511" t="s">
        <v>3812</v>
      </c>
      <c r="E16" s="3511" t="s">
        <v>3813</v>
      </c>
      <c r="F16" s="3511" t="s">
        <v>3814</v>
      </c>
      <c r="G16" s="3511" t="s">
        <v>672</v>
      </c>
      <c r="H16" s="3511" t="s">
        <v>3815</v>
      </c>
      <c r="I16" s="3511" t="s">
        <v>3816</v>
      </c>
      <c r="J16" s="3511" t="s">
        <v>3817</v>
      </c>
      <c r="K16" s="3511" t="s">
        <v>3818</v>
      </c>
      <c r="L16" s="3511" t="s">
        <v>3819</v>
      </c>
      <c r="M16" s="3511" t="s">
        <v>3820</v>
      </c>
      <c r="N16" s="3511" t="s">
        <v>3821</v>
      </c>
      <c r="O16" s="3511" t="s">
        <v>3822</v>
      </c>
      <c r="P16" s="3511" t="s">
        <v>3823</v>
      </c>
      <c r="Q16" s="3511" t="s">
        <v>3824</v>
      </c>
      <c r="R16" s="3511" t="s">
        <v>3825</v>
      </c>
      <c r="S16" s="3511" t="s">
        <v>3826</v>
      </c>
      <c r="T16" s="3511" t="s">
        <v>3827</v>
      </c>
      <c r="U16" s="3511" t="s">
        <v>3828</v>
      </c>
      <c r="V16" s="3511" t="s">
        <v>3829</v>
      </c>
      <c r="W16" s="3511" t="s">
        <v>3830</v>
      </c>
    </row>
    <row r="17" spans="1:22">
      <c r="A17" s="3511">
        <v>8</v>
      </c>
      <c r="B17" s="3511" t="s">
        <v>3831</v>
      </c>
      <c r="C17" s="3511" t="s">
        <v>3832</v>
      </c>
      <c r="D17" s="3511" t="s">
        <v>3833</v>
      </c>
      <c r="E17" s="3511" t="s">
        <v>3834</v>
      </c>
      <c r="F17" s="3511" t="s">
        <v>3835</v>
      </c>
      <c r="G17" s="3511" t="s">
        <v>3836</v>
      </c>
      <c r="I17" s="3511">
        <v>25834.13</v>
      </c>
      <c r="J17" s="3511">
        <v>25834.13</v>
      </c>
      <c r="L17" s="3511">
        <v>78491</v>
      </c>
      <c r="M17" s="3511">
        <v>30383</v>
      </c>
      <c r="N17" s="3511">
        <v>30383</v>
      </c>
      <c r="O17" s="3511" t="s">
        <v>3837</v>
      </c>
      <c r="P17" s="3512">
        <v>44257</v>
      </c>
      <c r="Q17" s="3511" t="s">
        <v>3838</v>
      </c>
      <c r="R17" s="3511" t="s">
        <v>3839</v>
      </c>
    </row>
    <row r="18" spans="1:22">
      <c r="A18" s="3511">
        <v>9</v>
      </c>
      <c r="B18" s="3511" t="s">
        <v>3840</v>
      </c>
      <c r="C18" s="3511" t="s">
        <v>3832</v>
      </c>
      <c r="D18" s="3511" t="s">
        <v>3833</v>
      </c>
      <c r="E18" s="3511" t="s">
        <v>3834</v>
      </c>
      <c r="F18" s="3511" t="s">
        <v>3835</v>
      </c>
      <c r="G18" s="3511" t="s">
        <v>3836</v>
      </c>
      <c r="I18" s="3511">
        <v>12857.96</v>
      </c>
      <c r="J18" s="3511">
        <v>12857.96</v>
      </c>
      <c r="L18" s="3511">
        <v>39210</v>
      </c>
      <c r="M18" s="3511">
        <v>30495</v>
      </c>
      <c r="N18" s="3511">
        <v>30495</v>
      </c>
      <c r="O18" s="3511" t="s">
        <v>3837</v>
      </c>
      <c r="P18" s="3512">
        <v>44257</v>
      </c>
      <c r="Q18" s="3511" t="s">
        <v>3838</v>
      </c>
      <c r="R18" s="3511" t="s">
        <v>3839</v>
      </c>
    </row>
    <row r="19" spans="1:22">
      <c r="A19" s="3511">
        <v>10</v>
      </c>
      <c r="B19" s="3511" t="s">
        <v>3841</v>
      </c>
      <c r="C19" s="3511" t="s">
        <v>3832</v>
      </c>
      <c r="D19" s="3511" t="s">
        <v>3833</v>
      </c>
      <c r="E19" s="3511" t="s">
        <v>3834</v>
      </c>
      <c r="F19" s="3511" t="s">
        <v>3835</v>
      </c>
      <c r="G19" s="3511" t="s">
        <v>3836</v>
      </c>
      <c r="I19" s="3511">
        <v>12955.85</v>
      </c>
      <c r="J19" s="3511">
        <v>12955.85</v>
      </c>
      <c r="L19" s="3511">
        <v>38868</v>
      </c>
      <c r="M19" s="3511">
        <v>30000</v>
      </c>
      <c r="N19" s="3511">
        <v>30000</v>
      </c>
      <c r="O19" s="3511" t="s">
        <v>3837</v>
      </c>
      <c r="P19" s="3512">
        <v>44161</v>
      </c>
      <c r="Q19" s="3511" t="s">
        <v>3838</v>
      </c>
      <c r="R19" s="3511" t="s">
        <v>3839</v>
      </c>
    </row>
    <row r="20" spans="1:22">
      <c r="A20" s="3511">
        <v>15</v>
      </c>
      <c r="B20" s="3513" t="s">
        <v>3892</v>
      </c>
      <c r="C20" s="3511" t="s">
        <v>3843</v>
      </c>
      <c r="D20" s="3511" t="s">
        <v>3833</v>
      </c>
      <c r="E20" s="3511" t="s">
        <v>3834</v>
      </c>
      <c r="F20" s="3511" t="s">
        <v>3835</v>
      </c>
      <c r="G20" s="3511" t="s">
        <v>3844</v>
      </c>
      <c r="I20" s="3511">
        <v>66987.539999999994</v>
      </c>
      <c r="J20" s="3511">
        <v>66987.539999999994</v>
      </c>
      <c r="L20" s="3511">
        <v>267950</v>
      </c>
      <c r="M20" s="3511">
        <v>40000</v>
      </c>
      <c r="N20" s="3511">
        <v>40000</v>
      </c>
      <c r="O20" s="3511" t="s">
        <v>43</v>
      </c>
      <c r="P20" s="3512">
        <v>44161</v>
      </c>
      <c r="Q20" s="3511" t="s">
        <v>3845</v>
      </c>
      <c r="R20" s="3511" t="s">
        <v>3846</v>
      </c>
    </row>
    <row r="21" spans="1:22" s="3514" customFormat="1">
      <c r="A21" s="3514">
        <v>67</v>
      </c>
      <c r="B21" s="3514" t="s">
        <v>3893</v>
      </c>
      <c r="C21" s="3514" t="s">
        <v>3894</v>
      </c>
      <c r="D21" s="3514" t="s">
        <v>3859</v>
      </c>
      <c r="E21" s="3514" t="s">
        <v>3895</v>
      </c>
      <c r="F21" s="3514" t="s">
        <v>3896</v>
      </c>
      <c r="G21" s="3514" t="s">
        <v>3897</v>
      </c>
      <c r="I21" s="3514">
        <v>11235.4</v>
      </c>
      <c r="J21" s="3514">
        <v>11235.4</v>
      </c>
      <c r="L21" s="3514">
        <v>42694.52</v>
      </c>
      <c r="M21" s="3514">
        <v>38000</v>
      </c>
      <c r="N21" s="3514">
        <v>38000</v>
      </c>
      <c r="O21" s="3514" t="s">
        <v>3898</v>
      </c>
      <c r="P21" s="3515">
        <v>44531</v>
      </c>
      <c r="Q21" s="3514" t="s">
        <v>3899</v>
      </c>
      <c r="R21" s="3514" t="s">
        <v>3900</v>
      </c>
      <c r="T21" s="3514">
        <v>0</v>
      </c>
      <c r="V21" s="3514" t="e">
        <v>#DIV/0!</v>
      </c>
    </row>
    <row r="22" spans="1:22" s="3514" customFormat="1">
      <c r="A22" s="3514">
        <v>93</v>
      </c>
      <c r="B22" s="3516" t="s">
        <v>3506</v>
      </c>
      <c r="C22" s="3514" t="s">
        <v>3894</v>
      </c>
      <c r="D22" s="3514" t="s">
        <v>3859</v>
      </c>
      <c r="E22" s="3514" t="s">
        <v>3895</v>
      </c>
      <c r="F22" s="3514" t="s">
        <v>3896</v>
      </c>
      <c r="G22" s="3514" t="s">
        <v>3897</v>
      </c>
      <c r="I22" s="3514">
        <v>11235.4</v>
      </c>
      <c r="J22" s="3514">
        <v>11235.4</v>
      </c>
      <c r="L22" s="3514">
        <v>43033</v>
      </c>
      <c r="M22" s="3514">
        <v>38301</v>
      </c>
      <c r="N22" s="3514">
        <v>38301</v>
      </c>
      <c r="O22" s="3514" t="s">
        <v>3901</v>
      </c>
      <c r="P22" s="3515">
        <v>44531</v>
      </c>
      <c r="Q22" s="3514" t="s">
        <v>3899</v>
      </c>
      <c r="R22" s="3514" t="s">
        <v>3900</v>
      </c>
      <c r="T22" s="3514">
        <v>0</v>
      </c>
      <c r="V22" s="3514" t="e">
        <v>#DIV/0!</v>
      </c>
    </row>
  </sheetData>
  <phoneticPr fontId="135"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7" zoomScale="80" zoomScaleNormal="70" zoomScaleSheetLayoutView="80"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3492</v>
      </c>
      <c r="D1" s="1362" t="s">
        <v>43</v>
      </c>
      <c r="E1" s="1363" t="s">
        <v>678</v>
      </c>
      <c r="F1" s="1062">
        <f ca="1">J53</f>
        <v>34.74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169918</v>
      </c>
      <c r="C2" s="1387" t="s">
        <v>805</v>
      </c>
      <c r="D2" s="1387"/>
      <c r="E2" s="1388"/>
      <c r="F2" s="1389"/>
      <c r="G2" s="2704"/>
      <c r="H2" s="2693"/>
      <c r="I2" s="2693"/>
      <c r="J2" s="2693"/>
      <c r="K2" s="2694"/>
      <c r="L2" s="2693"/>
      <c r="M2" s="2693"/>
    </row>
    <row r="3" spans="1:37" ht="18" customHeight="1" thickBot="1">
      <c r="A3" s="1390" t="s">
        <v>806</v>
      </c>
      <c r="B3" s="1391">
        <f ca="1">IF(ISERROR(B2*10000/F43),0,ROUND(B2*10000/F43,0))</f>
        <v>30419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10661</v>
      </c>
      <c r="D5" s="1364" t="s">
        <v>693</v>
      </c>
      <c r="E5" s="1071"/>
      <c r="F5" s="1072"/>
      <c r="G5" s="1384"/>
      <c r="H5" s="299">
        <v>1</v>
      </c>
      <c r="I5" s="300" t="s">
        <v>692</v>
      </c>
      <c r="J5" s="1070">
        <f ca="1">J6+J10+J12</f>
        <v>0</v>
      </c>
      <c r="K5" s="1364" t="s">
        <v>693</v>
      </c>
      <c r="L5" s="1071"/>
      <c r="M5" s="1072"/>
    </row>
    <row r="6" spans="1:37" ht="18" customHeight="1">
      <c r="A6" s="1069" t="s">
        <v>398</v>
      </c>
      <c r="B6" s="3797" t="s">
        <v>694</v>
      </c>
      <c r="C6" s="1074">
        <f ca="1">ROUND(F6*F8*F7*(1-F9)/10000,0)</f>
        <v>10648</v>
      </c>
      <c r="D6" s="155" t="s">
        <v>2108</v>
      </c>
      <c r="E6" s="302" t="s">
        <v>696</v>
      </c>
      <c r="F6" s="303">
        <f ca="1">INDIRECT("'数据-取费表'!u"&amp;$G$1)</f>
        <v>6.8</v>
      </c>
      <c r="G6" s="1384"/>
      <c r="H6" s="1069" t="s">
        <v>398</v>
      </c>
      <c r="I6" s="3797" t="s">
        <v>694</v>
      </c>
      <c r="J6" s="301">
        <f ca="1">ROUND(M6*M8*M7*(1-M9)/10000,0)</f>
        <v>0</v>
      </c>
      <c r="K6" s="155" t="s">
        <v>2107</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47667.279999999977</v>
      </c>
      <c r="G7" s="1384"/>
      <c r="H7" s="304"/>
      <c r="I7" s="3798"/>
      <c r="J7" s="306"/>
      <c r="K7" s="307"/>
      <c r="L7" s="302" t="s">
        <v>697</v>
      </c>
      <c r="M7" s="303">
        <f ca="1">F7</f>
        <v>47667.279999999977</v>
      </c>
    </row>
    <row r="8" spans="1:37" ht="18" customHeight="1">
      <c r="A8" s="304"/>
      <c r="B8" s="3798"/>
      <c r="C8" s="306"/>
      <c r="D8" s="307"/>
      <c r="E8" s="302" t="s">
        <v>698</v>
      </c>
      <c r="F8" s="303">
        <f ca="1">INDIRECT("'数据-取费表'!ai"&amp;$G$1)</f>
        <v>365</v>
      </c>
      <c r="G8" s="1384"/>
      <c r="H8" s="304"/>
      <c r="I8" s="3798"/>
      <c r="J8" s="306"/>
      <c r="K8" s="307"/>
      <c r="L8" s="302" t="s">
        <v>698</v>
      </c>
      <c r="M8" s="303">
        <f ca="1">INDIRECT("'数据-取费表'!ai"&amp;$G$1)</f>
        <v>365</v>
      </c>
    </row>
    <row r="9" spans="1:37" ht="18" customHeight="1">
      <c r="A9" s="304"/>
      <c r="B9" s="3799"/>
      <c r="C9" s="306"/>
      <c r="D9" s="307"/>
      <c r="E9" s="302" t="s">
        <v>699</v>
      </c>
      <c r="F9" s="312">
        <f ca="1">INDIRECT("'数据-取费表'!w"&amp;$G$1)</f>
        <v>0.1</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2116</v>
      </c>
      <c r="E10" s="313" t="s">
        <v>701</v>
      </c>
      <c r="F10" s="1116" t="s">
        <v>3924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38072</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30722</v>
      </c>
      <c r="D14" s="1345" t="s">
        <v>708</v>
      </c>
      <c r="E14" s="1342"/>
      <c r="F14" s="319"/>
      <c r="G14" s="1384"/>
      <c r="H14" s="982" t="s">
        <v>398</v>
      </c>
      <c r="I14" s="302" t="s">
        <v>709</v>
      </c>
      <c r="J14" s="21">
        <f ca="1">C29</f>
        <v>44790</v>
      </c>
      <c r="K14" s="12"/>
      <c r="L14" s="807"/>
      <c r="M14" s="808"/>
    </row>
    <row r="15" spans="1:37" s="1397" customFormat="1" ht="18" customHeight="1" thickBot="1">
      <c r="A15" s="982" t="s">
        <v>399</v>
      </c>
      <c r="B15" s="302" t="s">
        <v>710</v>
      </c>
      <c r="C15" s="21">
        <f ca="1">ROUND(C14*F15,0)</f>
        <v>1536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224</v>
      </c>
      <c r="K16" s="1087" t="s">
        <v>715</v>
      </c>
      <c r="L16" s="1088"/>
      <c r="M16" s="1072"/>
    </row>
    <row r="17" spans="1:37" s="1397" customFormat="1" ht="18" customHeight="1">
      <c r="A17" s="982" t="s">
        <v>681</v>
      </c>
      <c r="B17" s="302" t="s">
        <v>716</v>
      </c>
      <c r="C17" s="21">
        <f ca="1">ROUND(F17*(F43+INDIRECT("'数据-取费表'!S"&amp;$G$1))/10000,0)</f>
        <v>1117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33989</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1020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223.95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-224</v>
      </c>
      <c r="K25" s="1095" t="s">
        <v>753</v>
      </c>
      <c r="L25" s="1096"/>
      <c r="M25" s="1097"/>
    </row>
    <row r="26" spans="1:37">
      <c r="A26" s="982" t="s">
        <v>397</v>
      </c>
      <c r="B26" s="302" t="s">
        <v>754</v>
      </c>
      <c r="C26" s="21">
        <f ca="1">ROUND((C19+C20)*F26,0)</f>
        <v>5251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44790</v>
      </c>
      <c r="D29" s="1092"/>
      <c r="E29" s="1090"/>
      <c r="F29" s="1093"/>
      <c r="G29" s="1396"/>
      <c r="H29" s="334" t="s">
        <v>396</v>
      </c>
      <c r="I29" s="335" t="s">
        <v>768</v>
      </c>
      <c r="J29" s="336">
        <f ca="1">ROUND(J26/(1+F40)^F41,0)</f>
        <v>0</v>
      </c>
      <c r="K29" s="337" t="s">
        <v>769</v>
      </c>
      <c r="L29" s="338"/>
      <c r="M29" s="339">
        <f ca="1">INDIRECT("'数据-取费表'!k"&amp;$G$1)</f>
        <v>55858.869999999981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2119</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1784.8</v>
      </c>
      <c r="D31" s="1345" t="s">
        <v>720</v>
      </c>
      <c r="E31" s="1344" t="s">
        <v>770</v>
      </c>
      <c r="F31" s="2315" t="str">
        <f>IF(项目基本情况!B11="企业","——",IF(M47="住宅",IF(F6*F7*F8/12/(1+'数据-取费表'!F30)&gt;100000,4%,2.5%),IF(F6*F7*F8/12/(1+'数据-取费表'!F30)&gt;100000,12%,7%)))</f>
        <v>——</v>
      </c>
      <c r="G31" s="1384"/>
      <c r="H31" s="2806" t="s">
        <v>2302</v>
      </c>
      <c r="I31" s="1398"/>
      <c r="J31" s="1399"/>
      <c r="K31" s="2473"/>
      <c r="L31" s="2696"/>
      <c r="M31" s="2697"/>
    </row>
    <row r="32" spans="1:37" ht="18" customHeight="1">
      <c r="A32" s="982" t="s">
        <v>397</v>
      </c>
      <c r="B32" s="302" t="s">
        <v>723</v>
      </c>
      <c r="C32" s="21">
        <f ca="1">IF(项目基本情况!B11="自然人","——",ROUND(C6*F32/(1+'数据-取费表'!C42),2))</f>
        <v>567.89</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1216.9100000000001</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223.95</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57.11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53.31</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8542</v>
      </c>
      <c r="D39" s="1095" t="s">
        <v>773</v>
      </c>
      <c r="E39" s="1096"/>
      <c r="F39" s="1097"/>
      <c r="G39" s="1384"/>
      <c r="H39" s="2698">
        <f ca="1">C39/C6</f>
        <v>0.8022163786626596</v>
      </c>
      <c r="I39" s="1398"/>
      <c r="J39" s="1399"/>
      <c r="K39" s="2702"/>
      <c r="L39" s="2698"/>
      <c r="M39" s="2698"/>
    </row>
    <row r="40" spans="1:18" ht="18" customHeight="1">
      <c r="A40" s="299" t="s">
        <v>395</v>
      </c>
      <c r="B40" s="300" t="s">
        <v>774</v>
      </c>
      <c r="C40" s="301">
        <f ca="1">ROUND(C39*(1-((1+F42)/(1+F40))^F41)/(F40-F42),0)</f>
        <v>168466</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34.74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30159</v>
      </c>
      <c r="D43" s="337" t="s">
        <v>777</v>
      </c>
      <c r="E43" s="338" t="s">
        <v>778</v>
      </c>
      <c r="F43" s="339">
        <f ca="1">INDIRECT("'数据-取费表'!k"&amp;$G$1)</f>
        <v>55858.869999999981</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-172780</v>
      </c>
      <c r="D46" s="1406" t="str">
        <f>C2</f>
        <v>万元</v>
      </c>
      <c r="E46" s="1400"/>
      <c r="F46" s="1400"/>
      <c r="I46" s="1407" t="s">
        <v>810</v>
      </c>
      <c r="J46" s="1408"/>
      <c r="K46" s="1409"/>
      <c r="L46" s="1410">
        <f ca="1">IF(M47="住宅",0,IF(L48&gt;J51,L60,J60))</f>
        <v>1452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3511</v>
      </c>
      <c r="K47" s="1416" t="s">
        <v>816</v>
      </c>
      <c r="L47" s="1417">
        <f ca="1">INDIRECT("'数据-取费表'!d"&amp;$G$1)</f>
        <v>50</v>
      </c>
      <c r="M47" s="1380" t="str">
        <f>IF(ISNUMBER(FIND("住宅",C1)),"住宅","非住宅")</f>
        <v>非住宅</v>
      </c>
      <c r="O47" s="1418" t="s">
        <v>403</v>
      </c>
      <c r="P47" s="1419" t="s">
        <v>817</v>
      </c>
      <c r="Q47" s="1420">
        <f ca="1">C40+J29</f>
        <v>168466</v>
      </c>
      <c r="R47" s="1420" t="s">
        <v>818</v>
      </c>
    </row>
    <row r="48" spans="1:18" s="1384" customFormat="1" ht="28.5" thickBot="1">
      <c r="A48" s="1110" t="s">
        <v>438</v>
      </c>
      <c r="B48" s="300" t="s">
        <v>692</v>
      </c>
      <c r="C48" s="1359">
        <f ca="1">C49+C53+C55</f>
        <v>0</v>
      </c>
      <c r="D48" s="1112"/>
      <c r="E48" s="1113"/>
      <c r="F48" s="962"/>
      <c r="G48" s="722"/>
      <c r="H48" s="723"/>
      <c r="I48" s="1421" t="s">
        <v>819</v>
      </c>
      <c r="J48" s="1422" t="s">
        <v>3925</v>
      </c>
      <c r="K48" s="1423" t="s">
        <v>820</v>
      </c>
      <c r="L48" s="1424">
        <f ca="1">INDIRECT("'数据-取费表'!f"&amp;$G$1)</f>
        <v>34.74</v>
      </c>
      <c r="O48" s="1418" t="s">
        <v>404</v>
      </c>
      <c r="P48" s="1419" t="s">
        <v>821</v>
      </c>
      <c r="Q48" s="1420">
        <f ca="1">J60</f>
        <v>1452</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2015</v>
      </c>
      <c r="K49" s="1423" t="s">
        <v>824</v>
      </c>
      <c r="L49" s="1427"/>
      <c r="O49" s="1428" t="s">
        <v>405</v>
      </c>
      <c r="P49" s="1419" t="s">
        <v>825</v>
      </c>
      <c r="Q49" s="1420">
        <f ca="1">C29</f>
        <v>44790</v>
      </c>
      <c r="R49" s="1420" t="s">
        <v>818</v>
      </c>
    </row>
    <row r="50" spans="1:18" s="1384" customFormat="1" ht="13.5" thickBot="1">
      <c r="A50" s="976"/>
      <c r="B50" s="979"/>
      <c r="C50" s="1118"/>
      <c r="D50" s="953"/>
      <c r="E50" s="1056" t="s">
        <v>697</v>
      </c>
      <c r="F50" s="1057">
        <f ca="1">F7</f>
        <v>47667.279999999977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107777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34.74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34.74</v>
      </c>
      <c r="K53" s="3795" t="s">
        <v>837</v>
      </c>
      <c r="L53" s="3796"/>
      <c r="O53" s="1418" t="s">
        <v>409</v>
      </c>
      <c r="P53" s="1419" t="s">
        <v>838</v>
      </c>
      <c r="Q53" s="1420">
        <f ca="1">Q47+Q48</f>
        <v>169918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0.27100000000000002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38072</v>
      </c>
      <c r="D56" s="1447"/>
      <c r="E56" s="1448"/>
      <c r="F56" s="1440"/>
      <c r="I56" s="1449" t="s">
        <v>842</v>
      </c>
      <c r="J56" s="1450" t="s">
        <v>3926</v>
      </c>
      <c r="K56" s="1421" t="s">
        <v>843</v>
      </c>
      <c r="L56" s="1424" t="str">
        <f ca="1">IF(L48&lt;J51,"——",L48-J53)</f>
        <v>——</v>
      </c>
      <c r="O56" s="1418" t="s">
        <v>403</v>
      </c>
      <c r="P56" s="1419" t="s">
        <v>817</v>
      </c>
      <c r="Q56" s="1420">
        <f ca="1">C40+J29</f>
        <v>168466</v>
      </c>
      <c r="R56" s="1420" t="s">
        <v>818</v>
      </c>
    </row>
    <row r="57" spans="1:18" s="1384" customFormat="1" ht="24.75" thickBot="1">
      <c r="A57" s="1451"/>
      <c r="B57" s="950" t="s">
        <v>767</v>
      </c>
      <c r="C57" s="238">
        <f ca="1">C29</f>
        <v>44790</v>
      </c>
      <c r="D57" s="1452"/>
      <c r="E57" s="1453"/>
      <c r="F57" s="1454"/>
      <c r="I57" s="1455" t="s">
        <v>844</v>
      </c>
      <c r="J57" s="1456">
        <f ca="1">IF(OR(M47="住宅",J51&lt;L48,J56="是"),"——",J51-L48)</f>
        <v>16.259999999999998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17916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1452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168466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223.95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57.11</v>
      </c>
      <c r="D65" s="964" t="s">
        <v>743</v>
      </c>
      <c r="E65" s="950" t="s">
        <v>744</v>
      </c>
      <c r="F65" s="330">
        <f t="shared" ca="1" si="0"/>
        <v>1.5E-3</v>
      </c>
      <c r="I65" s="1462" t="s">
        <v>867</v>
      </c>
      <c r="J65" s="1463">
        <v>40</v>
      </c>
      <c r="K65" s="1463">
        <v>30</v>
      </c>
      <c r="L65" s="1463">
        <v>50</v>
      </c>
      <c r="M65" s="1465">
        <v>0.02</v>
      </c>
      <c r="O65" s="1418" t="s">
        <v>403</v>
      </c>
      <c r="P65" s="1419" t="s">
        <v>868</v>
      </c>
      <c r="Q65" s="1420">
        <f ca="1">C40+J29</f>
        <v>168466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-281</v>
      </c>
      <c r="D67" s="963" t="s">
        <v>753</v>
      </c>
      <c r="E67" s="968"/>
      <c r="F67" s="969"/>
      <c r="O67" s="1428" t="s">
        <v>405</v>
      </c>
      <c r="P67" s="1419" t="s">
        <v>850</v>
      </c>
      <c r="Q67" s="1466">
        <f ca="1">L51</f>
        <v>107777</v>
      </c>
      <c r="R67" s="1420" t="s">
        <v>870</v>
      </c>
    </row>
    <row r="68" spans="1:18" s="1384" customFormat="1" ht="16.5" thickBot="1">
      <c r="A68" s="947" t="s">
        <v>395</v>
      </c>
      <c r="B68" s="948" t="s">
        <v>774</v>
      </c>
      <c r="C68" s="301">
        <f ca="1">ROUND(C67*(1-((1+F70)/(1+F68))^F69)/(F68-F70),0)</f>
        <v>-4314</v>
      </c>
      <c r="D68" s="965" t="s">
        <v>758</v>
      </c>
      <c r="E68" s="950" t="s">
        <v>759</v>
      </c>
      <c r="F68" s="312">
        <f ca="1">F40</f>
        <v>5.5E-2</v>
      </c>
      <c r="O68" s="1428" t="s">
        <v>406</v>
      </c>
      <c r="P68" s="1467" t="s">
        <v>871</v>
      </c>
      <c r="Q68" s="1420">
        <f ca="1">ROUND(Q69-Q70*Q71,0)</f>
        <v>5877</v>
      </c>
      <c r="R68" s="1420" t="s">
        <v>414</v>
      </c>
    </row>
    <row r="69" spans="1:18" s="1384" customFormat="1" ht="13.5" thickBot="1">
      <c r="A69" s="951"/>
      <c r="B69" s="952"/>
      <c r="C69" s="306"/>
      <c r="D69" s="970" t="s">
        <v>762</v>
      </c>
      <c r="E69" s="950" t="s">
        <v>763</v>
      </c>
      <c r="F69" s="333">
        <f ca="1">F41</f>
        <v>34.74</v>
      </c>
      <c r="O69" s="1428" t="s">
        <v>411</v>
      </c>
      <c r="P69" s="1467" t="s">
        <v>872</v>
      </c>
      <c r="Q69" s="1420">
        <f ca="1">C39</f>
        <v>8542</v>
      </c>
      <c r="R69" s="1420" t="s">
        <v>818</v>
      </c>
    </row>
    <row r="70" spans="1:18" s="1384" customFormat="1" ht="13.5" thickBot="1">
      <c r="A70" s="954"/>
      <c r="B70" s="955"/>
      <c r="C70" s="310"/>
      <c r="D70" s="966"/>
      <c r="E70" s="950" t="s">
        <v>766</v>
      </c>
      <c r="F70" s="1054"/>
      <c r="O70" s="1428" t="s">
        <v>412</v>
      </c>
      <c r="P70" s="1467" t="s">
        <v>873</v>
      </c>
      <c r="Q70" s="1420">
        <f ca="1">C13</f>
        <v>38072</v>
      </c>
      <c r="R70" s="1420" t="s">
        <v>818</v>
      </c>
    </row>
    <row r="71" spans="1:18" s="1384" customFormat="1" ht="13.5" thickBot="1">
      <c r="A71" s="971" t="s">
        <v>396</v>
      </c>
      <c r="B71" s="972" t="s">
        <v>776</v>
      </c>
      <c r="C71" s="336">
        <f ca="1">ROUND(C68*10000/F71,0)</f>
        <v>-772</v>
      </c>
      <c r="D71" s="973" t="s">
        <v>777</v>
      </c>
      <c r="E71" s="974" t="s">
        <v>778</v>
      </c>
      <c r="F71" s="339">
        <f ca="1">F43</f>
        <v>55858.869999999981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2665</v>
      </c>
      <c r="D75" s="1384"/>
      <c r="E75" s="1384"/>
      <c r="F75" s="1384"/>
      <c r="K75" s="1402"/>
      <c r="L75" s="1384"/>
      <c r="O75" s="1418" t="s">
        <v>409</v>
      </c>
      <c r="P75" s="1419" t="s">
        <v>838</v>
      </c>
      <c r="Q75" s="1420">
        <f ca="1">Q65+Q66</f>
        <v>168466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0.68799999999999994</v>
      </c>
    </row>
    <row r="80" spans="1:18">
      <c r="B80" s="340" t="s">
        <v>800</v>
      </c>
      <c r="C80" s="274">
        <f ca="1">ROUND(C75/C39,3)</f>
        <v>0.312</v>
      </c>
    </row>
    <row r="81" spans="2:3">
      <c r="B81" s="270" t="s">
        <v>801</v>
      </c>
      <c r="C81" s="238"/>
    </row>
    <row r="82" spans="2:3">
      <c r="B82" s="273" t="s">
        <v>802</v>
      </c>
      <c r="C82" s="275">
        <f ca="1">1-C83</f>
        <v>0.77400000000000002</v>
      </c>
    </row>
    <row r="83" spans="2:3">
      <c r="B83" s="273" t="s">
        <v>803</v>
      </c>
      <c r="C83" s="274">
        <f ca="1">ROUND(C13/C40,3)</f>
        <v>0.22600000000000001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99"/>
  <sheetViews>
    <sheetView tabSelected="1" topLeftCell="A61" zoomScale="85" zoomScaleNormal="85" workbookViewId="0">
      <selection activeCell="I84" sqref="I84"/>
    </sheetView>
  </sheetViews>
  <sheetFormatPr defaultRowHeight="13.5"/>
  <cols>
    <col min="1" max="1" width="9" style="3460"/>
    <col min="2" max="2" width="7.625" style="3460" hidden="1" customWidth="1"/>
    <col min="3" max="3" width="28.125" style="3460" customWidth="1"/>
    <col min="4" max="4" width="13" style="3460" customWidth="1"/>
    <col min="5" max="5" width="16.5" style="3460" customWidth="1"/>
    <col min="6" max="7" width="21.625" style="3460" customWidth="1"/>
    <col min="8" max="8" width="11.125" style="3460" customWidth="1"/>
    <col min="9" max="9" width="14.75" style="3460" customWidth="1"/>
    <col min="10" max="10" width="17.875" style="3460" customWidth="1"/>
    <col min="11" max="11" width="19" style="3460" customWidth="1"/>
    <col min="12" max="12" width="9" style="3460"/>
    <col min="13" max="13" width="9.5" style="3460" bestFit="1" customWidth="1"/>
    <col min="14" max="14" width="9" style="3460"/>
    <col min="15" max="15" width="12.625" style="3460" customWidth="1"/>
    <col min="16" max="16384" width="9" style="3460"/>
  </cols>
  <sheetData>
    <row r="2" spans="1:13" ht="33.75">
      <c r="A2" s="3534"/>
      <c r="B2" s="3534"/>
      <c r="C2" s="3534"/>
      <c r="D2" s="3534"/>
      <c r="E2" s="3800" t="s">
        <v>3944</v>
      </c>
      <c r="F2" s="3801"/>
      <c r="G2" s="3801"/>
      <c r="H2" s="3534"/>
      <c r="I2" s="3534"/>
      <c r="J2" s="3534"/>
      <c r="K2" s="3534"/>
    </row>
    <row r="3" spans="1:13">
      <c r="A3" s="3534"/>
      <c r="B3" s="3534"/>
      <c r="C3" s="3534"/>
      <c r="D3" s="3534"/>
      <c r="E3" s="3534"/>
      <c r="F3" s="3534"/>
      <c r="G3" s="3534"/>
      <c r="H3" s="3534"/>
      <c r="I3" s="3534"/>
      <c r="J3" s="3534"/>
      <c r="K3" s="3534"/>
    </row>
    <row r="4" spans="1:13" ht="16.5">
      <c r="A4" s="3535" t="s">
        <v>3809</v>
      </c>
      <c r="B4" s="3535" t="s">
        <v>3945</v>
      </c>
      <c r="C4" s="3535" t="s">
        <v>3946</v>
      </c>
      <c r="D4" s="3536" t="s">
        <v>3947</v>
      </c>
      <c r="E4" s="3536" t="s">
        <v>3948</v>
      </c>
      <c r="F4" s="3535" t="s">
        <v>3810</v>
      </c>
      <c r="G4" s="3535" t="s">
        <v>3949</v>
      </c>
      <c r="H4" s="3535" t="s">
        <v>3950</v>
      </c>
      <c r="I4" s="3537" t="s">
        <v>3951</v>
      </c>
      <c r="J4" s="3537" t="s">
        <v>3952</v>
      </c>
      <c r="K4" s="3537" t="s">
        <v>3953</v>
      </c>
    </row>
    <row r="5" spans="1:13" s="3544" customFormat="1" ht="27.75" customHeight="1">
      <c r="A5" s="3538">
        <v>1</v>
      </c>
      <c r="B5" s="3538" t="s">
        <v>3954</v>
      </c>
      <c r="C5" s="3539" t="s">
        <v>3955</v>
      </c>
      <c r="D5" s="3540">
        <v>43191</v>
      </c>
      <c r="E5" s="3540">
        <v>45107</v>
      </c>
      <c r="F5" s="3539" t="s">
        <v>3956</v>
      </c>
      <c r="G5" s="3539" t="s">
        <v>3957</v>
      </c>
      <c r="H5" s="3541">
        <v>647.01</v>
      </c>
      <c r="I5" s="3542">
        <v>399.7</v>
      </c>
      <c r="J5" s="3542" t="s">
        <v>3958</v>
      </c>
      <c r="K5" s="3543">
        <v>16137257.760000002</v>
      </c>
      <c r="L5" s="3544">
        <f t="shared" ref="L5:L18" si="0">ROUND(I5*12/365,1)</f>
        <v>13.1</v>
      </c>
      <c r="M5" s="3544">
        <f>ROUND(L5*H5,0)</f>
        <v>8476</v>
      </c>
    </row>
    <row r="6" spans="1:13" s="3544" customFormat="1" ht="27.75" customHeight="1">
      <c r="A6" s="3538">
        <v>2</v>
      </c>
      <c r="B6" s="3538" t="s">
        <v>3954</v>
      </c>
      <c r="C6" s="3539" t="s">
        <v>3959</v>
      </c>
      <c r="D6" s="3540">
        <v>43344</v>
      </c>
      <c r="E6" s="3540">
        <v>45230</v>
      </c>
      <c r="F6" s="3539" t="s">
        <v>3956</v>
      </c>
      <c r="G6" s="3539" t="s">
        <v>3960</v>
      </c>
      <c r="H6" s="3541">
        <v>189.08</v>
      </c>
      <c r="I6" s="3542">
        <v>420</v>
      </c>
      <c r="J6" s="3542" t="s">
        <v>3958</v>
      </c>
      <c r="K6" s="3543">
        <v>4955408.6399999997</v>
      </c>
      <c r="L6" s="3544">
        <f t="shared" si="0"/>
        <v>13.8</v>
      </c>
      <c r="M6" s="3544">
        <f t="shared" ref="M6:M19" si="1">ROUND(L6*H6,0)</f>
        <v>2609</v>
      </c>
    </row>
    <row r="7" spans="1:13" s="3544" customFormat="1" ht="27.75" customHeight="1">
      <c r="A7" s="3538">
        <v>3</v>
      </c>
      <c r="B7" s="3538" t="s">
        <v>3954</v>
      </c>
      <c r="C7" s="3539" t="s">
        <v>3961</v>
      </c>
      <c r="D7" s="3540">
        <v>43435</v>
      </c>
      <c r="E7" s="3540">
        <v>45230</v>
      </c>
      <c r="F7" s="3539" t="s">
        <v>3956</v>
      </c>
      <c r="G7" s="3539" t="s">
        <v>3962</v>
      </c>
      <c r="H7" s="3541">
        <v>112.03</v>
      </c>
      <c r="I7" s="3542">
        <v>304.17</v>
      </c>
      <c r="J7" s="3542" t="s">
        <v>3963</v>
      </c>
      <c r="K7" s="3543">
        <v>1986648.19</v>
      </c>
      <c r="L7" s="3544">
        <f t="shared" si="0"/>
        <v>10</v>
      </c>
      <c r="M7" s="3544">
        <f t="shared" si="1"/>
        <v>1120</v>
      </c>
    </row>
    <row r="8" spans="1:13" ht="27.75" customHeight="1">
      <c r="A8" s="3538">
        <v>4</v>
      </c>
      <c r="B8" s="3538" t="s">
        <v>3954</v>
      </c>
      <c r="C8" s="3539" t="s">
        <v>3964</v>
      </c>
      <c r="D8" s="3540">
        <v>43647</v>
      </c>
      <c r="E8" s="3540">
        <v>45443</v>
      </c>
      <c r="F8" s="3539" t="s">
        <v>3956</v>
      </c>
      <c r="G8" s="3539" t="s">
        <v>3965</v>
      </c>
      <c r="H8" s="3541">
        <v>979.25</v>
      </c>
      <c r="I8" s="3541">
        <v>200</v>
      </c>
      <c r="J8" s="3542" t="s">
        <v>3963</v>
      </c>
      <c r="K8" s="3543">
        <v>11143865</v>
      </c>
      <c r="L8" s="3460">
        <f t="shared" si="0"/>
        <v>6.6</v>
      </c>
      <c r="M8" s="3460">
        <f t="shared" si="1"/>
        <v>6463</v>
      </c>
    </row>
    <row r="9" spans="1:13" ht="27.75" customHeight="1">
      <c r="A9" s="3538">
        <v>5</v>
      </c>
      <c r="B9" s="3538" t="s">
        <v>3954</v>
      </c>
      <c r="C9" s="3539" t="s">
        <v>3966</v>
      </c>
      <c r="D9" s="3540">
        <v>43647</v>
      </c>
      <c r="E9" s="3540">
        <v>45443</v>
      </c>
      <c r="F9" s="3539" t="s">
        <v>3956</v>
      </c>
      <c r="G9" s="3539" t="s">
        <v>3967</v>
      </c>
      <c r="H9" s="3541">
        <v>974.49</v>
      </c>
      <c r="I9" s="3541">
        <v>200</v>
      </c>
      <c r="J9" s="3542" t="s">
        <v>3963</v>
      </c>
      <c r="K9" s="3543">
        <v>11089696.199999999</v>
      </c>
      <c r="L9" s="3460">
        <f t="shared" si="0"/>
        <v>6.6</v>
      </c>
      <c r="M9" s="3460">
        <f t="shared" si="1"/>
        <v>6432</v>
      </c>
    </row>
    <row r="10" spans="1:13" ht="27.75" customHeight="1">
      <c r="A10" s="3538">
        <v>6</v>
      </c>
      <c r="B10" s="3538" t="s">
        <v>3954</v>
      </c>
      <c r="C10" s="3539" t="s">
        <v>3968</v>
      </c>
      <c r="D10" s="3540">
        <v>43647</v>
      </c>
      <c r="E10" s="3540">
        <v>45443</v>
      </c>
      <c r="F10" s="3539" t="s">
        <v>3956</v>
      </c>
      <c r="G10" s="3539" t="s">
        <v>3969</v>
      </c>
      <c r="H10" s="3541">
        <v>600.79</v>
      </c>
      <c r="I10" s="3541">
        <v>200</v>
      </c>
      <c r="J10" s="3542" t="s">
        <v>3963</v>
      </c>
      <c r="K10" s="3543">
        <v>6836990.2000000002</v>
      </c>
      <c r="L10" s="3460">
        <f t="shared" si="0"/>
        <v>6.6</v>
      </c>
      <c r="M10" s="3460">
        <f t="shared" si="1"/>
        <v>3965</v>
      </c>
    </row>
    <row r="11" spans="1:13" ht="27.75" customHeight="1" thickBot="1">
      <c r="A11" s="3538">
        <v>7</v>
      </c>
      <c r="B11" s="3538" t="s">
        <v>3954</v>
      </c>
      <c r="C11" s="3539" t="s">
        <v>3970</v>
      </c>
      <c r="D11" s="3540">
        <v>43709</v>
      </c>
      <c r="E11" s="3540">
        <v>45626</v>
      </c>
      <c r="F11" s="3539" t="s">
        <v>3956</v>
      </c>
      <c r="G11" s="3539" t="s">
        <v>3971</v>
      </c>
      <c r="H11" s="3541">
        <v>5004.01</v>
      </c>
      <c r="I11" s="3541">
        <v>192</v>
      </c>
      <c r="J11" s="3542" t="s">
        <v>3963</v>
      </c>
      <c r="K11" s="3543">
        <v>55724655.359999999</v>
      </c>
      <c r="L11" s="3460">
        <f t="shared" si="0"/>
        <v>6.3</v>
      </c>
      <c r="M11" s="3460">
        <f t="shared" si="1"/>
        <v>31525</v>
      </c>
    </row>
    <row r="12" spans="1:13" s="3544" customFormat="1" ht="27.75" customHeight="1">
      <c r="A12" s="3538">
        <v>8</v>
      </c>
      <c r="B12" s="3545" t="s">
        <v>3954</v>
      </c>
      <c r="C12" s="3546" t="s">
        <v>3972</v>
      </c>
      <c r="D12" s="3547">
        <v>43709</v>
      </c>
      <c r="E12" s="3547">
        <v>45504</v>
      </c>
      <c r="F12" s="3546" t="s">
        <v>3956</v>
      </c>
      <c r="G12" s="3546" t="s">
        <v>3973</v>
      </c>
      <c r="H12" s="3548">
        <v>455.13</v>
      </c>
      <c r="I12" s="3548">
        <v>480</v>
      </c>
      <c r="J12" s="3542" t="s">
        <v>3963</v>
      </c>
      <c r="K12" s="3549">
        <v>12403430.4</v>
      </c>
      <c r="L12" s="3544">
        <f t="shared" si="0"/>
        <v>15.8</v>
      </c>
      <c r="M12" s="3544">
        <f t="shared" si="1"/>
        <v>7191</v>
      </c>
    </row>
    <row r="13" spans="1:13" ht="27.75" customHeight="1" thickBot="1">
      <c r="A13" s="3538">
        <v>9</v>
      </c>
      <c r="B13" s="3550" t="s">
        <v>3954</v>
      </c>
      <c r="C13" s="3551" t="s">
        <v>3974</v>
      </c>
      <c r="D13" s="3552">
        <v>43709</v>
      </c>
      <c r="E13" s="3552">
        <v>45504</v>
      </c>
      <c r="F13" s="3551" t="s">
        <v>3956</v>
      </c>
      <c r="G13" s="3551" t="s">
        <v>3975</v>
      </c>
      <c r="H13" s="3553">
        <v>340</v>
      </c>
      <c r="I13" s="3553">
        <v>220</v>
      </c>
      <c r="J13" s="3542" t="s">
        <v>3963</v>
      </c>
      <c r="K13" s="3554">
        <v>4246838</v>
      </c>
      <c r="L13" s="3460">
        <f t="shared" si="0"/>
        <v>7.2</v>
      </c>
      <c r="M13" s="3460">
        <f t="shared" si="1"/>
        <v>2448</v>
      </c>
    </row>
    <row r="14" spans="1:13" ht="27.75" customHeight="1">
      <c r="A14" s="3538">
        <v>10</v>
      </c>
      <c r="B14" s="3538" t="s">
        <v>3954</v>
      </c>
      <c r="C14" s="3539" t="s">
        <v>3976</v>
      </c>
      <c r="D14" s="3540">
        <v>43800</v>
      </c>
      <c r="E14" s="3540">
        <v>45443</v>
      </c>
      <c r="F14" s="3539" t="s">
        <v>3956</v>
      </c>
      <c r="G14" s="3539" t="s">
        <v>3977</v>
      </c>
      <c r="H14" s="3541">
        <v>354.41</v>
      </c>
      <c r="I14" s="3541">
        <v>205</v>
      </c>
      <c r="J14" s="3542" t="s">
        <v>3978</v>
      </c>
      <c r="K14" s="3543">
        <v>3756214.47</v>
      </c>
      <c r="L14" s="3460">
        <f t="shared" si="0"/>
        <v>6.7</v>
      </c>
      <c r="M14" s="3460">
        <f t="shared" si="1"/>
        <v>2375</v>
      </c>
    </row>
    <row r="15" spans="1:13" ht="27.75" customHeight="1">
      <c r="A15" s="3538">
        <v>11</v>
      </c>
      <c r="B15" s="3538" t="s">
        <v>3954</v>
      </c>
      <c r="C15" s="3555" t="s">
        <v>3979</v>
      </c>
      <c r="D15" s="3540">
        <v>43800</v>
      </c>
      <c r="E15" s="3540">
        <v>45443</v>
      </c>
      <c r="F15" s="3539" t="s">
        <v>3956</v>
      </c>
      <c r="G15" s="3539" t="s">
        <v>3980</v>
      </c>
      <c r="H15" s="3541">
        <v>198.08</v>
      </c>
      <c r="I15" s="3541">
        <v>205</v>
      </c>
      <c r="J15" s="3542" t="s">
        <v>3978</v>
      </c>
      <c r="K15" s="3543">
        <v>2099350.88</v>
      </c>
      <c r="L15" s="3460">
        <f t="shared" si="0"/>
        <v>6.7</v>
      </c>
      <c r="M15" s="3460">
        <f t="shared" si="1"/>
        <v>1327</v>
      </c>
    </row>
    <row r="16" spans="1:13" ht="27.75" customHeight="1">
      <c r="A16" s="3538">
        <v>12</v>
      </c>
      <c r="B16" s="3538" t="s">
        <v>3954</v>
      </c>
      <c r="C16" s="3539" t="s">
        <v>3981</v>
      </c>
      <c r="D16" s="3540">
        <v>44053</v>
      </c>
      <c r="E16" s="3540">
        <v>45147</v>
      </c>
      <c r="F16" s="3539" t="s">
        <v>3956</v>
      </c>
      <c r="G16" s="3539" t="s">
        <v>3982</v>
      </c>
      <c r="H16" s="3541">
        <v>714.5</v>
      </c>
      <c r="I16" s="3541">
        <v>195</v>
      </c>
      <c r="J16" s="3542" t="s">
        <v>3978</v>
      </c>
      <c r="K16" s="3543">
        <v>4597807.5</v>
      </c>
      <c r="L16" s="3460">
        <f t="shared" si="0"/>
        <v>6.4</v>
      </c>
      <c r="M16" s="3460">
        <f t="shared" si="1"/>
        <v>4573</v>
      </c>
    </row>
    <row r="17" spans="1:13" ht="27.75" customHeight="1">
      <c r="A17" s="3538">
        <v>13</v>
      </c>
      <c r="B17" s="3556" t="s">
        <v>3954</v>
      </c>
      <c r="C17" s="3539" t="s">
        <v>3983</v>
      </c>
      <c r="D17" s="3557">
        <v>44515</v>
      </c>
      <c r="E17" s="3557">
        <v>45610</v>
      </c>
      <c r="F17" s="3539" t="s">
        <v>3956</v>
      </c>
      <c r="G17" s="3539" t="s">
        <v>3984</v>
      </c>
      <c r="H17" s="3541">
        <v>910.48</v>
      </c>
      <c r="I17" s="3541">
        <v>200</v>
      </c>
      <c r="J17" s="3542" t="s">
        <v>3978</v>
      </c>
      <c r="K17" s="3558">
        <v>6009168</v>
      </c>
      <c r="L17" s="3460">
        <f t="shared" si="0"/>
        <v>6.6</v>
      </c>
      <c r="M17" s="3460">
        <f t="shared" si="1"/>
        <v>6009</v>
      </c>
    </row>
    <row r="18" spans="1:13" ht="27.75" customHeight="1">
      <c r="A18" s="3538">
        <v>14</v>
      </c>
      <c r="B18" s="3556" t="s">
        <v>3954</v>
      </c>
      <c r="C18" s="3539" t="s">
        <v>3985</v>
      </c>
      <c r="D18" s="3557">
        <v>44621</v>
      </c>
      <c r="E18" s="3557">
        <v>45716</v>
      </c>
      <c r="F18" s="3539" t="s">
        <v>3986</v>
      </c>
      <c r="G18" s="3539" t="s">
        <v>3987</v>
      </c>
      <c r="H18" s="3541">
        <v>347.77</v>
      </c>
      <c r="I18" s="3541">
        <v>190</v>
      </c>
      <c r="J18" s="3542" t="s">
        <v>3978</v>
      </c>
      <c r="K18" s="3558">
        <v>2378746.7999999998</v>
      </c>
      <c r="L18" s="3460">
        <f t="shared" si="0"/>
        <v>6.2</v>
      </c>
      <c r="M18" s="3460">
        <f t="shared" si="1"/>
        <v>2156</v>
      </c>
    </row>
    <row r="19" spans="1:13" ht="27.75" customHeight="1">
      <c r="A19" s="3538">
        <v>15</v>
      </c>
      <c r="B19" s="3538" t="s">
        <v>3954</v>
      </c>
      <c r="C19" s="3539" t="s">
        <v>3988</v>
      </c>
      <c r="D19" s="3540">
        <v>43831</v>
      </c>
      <c r="E19" s="3540">
        <v>45657</v>
      </c>
      <c r="F19" s="3539" t="s">
        <v>3956</v>
      </c>
      <c r="G19" s="3539" t="s">
        <v>3989</v>
      </c>
      <c r="H19" s="3541">
        <v>15176.12</v>
      </c>
      <c r="I19" s="3541">
        <v>9.5500000000000007</v>
      </c>
      <c r="J19" s="3542" t="s">
        <v>3990</v>
      </c>
      <c r="K19" s="3543">
        <v>271177656.95999998</v>
      </c>
      <c r="L19" s="3559">
        <f>I19</f>
        <v>9.5500000000000007</v>
      </c>
      <c r="M19" s="3460">
        <f t="shared" si="1"/>
        <v>144932</v>
      </c>
    </row>
    <row r="20" spans="1:13">
      <c r="H20" s="3559">
        <f>SUM(H5:H18)</f>
        <v>11827.029999999999</v>
      </c>
      <c r="L20" s="3460">
        <f>ROUND(M20/H20,1)</f>
        <v>7.3</v>
      </c>
      <c r="M20" s="3460">
        <f>SUM(M5:M18)</f>
        <v>86669</v>
      </c>
    </row>
    <row r="64" spans="1:17" ht="24">
      <c r="A64" s="3904" t="s">
        <v>3995</v>
      </c>
      <c r="B64" s="3905"/>
      <c r="C64" s="3906" t="s">
        <v>3996</v>
      </c>
      <c r="D64" s="3907" t="s">
        <v>3912</v>
      </c>
      <c r="E64" s="3908" t="s">
        <v>3997</v>
      </c>
      <c r="F64" s="3909" t="s">
        <v>3998</v>
      </c>
      <c r="G64" s="3910" t="s">
        <v>3999</v>
      </c>
      <c r="H64" s="3911"/>
      <c r="I64" s="3910" t="s">
        <v>4000</v>
      </c>
      <c r="J64" s="3911"/>
      <c r="K64" s="3906" t="s">
        <v>4001</v>
      </c>
      <c r="L64" s="3909" t="s">
        <v>4002</v>
      </c>
      <c r="M64" s="3906" t="s">
        <v>4003</v>
      </c>
      <c r="N64" s="3912"/>
      <c r="O64" s="3912"/>
      <c r="P64" s="3912"/>
      <c r="Q64" s="3912"/>
    </row>
    <row r="65" spans="1:17" ht="24">
      <c r="A65" s="3909" t="s">
        <v>4004</v>
      </c>
      <c r="B65" s="3909" t="s">
        <v>4005</v>
      </c>
      <c r="C65" s="3913"/>
      <c r="D65" s="3909" t="s">
        <v>4006</v>
      </c>
      <c r="E65" s="3909" t="s">
        <v>4006</v>
      </c>
      <c r="F65" s="3909" t="s">
        <v>4007</v>
      </c>
      <c r="G65" s="3914" t="s">
        <v>4008</v>
      </c>
      <c r="H65" s="3914" t="s">
        <v>4009</v>
      </c>
      <c r="I65" s="3914" t="s">
        <v>4008</v>
      </c>
      <c r="J65" s="3914" t="s">
        <v>4009</v>
      </c>
      <c r="K65" s="3913"/>
      <c r="L65" s="3909" t="s">
        <v>4010</v>
      </c>
      <c r="M65" s="3913"/>
      <c r="N65" s="3915">
        <v>2023</v>
      </c>
      <c r="O65" s="3915" t="s">
        <v>4011</v>
      </c>
      <c r="P65" s="3912"/>
      <c r="Q65" s="3912"/>
    </row>
    <row r="66" spans="1:17" ht="48">
      <c r="A66" s="3916" t="s">
        <v>4012</v>
      </c>
      <c r="B66" s="3916" t="s">
        <v>4013</v>
      </c>
      <c r="C66" s="3909" t="s">
        <v>4014</v>
      </c>
      <c r="D66" s="3916">
        <v>41675.65</v>
      </c>
      <c r="E66" s="3916">
        <v>41675.65</v>
      </c>
      <c r="F66" s="3916" t="s">
        <v>4015</v>
      </c>
      <c r="G66" s="3917">
        <f>H66/(1+5%)</f>
        <v>4.666666666666667</v>
      </c>
      <c r="H66" s="3918">
        <v>4.9000000000000004</v>
      </c>
      <c r="I66" s="3917">
        <f>J66/(1+5%)</f>
        <v>70015097.142857134</v>
      </c>
      <c r="J66" s="3917">
        <v>73515852</v>
      </c>
      <c r="K66" s="3909" t="s">
        <v>4016</v>
      </c>
      <c r="L66" s="3916">
        <v>1</v>
      </c>
      <c r="M66" s="3916" t="s">
        <v>3926</v>
      </c>
      <c r="N66" s="3915">
        <f>H66*1.1*1.1*1.1*1.1</f>
        <v>7.1740900000000023</v>
      </c>
      <c r="O66" s="3915">
        <f>N66*E66*365</f>
        <v>109129475.32660255</v>
      </c>
      <c r="P66" s="3912"/>
      <c r="Q66" s="3912"/>
    </row>
    <row r="67" spans="1:17" ht="36">
      <c r="A67" s="3916" t="s">
        <v>4012</v>
      </c>
      <c r="B67" s="3916" t="s">
        <v>4017</v>
      </c>
      <c r="C67" s="3909" t="s">
        <v>4018</v>
      </c>
      <c r="D67" s="3916">
        <v>1238.82</v>
      </c>
      <c r="E67" s="3916">
        <v>1238.82</v>
      </c>
      <c r="F67" s="3916" t="s">
        <v>4019</v>
      </c>
      <c r="G67" s="3917">
        <f>5.93/(1+5%)+1/(1+6%)</f>
        <v>6.5910152740341417</v>
      </c>
      <c r="H67" s="3918">
        <v>6.93</v>
      </c>
      <c r="I67" s="3917">
        <v>2939429.4</v>
      </c>
      <c r="J67" s="3917">
        <v>3090612</v>
      </c>
      <c r="K67" s="3909" t="s">
        <v>4020</v>
      </c>
      <c r="L67" s="3916">
        <v>1</v>
      </c>
      <c r="M67" s="3916" t="s">
        <v>3489</v>
      </c>
      <c r="N67" s="3915">
        <f>H67*1.1*1.1</f>
        <v>8.3853000000000009</v>
      </c>
      <c r="O67" s="3915">
        <f t="shared" ref="O67:O70" si="2">N67*E67*365</f>
        <v>3791575.2312900005</v>
      </c>
      <c r="P67" s="3912"/>
      <c r="Q67" s="3912"/>
    </row>
    <row r="68" spans="1:17" ht="36">
      <c r="A68" s="3916" t="s">
        <v>4012</v>
      </c>
      <c r="B68" s="3916" t="s">
        <v>4017</v>
      </c>
      <c r="C68" s="3909" t="s">
        <v>4018</v>
      </c>
      <c r="D68" s="3916">
        <v>867.89</v>
      </c>
      <c r="E68" s="3916">
        <v>867.89</v>
      </c>
      <c r="F68" s="3916" t="s">
        <v>4021</v>
      </c>
      <c r="G68" s="3917">
        <f>5.93/(1+5%)+1/(1+6%)</f>
        <v>6.5910152740341417</v>
      </c>
      <c r="H68" s="3918">
        <v>6.93</v>
      </c>
      <c r="I68" s="3917">
        <v>2059299.4</v>
      </c>
      <c r="J68" s="3917">
        <v>2165220</v>
      </c>
      <c r="K68" s="3909" t="s">
        <v>4020</v>
      </c>
      <c r="L68" s="3916">
        <v>1</v>
      </c>
      <c r="M68" s="3916" t="s">
        <v>3489</v>
      </c>
      <c r="N68" s="3915"/>
      <c r="O68" s="3915"/>
      <c r="P68" s="3912"/>
      <c r="Q68" s="3912"/>
    </row>
    <row r="69" spans="1:17" ht="36">
      <c r="A69" s="3916" t="s">
        <v>4012</v>
      </c>
      <c r="B69" s="3916" t="s">
        <v>4017</v>
      </c>
      <c r="C69" s="3909" t="s">
        <v>4018</v>
      </c>
      <c r="D69" s="3916">
        <v>867.89</v>
      </c>
      <c r="E69" s="3916">
        <v>867.89</v>
      </c>
      <c r="F69" s="3916" t="s">
        <v>4022</v>
      </c>
      <c r="G69" s="3917">
        <f>H69/(1+5%)</f>
        <v>6.2095238095238088</v>
      </c>
      <c r="H69" s="3918">
        <v>6.52</v>
      </c>
      <c r="I69" s="3917">
        <f>J69/(1+5%)</f>
        <v>1967052</v>
      </c>
      <c r="J69" s="3917">
        <v>2065404.6</v>
      </c>
      <c r="K69" s="3909" t="s">
        <v>4020</v>
      </c>
      <c r="L69" s="3916">
        <v>1</v>
      </c>
      <c r="M69" s="3916" t="s">
        <v>3926</v>
      </c>
      <c r="N69" s="3919">
        <f>H69</f>
        <v>6.52</v>
      </c>
      <c r="O69" s="3915">
        <f t="shared" si="2"/>
        <v>2065404.622</v>
      </c>
      <c r="P69" s="3912"/>
      <c r="Q69" s="3912"/>
    </row>
    <row r="70" spans="1:17">
      <c r="A70" s="3916" t="s">
        <v>4023</v>
      </c>
      <c r="B70" s="3916" t="s">
        <v>4024</v>
      </c>
      <c r="C70" s="3909" t="s">
        <v>4025</v>
      </c>
      <c r="D70" s="3916">
        <v>840.4</v>
      </c>
      <c r="E70" s="3916">
        <v>840.4</v>
      </c>
      <c r="F70" s="3916" t="s">
        <v>4026</v>
      </c>
      <c r="G70" s="3917">
        <f>9.5/(1+5%)+1/(1+6%)</f>
        <v>9.991015274034142</v>
      </c>
      <c r="H70" s="3918">
        <v>10.5</v>
      </c>
      <c r="I70" s="3917">
        <f>10*787.3*365+5*53.1*365</f>
        <v>2970552.5</v>
      </c>
      <c r="J70" s="3917">
        <f>10.5*787.3*365+5.25*53.1*365</f>
        <v>3119080.125</v>
      </c>
      <c r="K70" s="3909" t="s">
        <v>4027</v>
      </c>
      <c r="L70" s="3916">
        <v>1</v>
      </c>
      <c r="M70" s="3916" t="s">
        <v>3489</v>
      </c>
      <c r="N70" s="3919">
        <f>H70</f>
        <v>10.5</v>
      </c>
      <c r="O70" s="3915">
        <f t="shared" si="2"/>
        <v>3220832.9999999995</v>
      </c>
      <c r="P70" s="3912"/>
      <c r="Q70" s="3912"/>
    </row>
    <row r="71" spans="1:17">
      <c r="A71" s="3912"/>
      <c r="B71" s="3912"/>
      <c r="C71" s="3912"/>
      <c r="D71" s="3912">
        <f>SUM(D69:D70)+D67+D66</f>
        <v>44622.76</v>
      </c>
      <c r="E71" s="3912"/>
      <c r="F71" s="3912"/>
      <c r="G71" s="3912"/>
      <c r="H71" s="3912"/>
      <c r="I71" s="3912"/>
      <c r="J71" s="3920">
        <f>SUM(J66:J70)/10000</f>
        <v>8395.6168724999989</v>
      </c>
      <c r="K71" s="3912"/>
      <c r="L71" s="3912"/>
      <c r="M71" s="3912"/>
      <c r="N71" s="3915"/>
      <c r="O71" s="3919">
        <f>SUM(O66:O70)/10000</f>
        <v>11820.728817989255</v>
      </c>
      <c r="P71" s="3912"/>
      <c r="Q71" s="3912">
        <f>O71/D71/365*10000</f>
        <v>7.2576322946967</v>
      </c>
    </row>
    <row r="76" spans="1:17">
      <c r="H76" s="3460">
        <f>H66*1.1*1.1*1.1</f>
        <v>6.5219000000000014</v>
      </c>
    </row>
    <row r="78" spans="1:17">
      <c r="C78" s="3915"/>
      <c r="D78" s="3915" t="s">
        <v>4028</v>
      </c>
    </row>
    <row r="79" spans="1:17">
      <c r="C79" s="3915" t="s">
        <v>4029</v>
      </c>
      <c r="D79" s="3921">
        <v>6.8</v>
      </c>
    </row>
    <row r="80" spans="1:17">
      <c r="C80" s="3915" t="s">
        <v>4030</v>
      </c>
      <c r="D80" s="3921">
        <v>7.2</v>
      </c>
    </row>
    <row r="81" spans="3:4">
      <c r="C81" s="3915" t="s">
        <v>4031</v>
      </c>
      <c r="D81" s="3921">
        <v>5.8</v>
      </c>
    </row>
    <row r="82" spans="3:4">
      <c r="C82" s="3915" t="s">
        <v>4032</v>
      </c>
      <c r="D82" s="3921" t="s">
        <v>4033</v>
      </c>
    </row>
    <row r="83" spans="3:4">
      <c r="C83" s="3915" t="s">
        <v>4034</v>
      </c>
      <c r="D83" s="3921" t="s">
        <v>4035</v>
      </c>
    </row>
    <row r="84" spans="3:4">
      <c r="C84" s="3915" t="s">
        <v>4036</v>
      </c>
      <c r="D84" s="3921" t="s">
        <v>4037</v>
      </c>
    </row>
    <row r="85" spans="3:4">
      <c r="C85" s="3915" t="s">
        <v>4038</v>
      </c>
      <c r="D85" s="3921" t="s">
        <v>4039</v>
      </c>
    </row>
    <row r="86" spans="3:4">
      <c r="C86" s="3915" t="s">
        <v>4040</v>
      </c>
      <c r="D86" s="3921">
        <v>6</v>
      </c>
    </row>
    <row r="87" spans="3:4">
      <c r="C87" s="3915" t="s">
        <v>4041</v>
      </c>
      <c r="D87" s="3921">
        <v>6.5</v>
      </c>
    </row>
    <row r="88" spans="3:4">
      <c r="C88" s="3915" t="s">
        <v>4042</v>
      </c>
      <c r="D88" s="3921">
        <v>7.5</v>
      </c>
    </row>
    <row r="89" spans="3:4">
      <c r="C89" s="3915" t="s">
        <v>4043</v>
      </c>
      <c r="D89" s="3921" t="s">
        <v>4044</v>
      </c>
    </row>
    <row r="90" spans="3:4">
      <c r="C90" s="3915" t="s">
        <v>4045</v>
      </c>
      <c r="D90" s="3921">
        <v>6.2</v>
      </c>
    </row>
    <row r="91" spans="3:4">
      <c r="C91" s="3915" t="s">
        <v>4046</v>
      </c>
      <c r="D91" s="3921">
        <v>7</v>
      </c>
    </row>
    <row r="92" spans="3:4">
      <c r="C92" s="3915" t="s">
        <v>4047</v>
      </c>
      <c r="D92" s="3921">
        <v>7</v>
      </c>
    </row>
    <row r="93" spans="3:4">
      <c r="C93" s="3915" t="s">
        <v>4048</v>
      </c>
      <c r="D93" s="3921" t="s">
        <v>4049</v>
      </c>
    </row>
    <row r="94" spans="3:4">
      <c r="C94" s="3915" t="s">
        <v>4050</v>
      </c>
      <c r="D94" s="3921">
        <v>10</v>
      </c>
    </row>
    <row r="95" spans="3:4">
      <c r="C95" s="3912"/>
      <c r="D95" s="3921"/>
    </row>
    <row r="96" spans="3:4">
      <c r="C96" s="3912" t="s">
        <v>4051</v>
      </c>
      <c r="D96" s="3921" t="s">
        <v>4052</v>
      </c>
    </row>
    <row r="97" spans="3:4">
      <c r="C97" s="3912" t="s">
        <v>4053</v>
      </c>
      <c r="D97" s="3921" t="s">
        <v>4054</v>
      </c>
    </row>
    <row r="98" spans="3:4">
      <c r="C98" s="3912" t="s">
        <v>4055</v>
      </c>
      <c r="D98" s="3921">
        <v>5</v>
      </c>
    </row>
    <row r="99" spans="3:4">
      <c r="C99" s="3912" t="s">
        <v>4056</v>
      </c>
      <c r="D99" s="3921" t="s">
        <v>4057</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7">
    <mergeCell ref="K64:K65"/>
    <mergeCell ref="M64:M65"/>
    <mergeCell ref="E2:G2"/>
    <mergeCell ref="A64:B64"/>
    <mergeCell ref="C64:C65"/>
    <mergeCell ref="G64:H64"/>
    <mergeCell ref="I64:J64"/>
  </mergeCells>
  <phoneticPr fontId="135" type="noConversion"/>
  <conditionalFormatting sqref="B4:B18">
    <cfRule type="cellIs" dxfId="159" priority="10" operator="equal">
      <formula>"换租"</formula>
    </cfRule>
    <cfRule type="cellIs" dxfId="158" priority="11" operator="equal">
      <formula>"诉讼"</formula>
    </cfRule>
    <cfRule type="cellIs" dxfId="157" priority="12" operator="equal">
      <formula>"部分退租"</formula>
    </cfRule>
    <cfRule type="cellIs" dxfId="156" priority="13" operator="equal">
      <formula>"解约"</formula>
    </cfRule>
    <cfRule type="cellIs" dxfId="155" priority="14" operator="equal">
      <formula>"主体变更"</formula>
    </cfRule>
    <cfRule type="cellIs" dxfId="154" priority="15" operator="equal">
      <formula>"退租"</formula>
    </cfRule>
    <cfRule type="cellIs" dxfId="153" priority="16" operator="equal">
      <formula>"未开始"</formula>
    </cfRule>
    <cfRule type="cellIs" dxfId="152" priority="17" operator="equal">
      <formula>"终止"</formula>
    </cfRule>
    <cfRule type="cellIs" dxfId="151" priority="18" operator="equal">
      <formula>"完结"</formula>
    </cfRule>
  </conditionalFormatting>
  <conditionalFormatting sqref="B19">
    <cfRule type="cellIs" dxfId="150" priority="1" operator="equal">
      <formula>"换租"</formula>
    </cfRule>
    <cfRule type="cellIs" dxfId="149" priority="2" operator="equal">
      <formula>"诉讼"</formula>
    </cfRule>
    <cfRule type="cellIs" dxfId="148" priority="3" operator="equal">
      <formula>"部分退租"</formula>
    </cfRule>
    <cfRule type="cellIs" dxfId="147" priority="4" operator="equal">
      <formula>"解约"</formula>
    </cfRule>
    <cfRule type="cellIs" dxfId="146" priority="5" operator="equal">
      <formula>"主体变更"</formula>
    </cfRule>
    <cfRule type="cellIs" dxfId="145" priority="6" operator="equal">
      <formula>"退租"</formula>
    </cfRule>
    <cfRule type="cellIs" dxfId="144" priority="7" operator="equal">
      <formula>"未开始"</formula>
    </cfRule>
    <cfRule type="cellIs" dxfId="143" priority="8" operator="equal">
      <formula>"终止"</formula>
    </cfRule>
    <cfRule type="cellIs" dxfId="142" priority="9" operator="equal">
      <formula>"完结"</formula>
    </cfRule>
  </conditionalFormatting>
  <pageMargins left="0.7" right="0.7" top="0.75" bottom="0.75" header="0.3" footer="0.3"/>
  <pageSetup paperSize="9" scale="47"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#DIV/0!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t="e">
        <f ca="1">ROUND(B2*10000/(IF(B1="",'数据-汇总表'!E3,INDIRECT("'数据-取费表'!k"&amp;$G$1))),0)</f>
        <v>#DIV/0!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t="e">
        <f ca="1">C6+C7+C8</f>
        <v>#DIV/0!</v>
      </c>
      <c r="D5" s="211" t="s">
        <v>1468</v>
      </c>
      <c r="E5" s="212" t="s">
        <v>1469</v>
      </c>
      <c r="F5" s="212" t="s">
        <v>1470</v>
      </c>
      <c r="G5" s="213"/>
    </row>
    <row r="6" spans="1:9" s="214" customFormat="1" ht="13.5" customHeight="1">
      <c r="A6" s="778" t="s">
        <v>1471</v>
      </c>
      <c r="B6" s="215" t="s">
        <v>1472</v>
      </c>
      <c r="C6" s="216" t="e">
        <f>基准地价修正!B2</f>
        <v>#DIV/0!</v>
      </c>
      <c r="D6" s="217"/>
      <c r="E6" s="218"/>
      <c r="F6" s="218"/>
      <c r="G6" s="219"/>
    </row>
    <row r="7" spans="1:9" s="214" customFormat="1" ht="13.5" customHeight="1">
      <c r="A7" s="778" t="s">
        <v>1473</v>
      </c>
      <c r="B7" s="215" t="s">
        <v>1474</v>
      </c>
      <c r="C7" s="220" t="e">
        <f>ROUND(C6*F7,0)</f>
        <v>#DIV/0!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1117</v>
      </c>
      <c r="D8" s="222"/>
      <c r="E8" s="220"/>
      <c r="F8" s="221"/>
      <c r="G8" s="1856" t="s">
        <v>3938</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1117</v>
      </c>
      <c r="D10" s="845">
        <f ca="1">IF(B1="",'数据-汇总表'!E6,IF(INDIRECT("'数据-取费表'!c"&amp;$G$1)="住宅",INDIRECT("'数据-取费表'!s"&amp;$G$1),INDIRECT("'数据-取费表'!k"&amp;$G$1)+INDIRECT("'数据-取费表'!s"&amp;$G$1)))</f>
        <v>55858.869999999981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55858.869999999981</v>
      </c>
      <c r="E19" s="211">
        <f>'数据-取费表'!B31</f>
        <v>200</v>
      </c>
      <c r="F19" s="231"/>
      <c r="G19" s="1856" t="s">
        <v>3939</v>
      </c>
    </row>
    <row r="20" spans="1:7" s="214" customFormat="1" ht="13.5" customHeight="1">
      <c r="A20" s="255" t="s">
        <v>1492</v>
      </c>
      <c r="B20" s="210" t="s">
        <v>1493</v>
      </c>
      <c r="C20" s="232" t="e">
        <f ca="1">ROUND((C5+C19)*F20,0)</f>
        <v>#DIV/0!</v>
      </c>
      <c r="D20" s="232"/>
      <c r="E20" s="232"/>
      <c r="F20" s="233">
        <f>'数据-取费表'!B37</f>
        <v>0.03</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t="e">
        <f ca="1">ROUND(SUM(C23:C25),0)</f>
        <v>#DIV/0!</v>
      </c>
      <c r="D22" s="235">
        <f ca="1">C26</f>
        <v>5.9999999999999995E-4</v>
      </c>
      <c r="E22" s="236" t="s">
        <v>1497</v>
      </c>
      <c r="F22" s="237">
        <f ca="1">'数据-取费表'!B40</f>
        <v>3.1E-2</v>
      </c>
      <c r="G22" s="234" t="str">
        <f>IF('数据-取费表'!B22&lt;=1,"单利计息","复利计息")</f>
        <v>复利计息</v>
      </c>
    </row>
    <row r="23" spans="1:7" s="214" customFormat="1" ht="13.5" customHeight="1">
      <c r="A23" s="780" t="s">
        <v>1501</v>
      </c>
      <c r="B23" s="215" t="s">
        <v>1502</v>
      </c>
      <c r="C23" s="1105" t="e">
        <f ca="1">ROUND(IF('数据-取费表'!B22&lt;=1,C5*F22*'数据-取费表'!B23,C5*(POWER((1+F22),'数据-取费表'!B23)-1)),0)</f>
        <v>#DIV/0!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t="e">
        <f ca="1">ROUND(IF('数据-取费表'!B22&lt;=1,C20*F22*'数据-取费表'!B23/2,C20*(POWER((1+F22),'数据-取费表'!B23/2)-1)),0)</f>
        <v>#DIV/0!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t="e">
        <f ca="1">C28</f>
        <v>#DIV/0!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t="e">
        <f ca="1">ROUND((C5+C19+C20)*F27*'数据-取费表'!B21/'数据-取费表'!B20,0)</f>
        <v>#DIV/0!</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33989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30722</v>
      </c>
      <c r="D34" s="217"/>
      <c r="E34" s="220"/>
      <c r="F34" s="257">
        <f ca="1">IF('数据-取费表'!B24=0,1,IF(B1="",'数据-取费表'!N16,INDIRECT("'数据-取费表'!n"&amp;$G$1)))</f>
        <v>1</v>
      </c>
      <c r="G34" s="219" t="s">
        <v>1525</v>
      </c>
    </row>
    <row r="35" spans="1:7" ht="13.5" customHeight="1">
      <c r="A35" s="780" t="s">
        <v>351</v>
      </c>
      <c r="B35" s="215" t="s">
        <v>1526</v>
      </c>
      <c r="C35" s="220">
        <f ca="1">ROUND(C34*F35,0)</f>
        <v>1536</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1117</v>
      </c>
      <c r="D37" s="217">
        <f ca="1">D19</f>
        <v>55858.869999999981</v>
      </c>
      <c r="E37" s="249">
        <f>'数据-取费表'!B35</f>
        <v>200</v>
      </c>
      <c r="F37" s="259"/>
      <c r="G37" s="261" t="s">
        <v>1531</v>
      </c>
    </row>
    <row r="38" spans="1:7" ht="13.5" customHeight="1">
      <c r="A38" s="780" t="s">
        <v>354</v>
      </c>
      <c r="B38" s="215" t="s">
        <v>1532</v>
      </c>
      <c r="C38" s="220">
        <f ca="1">ROUND(C34*F38,0)</f>
        <v>614</v>
      </c>
      <c r="D38" s="220"/>
      <c r="E38" s="220"/>
      <c r="F38" s="259">
        <f>'数据-取费表'!B36</f>
        <v>0.02</v>
      </c>
      <c r="G38" s="219" t="s">
        <v>1527</v>
      </c>
    </row>
    <row r="39" spans="1:7" s="214" customFormat="1" ht="13.5" customHeight="1">
      <c r="A39" s="255" t="s">
        <v>1533</v>
      </c>
      <c r="B39" s="210" t="s">
        <v>1534</v>
      </c>
      <c r="C39" s="232">
        <f ca="1">ROUND(C33*F20,0)</f>
        <v>1020</v>
      </c>
      <c r="D39" s="232"/>
      <c r="E39" s="232"/>
      <c r="F39" s="233">
        <f>F20</f>
        <v>0.03</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1086</v>
      </c>
      <c r="D41" s="235">
        <f ca="1">C44</f>
        <v>5.9999999999999995E-4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1054</v>
      </c>
      <c r="D42" s="238"/>
      <c r="E42" s="238"/>
      <c r="F42" s="239"/>
      <c r="G42" s="3802" t="s">
        <v>1543</v>
      </c>
    </row>
    <row r="43" spans="1:7" ht="13.5" customHeight="1">
      <c r="A43" s="780" t="s">
        <v>347</v>
      </c>
      <c r="B43" s="215" t="s">
        <v>1544</v>
      </c>
      <c r="C43" s="238">
        <f ca="1">ROUND(IF('数据-取费表'!B22&lt;=1,C39*F22*'数据-取费表'!B21/2,C39*(POWER((1+F22),'数据-取费表'!B21/2)-1)),0)</f>
        <v>32</v>
      </c>
      <c r="D43" s="238"/>
      <c r="E43" s="238"/>
      <c r="F43" s="239"/>
      <c r="G43" s="3803"/>
    </row>
    <row r="44" spans="1:7" ht="13.5" customHeight="1">
      <c r="A44" s="780" t="s">
        <v>348</v>
      </c>
      <c r="B44" s="215" t="s">
        <v>1545</v>
      </c>
      <c r="C44" s="238">
        <f ca="1">ROUND(IF('数据-取费表'!B22&lt;=1,C40*F22*'数据-取费表'!B21/2,C40*(POWER((1+F22),'数据-取费表'!B21/2)-1)),4)</f>
        <v>5.9999999999999995E-4</v>
      </c>
      <c r="D44" s="238"/>
      <c r="E44" s="238"/>
      <c r="F44" s="239"/>
      <c r="G44" s="3804"/>
    </row>
    <row r="45" spans="1:7" s="214" customFormat="1" ht="13.5" customHeight="1">
      <c r="A45" s="255" t="s">
        <v>1546</v>
      </c>
      <c r="B45" s="244" t="s">
        <v>1512</v>
      </c>
      <c r="C45" s="245">
        <f ca="1">C46</f>
        <v>5251</v>
      </c>
      <c r="D45" s="235">
        <f ca="1">C47</f>
        <v>3.0000000000000001E-3</v>
      </c>
      <c r="E45" s="236" t="s">
        <v>1538</v>
      </c>
      <c r="F45" s="246">
        <f ca="1">F27</f>
        <v>0.15</v>
      </c>
      <c r="G45" s="247" t="s">
        <v>1547</v>
      </c>
    </row>
    <row r="46" spans="1:7" s="214" customFormat="1" ht="13.5" customHeight="1">
      <c r="A46" s="780" t="s">
        <v>346</v>
      </c>
      <c r="B46" s="248" t="s">
        <v>1548</v>
      </c>
      <c r="C46" s="249">
        <f ca="1">ROUND((C33+C39)*F27,0)</f>
        <v>5251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44790</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38072</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41094.098299999998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7357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11171774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11171774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11171774</v>
      </c>
      <c r="D10" s="845">
        <f ca="1">IF(B1="",'数据-汇总表'!E6,IF(INDIRECT("'数据-取费表'!c"&amp;$G$1)="住宅",INDIRECT("'数据-取费表'!s"&amp;$G$1),INDIRECT("'数据-取费表'!k"&amp;$G$1)+INDIRECT("'数据-取费表'!s"&amp;$G$1)))</f>
        <v>55858.869999999981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11171774</v>
      </c>
      <c r="D19" s="849">
        <f ca="1">D9+D10</f>
        <v>55858.869999999981</v>
      </c>
      <c r="E19" s="211">
        <f>'数据-取费表'!B31</f>
        <v>200</v>
      </c>
      <c r="F19" s="231"/>
      <c r="G19" s="1856"/>
    </row>
    <row r="20" spans="1:7" s="214" customFormat="1" ht="13.5" customHeight="1">
      <c r="A20" s="255" t="s">
        <v>1573</v>
      </c>
      <c r="B20" s="210" t="s">
        <v>1574</v>
      </c>
      <c r="C20" s="232">
        <f ca="1">ROUND((C5+C19)*F20,0)</f>
        <v>670306</v>
      </c>
      <c r="D20" s="232"/>
      <c r="E20" s="232"/>
      <c r="F20" s="233">
        <f>'数据-取费表'!B37</f>
        <v>0.03</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1427551</v>
      </c>
      <c r="D22" s="235">
        <f ca="1">C26</f>
        <v>5.9999999999999995E-4</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703386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703386</v>
      </c>
      <c r="D24" s="238"/>
      <c r="E24" s="238"/>
      <c r="F24" s="239"/>
      <c r="G24" s="240" t="s">
        <v>1585</v>
      </c>
    </row>
    <row r="25" spans="1:7" s="214" customFormat="1" ht="24">
      <c r="A25" s="780" t="s">
        <v>1475</v>
      </c>
      <c r="B25" s="215" t="s">
        <v>1586</v>
      </c>
      <c r="C25" s="1128">
        <f ca="1">ROUND(IF('数据-取费表'!B22&lt;=1,C20*F22*'数据-取费表'!B22/2,C20*(POWER((1+F22),'数据-取费表'!B22/2)-1)),0)</f>
        <v>20779</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3452078</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3452078</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30217184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339901224</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307223785</v>
      </c>
      <c r="D34" s="217"/>
      <c r="E34" s="220"/>
      <c r="F34" s="257"/>
      <c r="G34" s="219"/>
    </row>
    <row r="35" spans="1:7" ht="13.5" customHeight="1">
      <c r="A35" s="780" t="s">
        <v>351</v>
      </c>
      <c r="B35" s="215" t="s">
        <v>1526</v>
      </c>
      <c r="C35" s="220">
        <f ca="1">ROUND(C34*F35,0)</f>
        <v>15361189</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11171774</v>
      </c>
      <c r="D37" s="217">
        <f ca="1">D19</f>
        <v>55858.869999999981</v>
      </c>
      <c r="E37" s="249">
        <f>'数据-取费表'!B35</f>
        <v>200</v>
      </c>
      <c r="F37" s="259"/>
      <c r="G37" s="261"/>
    </row>
    <row r="38" spans="1:7" ht="13.5" customHeight="1">
      <c r="A38" s="780" t="s">
        <v>354</v>
      </c>
      <c r="B38" s="215" t="s">
        <v>1532</v>
      </c>
      <c r="C38" s="220">
        <f ca="1">ROUND(C34*F38,0)</f>
        <v>6144476</v>
      </c>
      <c r="D38" s="220"/>
      <c r="E38" s="220"/>
      <c r="F38" s="259">
        <f>'数据-取费表'!B36</f>
        <v>0.02</v>
      </c>
      <c r="G38" s="219" t="s">
        <v>1527</v>
      </c>
    </row>
    <row r="39" spans="1:7" s="214" customFormat="1" ht="13.5" customHeight="1">
      <c r="A39" s="255" t="s">
        <v>1533</v>
      </c>
      <c r="B39" s="210" t="s">
        <v>1534</v>
      </c>
      <c r="C39" s="232">
        <f ca="1">ROUND(C33*F20,0)</f>
        <v>10197037</v>
      </c>
      <c r="D39" s="232"/>
      <c r="E39" s="232"/>
      <c r="F39" s="233">
        <f>F20</f>
        <v>0.03</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10853046</v>
      </c>
      <c r="D41" s="235">
        <f ca="1">C44</f>
        <v>5.9999999999999995E-4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10536938</v>
      </c>
      <c r="D42" s="238"/>
      <c r="E42" s="238"/>
      <c r="F42" s="239"/>
      <c r="G42" s="3802" t="s">
        <v>1590</v>
      </c>
    </row>
    <row r="43" spans="1:7" ht="13.5" customHeight="1">
      <c r="A43" s="780" t="s">
        <v>347</v>
      </c>
      <c r="B43" s="215" t="s">
        <v>1544</v>
      </c>
      <c r="C43" s="238">
        <f ca="1">ROUND(IF('数据-取费表'!B22&lt;=1,C39*F22*'数据-取费表'!B20/2,C39*(POWER((1+F22),'数据-取费表'!B20/2)-1)),0)</f>
        <v>316108</v>
      </c>
      <c r="D43" s="238"/>
      <c r="E43" s="238"/>
      <c r="F43" s="239"/>
      <c r="G43" s="3803"/>
    </row>
    <row r="44" spans="1:7" ht="13.5" customHeight="1">
      <c r="A44" s="780" t="s">
        <v>348</v>
      </c>
      <c r="B44" s="215" t="s">
        <v>1545</v>
      </c>
      <c r="C44" s="238">
        <f ca="1">ROUND(IF('数据-取费表'!B22&lt;=1,C40*F22*'数据-取费表'!B20/2,C40*(POWER((1+F22),'数据-取费表'!B20/2)-1)),4)</f>
        <v>5.9999999999999995E-4</v>
      </c>
      <c r="D44" s="238"/>
      <c r="E44" s="238"/>
      <c r="F44" s="239"/>
      <c r="G44" s="3804"/>
    </row>
    <row r="45" spans="1:7" s="214" customFormat="1" ht="13.5" customHeight="1">
      <c r="A45" s="255" t="s">
        <v>1546</v>
      </c>
      <c r="B45" s="244" t="s">
        <v>1512</v>
      </c>
      <c r="C45" s="245">
        <f ca="1">C46</f>
        <v>52514739</v>
      </c>
      <c r="D45" s="235">
        <f ca="1">C47</f>
        <v>3.0000000000000001E-3</v>
      </c>
      <c r="E45" s="236" t="s">
        <v>1538</v>
      </c>
      <c r="F45" s="246">
        <f ca="1">F27</f>
        <v>0.15</v>
      </c>
      <c r="G45" s="247" t="s">
        <v>1547</v>
      </c>
    </row>
    <row r="46" spans="1:7" s="214" customFormat="1" ht="13.5" customHeight="1">
      <c r="A46" s="780" t="s">
        <v>346</v>
      </c>
      <c r="B46" s="248" t="s">
        <v>1548</v>
      </c>
      <c r="C46" s="249">
        <f ca="1">ROUND((C33+C39)*F27,0)</f>
        <v>52514739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447910352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380723799</v>
      </c>
      <c r="D51" s="232"/>
      <c r="E51" s="232"/>
      <c r="F51" s="264"/>
      <c r="G51" s="234" t="s">
        <v>1559</v>
      </c>
    </row>
    <row r="52" spans="1:7" s="208" customFormat="1" ht="16.5" thickBot="1">
      <c r="A52" s="265" t="s">
        <v>1560</v>
      </c>
      <c r="B52" s="266"/>
      <c r="C52" s="267">
        <f ca="1">C31+C51</f>
        <v>410940983</v>
      </c>
      <c r="D52" s="266"/>
      <c r="E52" s="266"/>
      <c r="F52" s="266"/>
      <c r="G52" s="268"/>
    </row>
    <row r="55" spans="1:7" ht="15">
      <c r="B55" s="270" t="s">
        <v>1561</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55858.869999999981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55858.869999999981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1117</v>
      </c>
      <c r="D20" s="846">
        <f ca="1">IF(C1="",'数据-汇总表'!E6,IF(INDIRECT("'数据-取费表'!c"&amp;$K$1)="住宅",INDIRECT("'数据-取费表'!s"&amp;$K$1),INDIRECT("'数据-取费表'!k"&amp;$K$1)+INDIRECT("'数据-取费表'!s"&amp;$K$1)))</f>
        <v>55858.869999999981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F86" sqref="F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55858.869999999981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0" t="s">
        <v>3</v>
      </c>
      <c r="F2" s="2000" t="s">
        <v>1936</v>
      </c>
      <c r="G2" s="2001" t="str">
        <f>IF(E2="商业",项目基本情况!B37,IF(E2="办公",项目基本情况!C37,IF(E2="住宅",项目基本情况!D37,IF(E2="工业",项目基本情况!E37,项目基本情况!F37))))</f>
        <v>四级</v>
      </c>
      <c r="H2" s="2000" t="s">
        <v>1937</v>
      </c>
      <c r="I2" s="2001" t="str">
        <f>IF(E2="商业",项目基本情况!B38,IF(E2="办公",项目基本情况!C38,IF(E2="住宅",项目基本情况!D38,IF(E2="工业",项目基本情况!E38,项目基本情况!F38))))</f>
        <v>Ⅳ-电子城西</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3927</v>
      </c>
      <c r="F3" s="2004" t="s">
        <v>3928</v>
      </c>
      <c r="G3" s="752">
        <f>IF(F3="宗地容积率",'数据-汇总表'!I4,IF(F3="估价对象容积率",'数据-汇总表'!I6,'数据-汇总表'!I7))</f>
        <v>2.15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812"/>
      <c r="B4" s="3813"/>
      <c r="C4" s="3813"/>
      <c r="D4" s="3814"/>
      <c r="E4" s="3814"/>
      <c r="F4" s="3814"/>
      <c r="G4" s="3814"/>
      <c r="H4" s="3814"/>
      <c r="I4" s="3814"/>
      <c r="J4" s="3815"/>
      <c r="K4" s="1119"/>
      <c r="L4" s="2003" t="s">
        <v>1945</v>
      </c>
      <c r="M4" s="864">
        <f>SUMPRODUCT((区片价!B55:B86=I2)*(区片价!C3:G3=E2)*(区片价!C55:G86))</f>
        <v>4600</v>
      </c>
      <c r="N4" s="866">
        <f>SUMPRODUCT((因素修正幅度!B55:B86=I2)*(因素修正幅度!C3:G3=E2)*(因素修正幅度!C55:G86))</f>
        <v>0.1</v>
      </c>
      <c r="O4" s="1119"/>
      <c r="P4" s="1119"/>
      <c r="Q4" s="1119"/>
      <c r="R4" s="1212">
        <v>3</v>
      </c>
      <c r="S4" s="3359">
        <f>ROUND(SUMPRODUCT((B106:B110=R4)*(C105:N105=G2)*(C106:N110)),4)</f>
        <v>1.0004999999999999</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4555</v>
      </c>
      <c r="D5" s="1339">
        <f>ROUND(C6*C17+C20,0)</f>
        <v>4555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4600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1954</v>
      </c>
      <c r="X7" s="1214" t="str">
        <f>G2</f>
        <v>四级</v>
      </c>
      <c r="Y7" s="1214" t="s">
        <v>1955</v>
      </c>
      <c r="Z7" s="1215">
        <f>G3</f>
        <v>2.15</v>
      </c>
      <c r="AA7" s="1216"/>
      <c r="AB7" s="1216"/>
      <c r="AC7" s="1217"/>
      <c r="AD7" s="1218"/>
      <c r="AE7" s="1218"/>
      <c r="AF7" s="1218"/>
      <c r="AG7" s="1218"/>
      <c r="AH7" s="1218"/>
      <c r="AI7" s="1218"/>
      <c r="AJ7" s="1219"/>
    </row>
    <row r="8" spans="1:36" ht="25.5">
      <c r="A8" s="3297"/>
      <c r="B8" s="170" t="s">
        <v>1956</v>
      </c>
      <c r="C8" s="2026" t="s">
        <v>3929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9" t="s">
        <v>1959</v>
      </c>
      <c r="X8" s="381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11"/>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v>1</v>
      </c>
      <c r="D12" s="3305" t="s">
        <v>3236</v>
      </c>
      <c r="E12" s="3306" t="s">
        <v>3237</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f>ROUND(G18/I18,2)</f>
        <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16" t="s">
        <v>3250</v>
      </c>
      <c r="B20" s="167" t="s">
        <v>1993</v>
      </c>
      <c r="C20" s="3323">
        <f>ROUND(IF(F21="与级别开发程度一致",0,(G21-E21)/C21),0)</f>
        <v>-45</v>
      </c>
      <c r="D20" s="3339" t="s">
        <v>1997</v>
      </c>
      <c r="E20" s="3340"/>
      <c r="F20" s="3822" t="s">
        <v>1994</v>
      </c>
      <c r="G20" s="3823"/>
      <c r="H20" s="3324" t="s">
        <v>3930</v>
      </c>
      <c r="I20" s="3324" t="s">
        <v>3931</v>
      </c>
      <c r="J20" s="3325" t="s">
        <v>3932</v>
      </c>
      <c r="K20" s="2047" t="s">
        <v>3933</v>
      </c>
      <c r="L20" s="2047" t="s">
        <v>3934</v>
      </c>
      <c r="M20" s="2047" t="s">
        <v>3935</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17"/>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3936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2</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2001</v>
      </c>
      <c r="E23" s="761">
        <v>44197</v>
      </c>
      <c r="F23" s="2054" t="s">
        <v>2002</v>
      </c>
      <c r="G23" s="762">
        <f>'数据-取费表'!B2</f>
        <v>45587</v>
      </c>
      <c r="H23" s="3341" t="s">
        <v>3252</v>
      </c>
      <c r="I23" s="3342" t="str">
        <f>IF(H23="季度增幅（自定义）",SUMIF(N25:N28,E2,O25:O28),"")</f>
        <v/>
      </c>
      <c r="J23" s="3444" t="s">
        <v>3251</v>
      </c>
      <c r="K23" s="1125"/>
      <c r="L23" s="2055" t="s">
        <v>2003</v>
      </c>
      <c r="M23" s="1328">
        <f>ROUND(SUMIF(地价!B2:G2,E2,地价!B16:G16),0)</f>
        <v>318</v>
      </c>
      <c r="N23" s="2056" t="s">
        <v>2004</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存贷款利率!E27/100</f>
        <v>4.3499999999999997E-2</v>
      </c>
      <c r="F24" s="2060" t="s">
        <v>1998</v>
      </c>
      <c r="G24" s="768">
        <f>SUMIF(M30:Q30,E2,M33:Q33)</f>
        <v>0.05</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0.98380000000000001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3253</v>
      </c>
      <c r="D26" s="1352">
        <f>IF(E26=G26,F26,IF(G3&lt;10,ROUND(F26+(H26-F26)*(G3-E26)/(G26-E26),4),"——"))</f>
        <v>0.98380000000000001</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3" t="s">
        <v>3254</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1.0535000000000001</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9" t="s">
        <v>1935</v>
      </c>
      <c r="M30" s="3350" t="s">
        <v>1989</v>
      </c>
      <c r="N30" s="3350" t="s">
        <v>1990</v>
      </c>
      <c r="O30" s="3350" t="s">
        <v>1991</v>
      </c>
      <c r="P30" s="3350" t="s">
        <v>1992</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f>'数据-汇总表'!F19</f>
        <v>47667.279999999977</v>
      </c>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3261</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0"/>
      <c r="B37" s="2113" t="s">
        <v>2035</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0"/>
      <c r="K37" s="3357" t="s">
        <v>3262</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1"/>
      <c r="B38" s="2041" t="s">
        <v>2036</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21"/>
      <c r="B39" s="2041" t="s">
        <v>3255</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2322</v>
      </c>
      <c r="D41" s="2098"/>
      <c r="E41" s="171">
        <f t="shared" si="4"/>
        <v>0</v>
      </c>
      <c r="F41" s="175">
        <f>SUMIF(修正!A57:A68,G2,修正!F57:F68)</f>
        <v>0.25</v>
      </c>
      <c r="G41" s="171">
        <f>ROUND(IF(E2="工业",C41*$M$42,C41*$M$41),0)</f>
        <v>348</v>
      </c>
      <c r="H41" s="171">
        <f t="shared" si="5"/>
        <v>0</v>
      </c>
      <c r="I41" s="171">
        <f t="shared" si="6"/>
        <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1393</v>
      </c>
      <c r="D42" s="2103">
        <f>'数据-汇总表'!G19</f>
        <v>8191.59</v>
      </c>
      <c r="E42" s="187">
        <f t="shared" si="4"/>
        <v>1141</v>
      </c>
      <c r="F42" s="767">
        <f>SUMIF(修正!A57:A68,G2,修正!G57:G68)</f>
        <v>0.15</v>
      </c>
      <c r="G42" s="187">
        <f>ROUND(IF(E2="工业",C42*$M$42,C42*$M$41),0)</f>
        <v>209</v>
      </c>
      <c r="H42" s="187">
        <f t="shared" si="5"/>
        <v>8191.59</v>
      </c>
      <c r="I42" s="187">
        <f t="shared" si="6"/>
        <v>171</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0.89439999999999997</v>
      </c>
      <c r="D44" s="171" t="s">
        <v>1998</v>
      </c>
      <c r="E44" s="2153">
        <f>G24</f>
        <v>0.05</v>
      </c>
      <c r="F44" s="171" t="s">
        <v>2007</v>
      </c>
      <c r="G44" s="183">
        <f>'数据-取费表'!F6</f>
        <v>34.74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2052</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2058</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2060</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2052</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2058</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2060</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2052</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2058</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2059</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2060</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1.0535000000000001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3498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5">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3498</v>
      </c>
      <c r="D84" s="1065">
        <f t="shared" si="22"/>
        <v>1.4999999999999999E-2</v>
      </c>
      <c r="E84" s="747"/>
      <c r="F84" s="1814"/>
      <c r="G84" s="1063">
        <v>1.4999999999999999E-2</v>
      </c>
      <c r="H84" s="1066">
        <f t="shared" si="23"/>
        <v>1.4999999999999999E-2</v>
      </c>
      <c r="I84" s="3365">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7" t="s">
        <v>3266</v>
      </c>
      <c r="B85" s="2134">
        <f>估价对象房地状况!G17</f>
        <v>0</v>
      </c>
      <c r="C85" s="2044" t="s">
        <v>3498</v>
      </c>
      <c r="D85" s="1065">
        <f t="shared" si="22"/>
        <v>5.0000000000000001E-3</v>
      </c>
      <c r="E85" s="747"/>
      <c r="F85" s="1814"/>
      <c r="G85" s="1063">
        <v>5.0000000000000001E-3</v>
      </c>
      <c r="H85" s="1066">
        <f t="shared" si="23"/>
        <v>5.0000000000000001E-3</v>
      </c>
      <c r="I85" s="3365">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2066</v>
      </c>
      <c r="B86" s="2134">
        <f>估价对象房地状况!G22</f>
        <v>0</v>
      </c>
      <c r="C86" s="2044" t="s">
        <v>3510</v>
      </c>
      <c r="D86" s="1065">
        <f t="shared" si="22"/>
        <v>0</v>
      </c>
      <c r="E86" s="747"/>
      <c r="F86" s="1814"/>
      <c r="G86" s="1063">
        <v>2.5000000000000001E-3</v>
      </c>
      <c r="H86" s="1066">
        <f t="shared" si="23"/>
        <v>2.5000000000000001E-3</v>
      </c>
      <c r="I86" s="3365">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2058</v>
      </c>
      <c r="B87" s="1326" t="str">
        <f>估价对象房地状况!G19</f>
        <v>估价对象所在区域公共配套设施齐备情况</v>
      </c>
      <c r="C87" s="2044" t="s">
        <v>3498</v>
      </c>
      <c r="D87" s="1065">
        <f t="shared" si="22"/>
        <v>3.0000000000000001E-3</v>
      </c>
      <c r="E87" s="747"/>
      <c r="F87" s="1814"/>
      <c r="G87" s="1063">
        <v>3.0000000000000001E-3</v>
      </c>
      <c r="H87" s="1066">
        <f t="shared" si="23"/>
        <v>3.0000000000000001E-3</v>
      </c>
      <c r="I87" s="3365">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2059</v>
      </c>
      <c r="B88" s="1326" t="str">
        <f>估价对象房地状况!G20</f>
        <v>估价对象所在区域基础设施水平</v>
      </c>
      <c r="C88" s="2044" t="s">
        <v>3937</v>
      </c>
      <c r="D88" s="1065">
        <f t="shared" si="22"/>
        <v>1.2E-2</v>
      </c>
      <c r="E88" s="747"/>
      <c r="F88" s="1814"/>
      <c r="G88" s="1063">
        <v>6.0000000000000001E-3</v>
      </c>
      <c r="H88" s="1066">
        <f t="shared" si="23"/>
        <v>6.0000000000000001E-3</v>
      </c>
      <c r="I88" s="3365">
        <v>0.12</v>
      </c>
      <c r="J88" s="1064">
        <f t="shared" si="24"/>
        <v>1.2E-2</v>
      </c>
      <c r="K88" s="1064">
        <f t="shared" si="25"/>
        <v>6.0000000000000001E-3</v>
      </c>
      <c r="L88" s="1064">
        <v>0</v>
      </c>
      <c r="M88" s="1064">
        <f t="shared" si="26"/>
        <v>-6.0000000000000001E-3</v>
      </c>
      <c r="N88" s="1064">
        <f t="shared" si="26"/>
        <v>-1.2E-2</v>
      </c>
    </row>
    <row r="89" spans="1:37" ht="24">
      <c r="A89" s="2130" t="s">
        <v>2056</v>
      </c>
      <c r="B89" s="2136" t="s">
        <v>2070</v>
      </c>
      <c r="C89" s="2044" t="s">
        <v>3498</v>
      </c>
      <c r="D89" s="1065">
        <f t="shared" si="22"/>
        <v>3.0000000000000001E-3</v>
      </c>
      <c r="E89" s="747"/>
      <c r="F89" s="1814"/>
      <c r="G89" s="1063">
        <v>3.0000000000000001E-3</v>
      </c>
      <c r="H89" s="1066">
        <f t="shared" si="23"/>
        <v>3.0000000000000001E-3</v>
      </c>
      <c r="I89" s="3365">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2071</v>
      </c>
      <c r="B90" s="2143" t="str">
        <f>估价对象房地状况!G18</f>
        <v>该园区内是否有污染型企业，绿化情况，卫生条件，整体环境状况判断</v>
      </c>
      <c r="C90" s="2044" t="s">
        <v>3498</v>
      </c>
      <c r="D90" s="1065">
        <f t="shared" si="22"/>
        <v>2.5000000000000001E-3</v>
      </c>
      <c r="E90" s="748"/>
      <c r="F90" s="1814"/>
      <c r="G90" s="1063">
        <v>2.5000000000000001E-3</v>
      </c>
      <c r="H90" s="1066">
        <f t="shared" si="23"/>
        <v>2.5000000000000001E-3</v>
      </c>
      <c r="I90" s="3366">
        <v>0.05</v>
      </c>
      <c r="J90" s="1064">
        <f t="shared" si="24"/>
        <v>5.0000000000000001E-3</v>
      </c>
      <c r="K90" s="1064">
        <f t="shared" si="25"/>
        <v>2.5000000000000001E-3</v>
      </c>
      <c r="L90" s="1064">
        <v>0</v>
      </c>
      <c r="M90" s="1064">
        <f t="shared" si="26"/>
        <v>-2.5000000000000001E-3</v>
      </c>
      <c r="N90" s="1064">
        <f t="shared" si="26"/>
        <v>-5.0000000000000001E-3</v>
      </c>
    </row>
    <row r="91" spans="1:37" ht="15">
      <c r="A91" s="3375" t="s">
        <v>2608</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8" t="s">
        <v>3290</v>
      </c>
      <c r="B103" s="3818"/>
      <c r="C103" s="3818"/>
      <c r="D103" s="3818"/>
      <c r="E103" s="3818"/>
      <c r="F103" s="3818"/>
      <c r="G103" s="3818"/>
      <c r="H103" s="3818"/>
      <c r="I103" s="3818"/>
      <c r="J103" s="3818"/>
      <c r="K103" s="3388"/>
      <c r="L103" s="3388"/>
      <c r="M103" s="3388"/>
      <c r="N103" s="3388"/>
    </row>
    <row r="104" spans="1:14">
      <c r="A104" s="3819" t="s">
        <v>3291</v>
      </c>
      <c r="B104" s="3819" t="s">
        <v>3292</v>
      </c>
      <c r="C104" s="3389" t="s">
        <v>3293</v>
      </c>
      <c r="D104" s="3390"/>
      <c r="E104" s="3390"/>
      <c r="F104" s="3390"/>
      <c r="G104" s="3390"/>
      <c r="H104" s="3390"/>
      <c r="I104" s="3390"/>
      <c r="J104" s="3391"/>
      <c r="K104" s="3392"/>
      <c r="L104" s="3392"/>
      <c r="M104" s="3392"/>
      <c r="N104" s="3392"/>
    </row>
    <row r="105" spans="1:14">
      <c r="A105" s="3819"/>
      <c r="B105" s="3819"/>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805"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6"/>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8" t="s">
        <v>3307</v>
      </c>
      <c r="B113" s="3808"/>
      <c r="C113" s="3808"/>
      <c r="D113" s="3808"/>
      <c r="E113" s="3808"/>
      <c r="F113" s="3808"/>
      <c r="G113" s="3808"/>
      <c r="H113" s="3808"/>
      <c r="I113" s="3808"/>
      <c r="J113" s="38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2.15</v>
      </c>
      <c r="C116" s="3398" t="s">
        <v>3309</v>
      </c>
      <c r="D116" s="3399">
        <f>SUMPRODUCT((A118:A122=F116)*(B117:M117=H116)*B118:M122)</f>
        <v>0.7208</v>
      </c>
      <c r="E116" s="2000" t="s">
        <v>3310</v>
      </c>
      <c r="F116" s="3400" t="str">
        <f>E2</f>
        <v>工业</v>
      </c>
      <c r="G116" s="2000" t="s">
        <v>3311</v>
      </c>
      <c r="H116" s="3400" t="str">
        <f>G2</f>
        <v>四级</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0.97319999999999995</v>
      </c>
      <c r="C118" s="3386">
        <f>B118</f>
        <v>0.97319999999999995</v>
      </c>
      <c r="D118" s="3386">
        <f>ROUND(0.949-0.014*B116,4)</f>
        <v>0.91890000000000005</v>
      </c>
      <c r="E118" s="3386">
        <f>D118</f>
        <v>0.91890000000000005</v>
      </c>
      <c r="F118" s="3386">
        <f>E118</f>
        <v>0.91890000000000005</v>
      </c>
      <c r="G118" s="3386">
        <f>F118</f>
        <v>0.91890000000000005</v>
      </c>
      <c r="H118" s="3386">
        <f>G118</f>
        <v>0.91890000000000005</v>
      </c>
      <c r="I118" s="3386">
        <f>ROUND(0.8486-0.018*B116,4)</f>
        <v>0.80989999999999995</v>
      </c>
      <c r="J118" s="3386">
        <f t="shared" ref="J118:M122" si="35">I118</f>
        <v>0.80989999999999995</v>
      </c>
      <c r="K118" s="3386">
        <f t="shared" si="35"/>
        <v>0.80989999999999995</v>
      </c>
      <c r="L118" s="3386">
        <f t="shared" si="35"/>
        <v>0.80989999999999995</v>
      </c>
      <c r="M118" s="3409">
        <f t="shared" si="35"/>
        <v>0.80989999999999995</v>
      </c>
      <c r="N118" s="3396"/>
    </row>
    <row r="119" spans="1:14">
      <c r="A119" s="3408" t="s">
        <v>3325</v>
      </c>
      <c r="B119" s="3386">
        <f>ROUND(0.993-0.0112*B116,4)</f>
        <v>0.96889999999999998</v>
      </c>
      <c r="C119" s="3386">
        <f>B119</f>
        <v>0.96889999999999998</v>
      </c>
      <c r="D119" s="3386">
        <f>ROUND(0.9415-0.0142*B116,4)</f>
        <v>0.91100000000000003</v>
      </c>
      <c r="E119" s="3386">
        <f t="shared" ref="E119:H120" si="36">D119</f>
        <v>0.91100000000000003</v>
      </c>
      <c r="F119" s="3386">
        <f t="shared" si="36"/>
        <v>0.91100000000000003</v>
      </c>
      <c r="G119" s="3386">
        <f t="shared" si="36"/>
        <v>0.91100000000000003</v>
      </c>
      <c r="H119" s="3386">
        <f t="shared" si="36"/>
        <v>0.91100000000000003</v>
      </c>
      <c r="I119" s="3386">
        <f>ROUND(0.838-0.0182*B116,4)</f>
        <v>0.79890000000000005</v>
      </c>
      <c r="J119" s="3386">
        <f t="shared" si="35"/>
        <v>0.79890000000000005</v>
      </c>
      <c r="K119" s="3386">
        <f t="shared" si="35"/>
        <v>0.79890000000000005</v>
      </c>
      <c r="L119" s="3386">
        <f t="shared" si="35"/>
        <v>0.79890000000000005</v>
      </c>
      <c r="M119" s="3409">
        <f t="shared" si="35"/>
        <v>0.79890000000000005</v>
      </c>
      <c r="N119" s="3396"/>
    </row>
    <row r="120" spans="1:14">
      <c r="A120" s="3408" t="s">
        <v>3326</v>
      </c>
      <c r="B120" s="3386">
        <f>ROUND(0.9448-0.0115*B116,4)</f>
        <v>0.92010000000000003</v>
      </c>
      <c r="C120" s="3386">
        <f>B120</f>
        <v>0.92010000000000003</v>
      </c>
      <c r="D120" s="3386">
        <f>ROUND(0.937-0.0145*B116,4)</f>
        <v>0.90580000000000005</v>
      </c>
      <c r="E120" s="3386">
        <f t="shared" si="36"/>
        <v>0.90580000000000005</v>
      </c>
      <c r="F120" s="3386">
        <f t="shared" si="36"/>
        <v>0.90580000000000005</v>
      </c>
      <c r="G120" s="3386">
        <f t="shared" si="36"/>
        <v>0.90580000000000005</v>
      </c>
      <c r="H120" s="3386">
        <f t="shared" si="36"/>
        <v>0.90580000000000005</v>
      </c>
      <c r="I120" s="3386">
        <f>ROUND(0.7965-0.0185*B116,4)</f>
        <v>0.75670000000000004</v>
      </c>
      <c r="J120" s="3386">
        <f t="shared" si="35"/>
        <v>0.75670000000000004</v>
      </c>
      <c r="K120" s="3386">
        <f t="shared" si="35"/>
        <v>0.75670000000000004</v>
      </c>
      <c r="L120" s="3386">
        <f t="shared" si="35"/>
        <v>0.75670000000000004</v>
      </c>
      <c r="M120" s="3409">
        <f t="shared" si="35"/>
        <v>0.75670000000000004</v>
      </c>
      <c r="N120" s="3396"/>
    </row>
    <row r="121" spans="1:14" ht="13.5" thickBot="1">
      <c r="A121" s="3410" t="s">
        <v>3327</v>
      </c>
      <c r="B121" s="3411">
        <f>ROUND(0.7836-0.012*B116,4)</f>
        <v>0.75780000000000003</v>
      </c>
      <c r="C121" s="3411">
        <f>B121</f>
        <v>0.75780000000000003</v>
      </c>
      <c r="D121" s="3411">
        <f>ROUND(0.753-0.015*B116,4)</f>
        <v>0.7208</v>
      </c>
      <c r="E121" s="3411">
        <f>D121</f>
        <v>0.7208</v>
      </c>
      <c r="F121" s="3411">
        <f>E121</f>
        <v>0.7208</v>
      </c>
      <c r="G121" s="3411">
        <f>ROUND(0.6612-0.018*B116,4)</f>
        <v>0.62250000000000005</v>
      </c>
      <c r="H121" s="3411">
        <f>G121</f>
        <v>0.62250000000000005</v>
      </c>
      <c r="I121" s="3411">
        <f>ROUND(0.5905-0.019*B116,4)</f>
        <v>0.54969999999999997</v>
      </c>
      <c r="J121" s="3411">
        <f t="shared" si="35"/>
        <v>0.54969999999999997</v>
      </c>
      <c r="K121" s="3411">
        <f t="shared" si="35"/>
        <v>0.54969999999999997</v>
      </c>
      <c r="L121" s="3411">
        <f t="shared" si="35"/>
        <v>0.54969999999999997</v>
      </c>
      <c r="M121" s="3412">
        <f t="shared" si="35"/>
        <v>0.54969999999999997</v>
      </c>
      <c r="N121" s="3396"/>
    </row>
    <row r="122" spans="1:14">
      <c r="A122" s="3413" t="s">
        <v>2608</v>
      </c>
      <c r="B122" s="3386">
        <f>ROUND(0.9404-0.0106*B116,4)</f>
        <v>0.91759999999999997</v>
      </c>
      <c r="C122" s="3386">
        <f>B122</f>
        <v>0.91759999999999997</v>
      </c>
      <c r="D122" s="3386">
        <f>ROUND(0.8955-0.0135*B116,4)</f>
        <v>0.86650000000000005</v>
      </c>
      <c r="E122" s="3386">
        <f t="shared" ref="E122:H122" si="37">D122</f>
        <v>0.86650000000000005</v>
      </c>
      <c r="F122" s="3386">
        <f t="shared" si="37"/>
        <v>0.86650000000000005</v>
      </c>
      <c r="G122" s="3386">
        <f t="shared" si="37"/>
        <v>0.86650000000000005</v>
      </c>
      <c r="H122" s="3386">
        <f t="shared" si="37"/>
        <v>0.86650000000000005</v>
      </c>
      <c r="I122" s="3386">
        <f>ROUND(0.7632-0.0166*B116,4)</f>
        <v>0.72750000000000004</v>
      </c>
      <c r="J122" s="3386">
        <f t="shared" si="35"/>
        <v>0.72750000000000004</v>
      </c>
      <c r="K122" s="3386">
        <f t="shared" si="35"/>
        <v>0.72750000000000004</v>
      </c>
      <c r="L122" s="3386">
        <f t="shared" si="35"/>
        <v>0.72750000000000004</v>
      </c>
      <c r="M122" s="3409">
        <f t="shared" si="35"/>
        <v>0.72750000000000004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7" t="s">
        <v>694</v>
      </c>
      <c r="C6" s="1074">
        <f ca="1">ROUND(F6*F8*F7*(1-F9),0)</f>
        <v>0</v>
      </c>
      <c r="D6" s="155" t="s">
        <v>2105</v>
      </c>
      <c r="E6" s="302" t="s">
        <v>696</v>
      </c>
      <c r="F6" s="303">
        <f ca="1">INDIRECT("'数据-取费表'!u"&amp;$G$1)</f>
        <v>0</v>
      </c>
      <c r="G6" s="1384"/>
      <c r="H6" s="1069" t="s">
        <v>398</v>
      </c>
      <c r="I6" s="3797" t="s">
        <v>694</v>
      </c>
      <c r="J6" s="301">
        <f ca="1">ROUND(M6*M8*M7*(1-M9),0)</f>
        <v>0</v>
      </c>
      <c r="K6" s="1376" t="s">
        <v>2106</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0</v>
      </c>
      <c r="G7" s="1384"/>
      <c r="H7" s="304"/>
      <c r="I7" s="3798"/>
      <c r="J7" s="306"/>
      <c r="K7" s="307"/>
      <c r="L7" s="302" t="s">
        <v>697</v>
      </c>
      <c r="M7" s="303">
        <f ca="1">F7</f>
        <v>0</v>
      </c>
    </row>
    <row r="8" spans="1:37" ht="18" customHeight="1">
      <c r="A8" s="304"/>
      <c r="B8" s="3798"/>
      <c r="C8" s="306"/>
      <c r="D8" s="307"/>
      <c r="E8" s="302" t="s">
        <v>698</v>
      </c>
      <c r="F8" s="303">
        <f ca="1">INDIRECT("'数据-取费表'!ai"&amp;$G$1)</f>
        <v>0</v>
      </c>
      <c r="G8" s="1384"/>
      <c r="H8" s="304"/>
      <c r="I8" s="3798"/>
      <c r="J8" s="306"/>
      <c r="K8" s="307"/>
      <c r="L8" s="302" t="s">
        <v>698</v>
      </c>
      <c r="M8" s="303">
        <f ca="1">INDIRECT("'数据-取费表'!ai"&amp;$G$1)</f>
        <v>0</v>
      </c>
    </row>
    <row r="9" spans="1:37" ht="18" customHeight="1">
      <c r="A9" s="304"/>
      <c r="B9" s="3799"/>
      <c r="C9" s="306"/>
      <c r="D9" s="307"/>
      <c r="E9" s="302" t="s">
        <v>699</v>
      </c>
      <c r="F9" s="312">
        <f ca="1">INDIRECT("'数据-取费表'!w"&amp;$G$1)</f>
        <v>0</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2302</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t="e">
        <f ca="1">ROUND((C68-C40)/10000,4)</f>
        <v>#DIV/0!</v>
      </c>
      <c r="D45" s="3430"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95" t="s">
        <v>837</v>
      </c>
      <c r="L53" s="379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受贵公司委托，我公司对北京市朝阳区望京东路4号院1号楼房地产抵押价值进行了预评估。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估价对象为北京市朝阳区望京东路4号院1号楼房地产，为所有。根据《国有土地使用证》[]，估价对象（分摊）出让国有建设用地使用权面积为0平方米，建筑面积为55858.87平方米。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开发建设的，该项目尚在开发建设中。根据《国有土地使用证》[]，估价对象（分摊）出让国有建设用地使用权面积为0平方米，规划建筑面积为55858.87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2431</v>
      </c>
      <c r="B1" s="2830"/>
      <c r="C1" s="2842"/>
      <c r="D1" s="2842"/>
      <c r="E1" s="2831"/>
      <c r="F1" s="2832"/>
      <c r="G1" s="2833"/>
      <c r="J1" s="2836" t="s">
        <v>2310</v>
      </c>
      <c r="K1" s="2837"/>
      <c r="L1" s="2837"/>
      <c r="M1" s="2837"/>
      <c r="N1" s="2837"/>
      <c r="O1" s="2837"/>
      <c r="P1" s="2837"/>
      <c r="Q1" s="2837"/>
      <c r="R1" s="2838"/>
      <c r="S1" s="2839"/>
      <c r="T1" s="2839"/>
      <c r="U1" s="2839"/>
    </row>
    <row r="2" spans="1:22" s="2851" customFormat="1" ht="13.15" customHeight="1">
      <c r="A2" s="1385" t="s">
        <v>2311</v>
      </c>
      <c r="B2" s="2841" t="e">
        <f>IF(D2="——",C40,C40+E2)</f>
        <v>#DIV/0!</v>
      </c>
      <c r="C2" s="2842" t="s">
        <v>2312</v>
      </c>
      <c r="D2" s="3441" t="s">
        <v>3355</v>
      </c>
      <c r="E2" s="3442"/>
      <c r="F2" s="2844"/>
      <c r="G2" s="2845"/>
      <c r="H2" s="2846"/>
      <c r="I2" s="2847"/>
      <c r="J2" s="3830" t="s">
        <v>2313</v>
      </c>
      <c r="K2" s="3831"/>
      <c r="L2" s="2848" t="s">
        <v>2314</v>
      </c>
      <c r="M2" s="2848" t="s">
        <v>2315</v>
      </c>
      <c r="N2" s="2848" t="s">
        <v>2316</v>
      </c>
      <c r="O2" s="2848" t="s">
        <v>2317</v>
      </c>
      <c r="P2" s="2848" t="s">
        <v>2318</v>
      </c>
      <c r="Q2" s="2849" t="s">
        <v>2319</v>
      </c>
      <c r="R2" s="2850" t="s">
        <v>2320</v>
      </c>
      <c r="S2" s="2839"/>
      <c r="T2" s="2839"/>
      <c r="U2" s="2839"/>
      <c r="V2" s="2847"/>
    </row>
    <row r="3" spans="1:22" s="2851" customFormat="1" ht="13.15" customHeight="1">
      <c r="A3" s="2852" t="s">
        <v>2321</v>
      </c>
      <c r="B3" s="2853" t="e">
        <f>ROUND(B2*10000/B4,0)</f>
        <v>#DIV/0!</v>
      </c>
      <c r="C3" s="2842" t="s">
        <v>2322</v>
      </c>
      <c r="D3" s="2842"/>
      <c r="E3" s="2843"/>
      <c r="F3" s="2844"/>
      <c r="G3" s="2845"/>
      <c r="H3" s="2846"/>
      <c r="I3" s="2847"/>
      <c r="J3" s="3832" t="s">
        <v>2323</v>
      </c>
      <c r="K3" s="3833"/>
      <c r="L3" s="2854"/>
      <c r="M3" s="2854"/>
      <c r="N3" s="2854"/>
      <c r="O3" s="2854"/>
      <c r="P3" s="2854"/>
      <c r="Q3" s="2855"/>
      <c r="R3" s="2856">
        <f>SUM(L3:Q3)</f>
        <v>0</v>
      </c>
      <c r="S3" s="2839"/>
      <c r="T3" s="2839"/>
      <c r="U3" s="2839"/>
      <c r="V3" s="2847"/>
    </row>
    <row r="4" spans="1:22" s="2851" customFormat="1" ht="13.15" customHeight="1">
      <c r="A4" s="2857" t="s">
        <v>2324</v>
      </c>
      <c r="B4" s="2858"/>
      <c r="C4" s="2842"/>
      <c r="D4" s="2842"/>
      <c r="E4" s="2843"/>
      <c r="F4" s="2844"/>
      <c r="G4" s="2845"/>
      <c r="H4" s="2846"/>
      <c r="I4" s="2847"/>
      <c r="J4" s="3832" t="s">
        <v>2325</v>
      </c>
      <c r="K4" s="3833"/>
      <c r="L4" s="2859"/>
      <c r="M4" s="2859"/>
      <c r="N4" s="2859"/>
      <c r="O4" s="2859"/>
      <c r="P4" s="2859"/>
      <c r="Q4" s="2860"/>
      <c r="R4" s="2861">
        <f>SUM(L4:Q4)</f>
        <v>0</v>
      </c>
      <c r="S4" s="2839"/>
      <c r="T4" s="2839"/>
      <c r="U4" s="2839"/>
      <c r="V4" s="2847"/>
    </row>
    <row r="5" spans="1:22" s="2851" customFormat="1" ht="13.15" customHeight="1" thickBot="1">
      <c r="A5" s="2862" t="s">
        <v>2326</v>
      </c>
      <c r="B5" s="2863"/>
      <c r="C5" s="2842"/>
      <c r="D5" s="2864"/>
      <c r="E5" s="2844"/>
      <c r="F5" s="2844"/>
      <c r="G5" s="2845"/>
      <c r="H5" s="2846"/>
      <c r="I5" s="2847"/>
      <c r="J5" s="2865" t="s">
        <v>2327</v>
      </c>
      <c r="K5" s="2866"/>
      <c r="L5" s="2866"/>
      <c r="M5" s="2867"/>
      <c r="N5" s="2867"/>
      <c r="O5" s="2867"/>
      <c r="P5" s="2867"/>
      <c r="Q5" s="2867"/>
      <c r="R5" s="2850">
        <f>SUM(R14,R19,R24,R25,R27,R28)</f>
        <v>0</v>
      </c>
      <c r="S5" s="2839"/>
      <c r="T5" s="2839" t="s">
        <v>2328</v>
      </c>
      <c r="U5" s="2839" t="e">
        <f>ROUND(R5*10000/365/R3,1)</f>
        <v>#DIV/0!</v>
      </c>
      <c r="V5" s="2847"/>
    </row>
    <row r="6" spans="1:22" s="2851" customFormat="1" ht="13.15" customHeight="1" thickBot="1">
      <c r="A6" s="3838" t="s">
        <v>2329</v>
      </c>
      <c r="B6" s="3839"/>
      <c r="C6" s="3840"/>
      <c r="D6" s="2868"/>
      <c r="E6" s="2869"/>
      <c r="F6" s="2870"/>
      <c r="G6" s="2871"/>
      <c r="H6" s="2846"/>
      <c r="I6" s="2847"/>
      <c r="J6" s="3824">
        <v>1</v>
      </c>
      <c r="K6" s="3825" t="s">
        <v>2330</v>
      </c>
      <c r="L6" s="2872" t="s">
        <v>2331</v>
      </c>
      <c r="M6" s="2873" t="s">
        <v>2332</v>
      </c>
      <c r="N6" s="2873" t="s">
        <v>2333</v>
      </c>
      <c r="O6" s="2873" t="s">
        <v>2334</v>
      </c>
      <c r="P6" s="2873" t="s">
        <v>2335</v>
      </c>
      <c r="Q6" s="2873" t="s">
        <v>2336</v>
      </c>
      <c r="R6" s="2856" t="s">
        <v>2337</v>
      </c>
      <c r="S6" s="2839"/>
      <c r="T6" s="2839" t="s">
        <v>2338</v>
      </c>
      <c r="U6" s="2839"/>
      <c r="V6" s="2847"/>
    </row>
    <row r="7" spans="1:22" s="2851" customFormat="1" ht="13.15" customHeight="1">
      <c r="A7" s="2874" t="s">
        <v>2339</v>
      </c>
      <c r="B7" s="2875"/>
      <c r="C7" s="2876"/>
      <c r="D7" s="2877">
        <f>SUM(D9,D10,D11,D17,0)</f>
        <v>0</v>
      </c>
      <c r="E7" s="2878" t="e">
        <f>E9+E10+E11+E17</f>
        <v>#DIV/0!</v>
      </c>
      <c r="F7" s="2879"/>
      <c r="G7" s="2880"/>
      <c r="H7" s="2846"/>
      <c r="I7" s="2847"/>
      <c r="J7" s="3824"/>
      <c r="K7" s="3826"/>
      <c r="L7" s="2881" t="s">
        <v>2340</v>
      </c>
      <c r="M7" s="2882"/>
      <c r="N7" s="2858"/>
      <c r="O7" s="2883"/>
      <c r="P7" s="2883"/>
      <c r="Q7" s="2884">
        <v>365</v>
      </c>
      <c r="R7" s="2885">
        <f>ROUND(M7*N7*O7*P7*Q7/10000,0)</f>
        <v>0</v>
      </c>
      <c r="S7" s="2839"/>
      <c r="T7" s="2839" t="s">
        <v>2341</v>
      </c>
      <c r="U7" s="2839"/>
      <c r="V7" s="2847"/>
    </row>
    <row r="8" spans="1:22" s="2851" customFormat="1" ht="13.15" customHeight="1">
      <c r="A8" s="2886" t="s">
        <v>2342</v>
      </c>
      <c r="B8" s="3841" t="s">
        <v>2343</v>
      </c>
      <c r="C8" s="3842"/>
      <c r="D8" s="2887" t="s">
        <v>2344</v>
      </c>
      <c r="E8" s="2888" t="s">
        <v>2345</v>
      </c>
      <c r="F8" s="2889" t="s">
        <v>2346</v>
      </c>
      <c r="G8" s="2890"/>
      <c r="H8" s="2846"/>
      <c r="I8" s="2847"/>
      <c r="J8" s="3824"/>
      <c r="K8" s="3826"/>
      <c r="L8" s="2881" t="s">
        <v>2347</v>
      </c>
      <c r="M8" s="2882"/>
      <c r="N8" s="2858"/>
      <c r="O8" s="2883"/>
      <c r="P8" s="2883"/>
      <c r="Q8" s="2884">
        <v>365</v>
      </c>
      <c r="R8" s="2885">
        <f t="shared" ref="R8:R13" si="0">ROUND(M8*N8*O8*P8*Q8/10000,0)</f>
        <v>0</v>
      </c>
      <c r="S8" s="2839"/>
      <c r="T8" s="2839" t="s">
        <v>2348</v>
      </c>
      <c r="U8" s="2839"/>
      <c r="V8" s="2847"/>
    </row>
    <row r="9" spans="1:22" s="2851" customFormat="1" ht="13.15" customHeight="1">
      <c r="A9" s="2886">
        <v>1</v>
      </c>
      <c r="B9" s="3841" t="s">
        <v>2349</v>
      </c>
      <c r="C9" s="3842"/>
      <c r="D9" s="2887">
        <f>ROUND(D6*E9,0)</f>
        <v>0</v>
      </c>
      <c r="E9" s="2891"/>
      <c r="F9" s="2892" t="s">
        <v>2350</v>
      </c>
      <c r="G9" s="2871"/>
      <c r="H9" s="2846"/>
      <c r="I9" s="2847"/>
      <c r="J9" s="3824"/>
      <c r="K9" s="3826"/>
      <c r="L9" s="2881" t="s">
        <v>2351</v>
      </c>
      <c r="M9" s="2882"/>
      <c r="N9" s="2858"/>
      <c r="O9" s="2883"/>
      <c r="P9" s="2883"/>
      <c r="Q9" s="2884">
        <v>365</v>
      </c>
      <c r="R9" s="2885">
        <f t="shared" si="0"/>
        <v>0</v>
      </c>
      <c r="S9" s="2839"/>
      <c r="T9" s="2839"/>
      <c r="U9" s="2839"/>
      <c r="V9" s="2847"/>
    </row>
    <row r="10" spans="1:22" s="2851" customFormat="1" ht="13.15" customHeight="1">
      <c r="A10" s="2886">
        <v>2</v>
      </c>
      <c r="B10" s="3841" t="s">
        <v>2352</v>
      </c>
      <c r="C10" s="3842"/>
      <c r="D10" s="2887">
        <f>ROUND(D6*E10,0)</f>
        <v>0</v>
      </c>
      <c r="E10" s="2891"/>
      <c r="F10" s="2892" t="s">
        <v>2353</v>
      </c>
      <c r="G10" s="2871"/>
      <c r="H10" s="2846"/>
      <c r="I10" s="2847"/>
      <c r="J10" s="3824"/>
      <c r="K10" s="3826"/>
      <c r="L10" s="2881" t="s">
        <v>2354</v>
      </c>
      <c r="M10" s="2882"/>
      <c r="N10" s="2858"/>
      <c r="O10" s="2883"/>
      <c r="P10" s="2883"/>
      <c r="Q10" s="2884">
        <v>365</v>
      </c>
      <c r="R10" s="2885">
        <f t="shared" si="0"/>
        <v>0</v>
      </c>
      <c r="S10" s="2839"/>
      <c r="T10" s="2839"/>
      <c r="U10" s="2839"/>
      <c r="V10" s="2847"/>
    </row>
    <row r="11" spans="1:22" s="2851" customFormat="1" ht="13.15" customHeight="1">
      <c r="A11" s="2886">
        <v>3</v>
      </c>
      <c r="B11" s="3841" t="s">
        <v>2355</v>
      </c>
      <c r="C11" s="3842"/>
      <c r="D11" s="2887">
        <f>D12+D14+D15+D16</f>
        <v>0</v>
      </c>
      <c r="E11" s="2893" t="e">
        <f>D11/D6</f>
        <v>#DIV/0!</v>
      </c>
      <c r="F11" s="2889"/>
      <c r="G11" s="2890"/>
      <c r="H11" s="2846"/>
      <c r="I11" s="2847"/>
      <c r="J11" s="3824"/>
      <c r="K11" s="3826"/>
      <c r="L11" s="2881" t="s">
        <v>2356</v>
      </c>
      <c r="M11" s="2882"/>
      <c r="N11" s="2858"/>
      <c r="O11" s="2883"/>
      <c r="P11" s="2883"/>
      <c r="Q11" s="2884">
        <v>365</v>
      </c>
      <c r="R11" s="2885">
        <f t="shared" si="0"/>
        <v>0</v>
      </c>
      <c r="S11" s="2839"/>
      <c r="T11" s="2839"/>
      <c r="U11" s="2839"/>
      <c r="V11" s="2847"/>
    </row>
    <row r="12" spans="1:22" s="2851" customFormat="1" ht="13.15" customHeight="1">
      <c r="A12" s="2894" t="s">
        <v>2357</v>
      </c>
      <c r="B12" s="3834" t="s">
        <v>2358</v>
      </c>
      <c r="C12" s="3835"/>
      <c r="D12" s="2895">
        <f>ROUND(D13*1.2%*(1-30%),0)</f>
        <v>0</v>
      </c>
      <c r="E12" s="2896">
        <v>1.2E-2</v>
      </c>
      <c r="F12" s="2889" t="s">
        <v>2359</v>
      </c>
      <c r="G12" s="2890"/>
      <c r="H12" s="2846"/>
      <c r="I12" s="2847"/>
      <c r="J12" s="3824"/>
      <c r="K12" s="3826"/>
      <c r="L12" s="2881" t="s">
        <v>2360</v>
      </c>
      <c r="M12" s="2882"/>
      <c r="N12" s="2858"/>
      <c r="O12" s="2883"/>
      <c r="P12" s="2883"/>
      <c r="Q12" s="2884">
        <v>365</v>
      </c>
      <c r="R12" s="2885">
        <f t="shared" si="0"/>
        <v>0</v>
      </c>
      <c r="S12" s="2839"/>
      <c r="T12" s="2839"/>
      <c r="U12" s="2839"/>
      <c r="V12" s="2847"/>
    </row>
    <row r="13" spans="1:22" s="2851" customFormat="1" ht="13.15" customHeight="1">
      <c r="A13" s="2894"/>
      <c r="B13" s="2897"/>
      <c r="C13" s="2898" t="s">
        <v>2361</v>
      </c>
      <c r="D13" s="2899"/>
      <c r="E13" s="2900"/>
      <c r="F13" s="2889"/>
      <c r="G13" s="2890"/>
      <c r="H13" s="2846"/>
      <c r="I13" s="2847"/>
      <c r="J13" s="3824"/>
      <c r="K13" s="3826"/>
      <c r="L13" s="2881" t="s">
        <v>2362</v>
      </c>
      <c r="M13" s="2882"/>
      <c r="N13" s="2858"/>
      <c r="O13" s="2883"/>
      <c r="P13" s="2883"/>
      <c r="Q13" s="2884">
        <v>365</v>
      </c>
      <c r="R13" s="2885">
        <f t="shared" si="0"/>
        <v>0</v>
      </c>
      <c r="S13" s="2839"/>
      <c r="T13" s="2839"/>
      <c r="U13" s="2839"/>
      <c r="V13" s="2847"/>
    </row>
    <row r="14" spans="1:22" s="2851" customFormat="1" ht="13.15" customHeight="1">
      <c r="A14" s="2894" t="s">
        <v>2363</v>
      </c>
      <c r="B14" s="3834" t="s">
        <v>2364</v>
      </c>
      <c r="C14" s="3835"/>
      <c r="D14" s="2895">
        <f>ROUND(E14*B5/10000,0)</f>
        <v>0</v>
      </c>
      <c r="E14" s="2884"/>
      <c r="F14" s="2889" t="s">
        <v>2365</v>
      </c>
      <c r="G14" s="2890"/>
      <c r="H14" s="2846"/>
      <c r="I14" s="2847"/>
      <c r="J14" s="3824"/>
      <c r="K14" s="3827"/>
      <c r="L14" s="2901" t="s">
        <v>2366</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2367</v>
      </c>
      <c r="B15" s="3834" t="s">
        <v>2368</v>
      </c>
      <c r="C15" s="3835"/>
      <c r="D15" s="2895">
        <f>ROUND(D6*E15,0)</f>
        <v>0</v>
      </c>
      <c r="E15" s="2896">
        <v>5.5E-2</v>
      </c>
      <c r="F15" s="2889" t="s">
        <v>2369</v>
      </c>
      <c r="G15" s="2871"/>
      <c r="H15" s="2846"/>
      <c r="I15" s="2847"/>
      <c r="J15" s="3824">
        <v>2</v>
      </c>
      <c r="K15" s="3825" t="s">
        <v>2370</v>
      </c>
      <c r="L15" s="2881" t="s">
        <v>2371</v>
      </c>
      <c r="M15" s="2882" t="s">
        <v>2372</v>
      </c>
      <c r="N15" s="2882" t="s">
        <v>2373</v>
      </c>
      <c r="O15" s="2883" t="s">
        <v>2374</v>
      </c>
      <c r="P15" s="2883" t="s">
        <v>2336</v>
      </c>
      <c r="Q15" s="2858" t="s">
        <v>2375</v>
      </c>
      <c r="R15" s="2905" t="s">
        <v>2337</v>
      </c>
      <c r="S15" s="2839"/>
      <c r="T15" s="2839"/>
      <c r="U15" s="2839"/>
      <c r="V15" s="2847"/>
    </row>
    <row r="16" spans="1:22" s="2851" customFormat="1" ht="13.15" customHeight="1">
      <c r="A16" s="2894" t="s">
        <v>2376</v>
      </c>
      <c r="B16" s="3834" t="s">
        <v>2377</v>
      </c>
      <c r="C16" s="3835"/>
      <c r="D16" s="2906">
        <f>D6*E16</f>
        <v>0</v>
      </c>
      <c r="E16" s="2907"/>
      <c r="F16" s="2892" t="s">
        <v>2378</v>
      </c>
      <c r="G16" s="2871"/>
      <c r="H16" s="2846"/>
      <c r="I16" s="2847"/>
      <c r="J16" s="3824"/>
      <c r="K16" s="3826"/>
      <c r="L16" s="2881" t="s">
        <v>2379</v>
      </c>
      <c r="M16" s="2882"/>
      <c r="N16" s="2882"/>
      <c r="O16" s="2883"/>
      <c r="P16" s="2884">
        <v>365</v>
      </c>
      <c r="Q16" s="2858"/>
      <c r="R16" s="2905">
        <f>ROUND(M16*N16*O16*P16/10000,0)</f>
        <v>0</v>
      </c>
      <c r="S16" s="2839"/>
      <c r="T16" s="2839"/>
      <c r="U16" s="2839"/>
      <c r="V16" s="2847"/>
    </row>
    <row r="17" spans="1:22" s="2851" customFormat="1" ht="13.15" customHeight="1" thickBot="1">
      <c r="A17" s="2908">
        <v>4</v>
      </c>
      <c r="B17" s="3836" t="s">
        <v>2380</v>
      </c>
      <c r="C17" s="3837"/>
      <c r="D17" s="2909">
        <f>ROUND(D6*E17,0)</f>
        <v>0</v>
      </c>
      <c r="E17" s="2910"/>
      <c r="F17" s="2911" t="s">
        <v>2381</v>
      </c>
      <c r="G17" s="2871"/>
      <c r="H17" s="2846"/>
      <c r="I17" s="2847"/>
      <c r="J17" s="3824"/>
      <c r="K17" s="3826"/>
      <c r="L17" s="2881" t="s">
        <v>2382</v>
      </c>
      <c r="M17" s="2882"/>
      <c r="N17" s="2882"/>
      <c r="O17" s="2883"/>
      <c r="P17" s="2884">
        <v>365</v>
      </c>
      <c r="Q17" s="2858"/>
      <c r="R17" s="2905">
        <f>ROUND(M17*N17*O17*P17/10000,0)</f>
        <v>0</v>
      </c>
      <c r="S17" s="2839"/>
      <c r="T17" s="2839"/>
      <c r="U17" s="2839"/>
      <c r="V17" s="2847"/>
    </row>
    <row r="18" spans="1:22" s="2851" customFormat="1" ht="13.15" customHeight="1" thickBot="1">
      <c r="A18" s="2874" t="s">
        <v>2383</v>
      </c>
      <c r="B18" s="2875"/>
      <c r="C18" s="2875"/>
      <c r="D18" s="2912">
        <f>ROUND(D6*E18,0)</f>
        <v>0</v>
      </c>
      <c r="E18" s="2913"/>
      <c r="F18" s="2914" t="s">
        <v>2384</v>
      </c>
      <c r="G18" s="2871"/>
      <c r="H18" s="2846"/>
      <c r="I18" s="2847"/>
      <c r="J18" s="3824"/>
      <c r="K18" s="3826"/>
      <c r="L18" s="2881" t="s">
        <v>2385</v>
      </c>
      <c r="M18" s="2882"/>
      <c r="N18" s="2882"/>
      <c r="O18" s="2883"/>
      <c r="P18" s="2884">
        <v>365</v>
      </c>
      <c r="Q18" s="2858"/>
      <c r="R18" s="2905">
        <f>ROUND(M18*N18*O18*P18/10000,0)</f>
        <v>0</v>
      </c>
      <c r="S18" s="2839"/>
      <c r="T18" s="2839"/>
      <c r="U18" s="2839"/>
      <c r="V18" s="2847"/>
    </row>
    <row r="19" spans="1:22" s="2851" customFormat="1" ht="13.15" customHeight="1" thickBot="1">
      <c r="A19" s="2915" t="s">
        <v>2386</v>
      </c>
      <c r="B19" s="2869"/>
      <c r="C19" s="2869"/>
      <c r="D19" s="2869"/>
      <c r="E19" s="2869"/>
      <c r="F19" s="2870"/>
      <c r="G19" s="2890"/>
      <c r="H19" s="2846"/>
      <c r="I19" s="2847"/>
      <c r="J19" s="3824"/>
      <c r="K19" s="3827"/>
      <c r="L19" s="2901" t="s">
        <v>2366</v>
      </c>
      <c r="M19" s="2902"/>
      <c r="N19" s="2902">
        <f>SUM(N16:N18)</f>
        <v>0</v>
      </c>
      <c r="O19" s="2903"/>
      <c r="P19" s="2916" t="s">
        <v>2430</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24">
        <v>3</v>
      </c>
      <c r="K20" s="3825" t="s">
        <v>2387</v>
      </c>
      <c r="L20" s="2881" t="s">
        <v>2388</v>
      </c>
      <c r="M20" s="2882" t="s">
        <v>2389</v>
      </c>
      <c r="N20" s="2919" t="s">
        <v>2390</v>
      </c>
      <c r="O20" s="2883" t="s">
        <v>2391</v>
      </c>
      <c r="P20" s="2884" t="s">
        <v>2392</v>
      </c>
      <c r="Q20" s="2858" t="s">
        <v>2393</v>
      </c>
      <c r="R20" s="2905" t="s">
        <v>2394</v>
      </c>
      <c r="S20" s="2920"/>
      <c r="T20" s="2920"/>
      <c r="U20" s="2920"/>
      <c r="V20" s="2847"/>
    </row>
    <row r="21" spans="1:22" s="2851" customFormat="1" ht="13.15" customHeight="1">
      <c r="A21" s="2874"/>
      <c r="B21" s="2875"/>
      <c r="C21" s="2921" t="s">
        <v>2395</v>
      </c>
      <c r="D21" s="2922" t="s">
        <v>2396</v>
      </c>
      <c r="E21" s="2923" t="s">
        <v>2397</v>
      </c>
      <c r="F21" s="2918"/>
      <c r="G21" s="2890"/>
      <c r="H21" s="2846"/>
      <c r="I21" s="2847"/>
      <c r="J21" s="3824"/>
      <c r="K21" s="3826"/>
      <c r="L21" s="2881" t="s">
        <v>2398</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2399</v>
      </c>
      <c r="D22" s="2926" t="s">
        <v>2400</v>
      </c>
      <c r="E22" s="2927" t="s">
        <v>2401</v>
      </c>
      <c r="F22" s="2918"/>
      <c r="G22" s="2928"/>
      <c r="H22" s="2846"/>
      <c r="I22" s="2847"/>
      <c r="J22" s="3824"/>
      <c r="K22" s="3826"/>
      <c r="L22" s="2881" t="s">
        <v>2402</v>
      </c>
      <c r="M22" s="2882"/>
      <c r="N22" s="2882"/>
      <c r="O22" s="2883"/>
      <c r="P22" s="2884">
        <v>365</v>
      </c>
      <c r="Q22" s="2858"/>
      <c r="R22" s="2924">
        <f>ROUND(M22*N22*O22*P22/10000,0)</f>
        <v>0</v>
      </c>
      <c r="S22" s="2920"/>
      <c r="T22" s="2920"/>
      <c r="U22" s="2920"/>
      <c r="V22" s="2847"/>
    </row>
    <row r="23" spans="1:22" s="2851" customFormat="1" ht="13.15" customHeight="1">
      <c r="A23" s="2929">
        <v>1</v>
      </c>
      <c r="B23" s="2930" t="s">
        <v>2403</v>
      </c>
      <c r="C23" s="2931">
        <f>D6</f>
        <v>0</v>
      </c>
      <c r="D23" s="2932">
        <f>C23*(1+D24)</f>
        <v>0</v>
      </c>
      <c r="E23" s="2933">
        <f>D23*(1+E24)</f>
        <v>0</v>
      </c>
      <c r="F23" s="2934"/>
      <c r="G23" s="2935"/>
      <c r="H23" s="2846"/>
      <c r="I23" s="2847"/>
      <c r="J23" s="3824"/>
      <c r="K23" s="3826"/>
      <c r="L23" s="2881" t="s">
        <v>2404</v>
      </c>
      <c r="M23" s="2882"/>
      <c r="N23" s="2882"/>
      <c r="O23" s="2883"/>
      <c r="P23" s="2884">
        <v>365</v>
      </c>
      <c r="Q23" s="2858"/>
      <c r="R23" s="2924">
        <f>ROUND(M23*N23*O23*P23/10000,0)</f>
        <v>0</v>
      </c>
      <c r="S23" s="2839"/>
      <c r="T23" s="2839"/>
      <c r="U23" s="2839"/>
      <c r="V23" s="2847"/>
    </row>
    <row r="24" spans="1:22" s="2851" customFormat="1" ht="13.15" customHeight="1">
      <c r="A24" s="2936"/>
      <c r="B24" s="2937" t="s">
        <v>2405</v>
      </c>
      <c r="C24" s="2938"/>
      <c r="D24" s="2939"/>
      <c r="E24" s="2940"/>
      <c r="F24" s="2941"/>
      <c r="G24" s="2935"/>
      <c r="H24" s="2846"/>
      <c r="I24" s="2847"/>
      <c r="J24" s="3824"/>
      <c r="K24" s="3827"/>
      <c r="L24" s="2901" t="s">
        <v>2366</v>
      </c>
      <c r="M24" s="2902">
        <f>SUM(M21:M23)</f>
        <v>0</v>
      </c>
      <c r="N24" s="2902"/>
      <c r="O24" s="2903"/>
      <c r="P24" s="2916" t="s">
        <v>2430</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2406</v>
      </c>
      <c r="L25" s="2944"/>
      <c r="M25" s="2944"/>
      <c r="N25" s="2944"/>
      <c r="O25" s="2944"/>
      <c r="P25" s="2945"/>
      <c r="Q25" s="2946">
        <v>0</v>
      </c>
      <c r="R25" s="2917">
        <f>ROUND(R14*Q25,0)</f>
        <v>0</v>
      </c>
      <c r="S25" s="2839"/>
      <c r="T25" s="2839"/>
      <c r="U25" s="2839"/>
      <c r="V25" s="2947"/>
    </row>
    <row r="26" spans="1:22" s="2948" customFormat="1" ht="13.15" customHeight="1">
      <c r="A26" s="2929">
        <v>2</v>
      </c>
      <c r="B26" s="2930" t="s">
        <v>2407</v>
      </c>
      <c r="C26" s="2931">
        <f>D7</f>
        <v>0</v>
      </c>
      <c r="D26" s="2932">
        <f>D23*D27</f>
        <v>0</v>
      </c>
      <c r="E26" s="2933">
        <f>E23*E27</f>
        <v>0</v>
      </c>
      <c r="F26" s="2934"/>
      <c r="G26" s="2935"/>
      <c r="H26" s="2846"/>
      <c r="I26" s="2847"/>
      <c r="J26" s="3828">
        <v>5</v>
      </c>
      <c r="K26" s="2949" t="s">
        <v>2408</v>
      </c>
      <c r="L26" s="2950"/>
      <c r="M26" s="2951"/>
      <c r="N26" s="2952" t="s">
        <v>2409</v>
      </c>
      <c r="O26" s="2952" t="s">
        <v>2410</v>
      </c>
      <c r="P26" s="2953" t="s">
        <v>2411</v>
      </c>
      <c r="Q26" s="2953" t="s">
        <v>2412</v>
      </c>
      <c r="R26" s="2856" t="s">
        <v>2337</v>
      </c>
      <c r="S26" s="2954"/>
      <c r="T26" s="2954"/>
      <c r="U26" s="2954"/>
      <c r="V26" s="2947"/>
    </row>
    <row r="27" spans="1:22" s="2851" customFormat="1" ht="13.15" customHeight="1">
      <c r="A27" s="2936"/>
      <c r="B27" s="2937" t="s">
        <v>2413</v>
      </c>
      <c r="C27" s="2955" t="e">
        <f>E7</f>
        <v>#DIV/0!</v>
      </c>
      <c r="D27" s="2939"/>
      <c r="E27" s="2940"/>
      <c r="F27" s="2941"/>
      <c r="G27" s="2935"/>
      <c r="H27" s="2956"/>
      <c r="I27" s="2947"/>
      <c r="J27" s="382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2414</v>
      </c>
      <c r="F28" s="2941"/>
      <c r="G28" s="2928"/>
      <c r="H28" s="2956"/>
      <c r="I28" s="2947"/>
      <c r="J28" s="2962">
        <v>6</v>
      </c>
      <c r="K28" s="2963" t="s">
        <v>2415</v>
      </c>
      <c r="L28" s="2964" t="s">
        <v>2416</v>
      </c>
      <c r="M28" s="2965"/>
      <c r="N28" s="2964" t="s">
        <v>2417</v>
      </c>
      <c r="O28" s="2966"/>
      <c r="P28" s="2964" t="s">
        <v>2418</v>
      </c>
      <c r="Q28" s="2967">
        <v>1.4999999999999999E-2</v>
      </c>
      <c r="R28" s="2968"/>
      <c r="S28" s="2920"/>
      <c r="T28" s="2920"/>
      <c r="U28" s="2920"/>
      <c r="V28" s="2947"/>
    </row>
    <row r="29" spans="1:22" s="2948" customFormat="1" ht="13.15" customHeight="1">
      <c r="A29" s="2929">
        <v>3</v>
      </c>
      <c r="B29" s="2930" t="s">
        <v>2419</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2413</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2420</v>
      </c>
      <c r="K31" s="2837"/>
      <c r="L31" s="2837"/>
      <c r="M31" s="2837"/>
      <c r="N31" s="2837"/>
      <c r="O31" s="2837"/>
      <c r="P31" s="2837"/>
      <c r="Q31" s="2837"/>
      <c r="R31" s="2838"/>
      <c r="S31" s="2920"/>
      <c r="T31" s="2839"/>
      <c r="U31" s="2839"/>
      <c r="V31" s="2947"/>
    </row>
    <row r="32" spans="1:22" s="2948" customFormat="1" ht="13.15" customHeight="1">
      <c r="A32" s="2929">
        <v>4</v>
      </c>
      <c r="B32" s="2930" t="s">
        <v>2421</v>
      </c>
      <c r="C32" s="2931">
        <f>C23-C26-C29</f>
        <v>0</v>
      </c>
      <c r="D32" s="2932">
        <f>D23-D26-D29</f>
        <v>0</v>
      </c>
      <c r="E32" s="2933">
        <f>E23-E26-E29</f>
        <v>0</v>
      </c>
      <c r="F32" s="2934"/>
      <c r="G32" s="2928"/>
      <c r="H32" s="2846"/>
      <c r="I32" s="2847"/>
      <c r="J32" s="3830" t="s">
        <v>2313</v>
      </c>
      <c r="K32" s="3831"/>
      <c r="L32" s="2848" t="s">
        <v>2314</v>
      </c>
      <c r="M32" s="2848" t="s">
        <v>2315</v>
      </c>
      <c r="N32" s="2848" t="s">
        <v>2316</v>
      </c>
      <c r="O32" s="2848" t="s">
        <v>2317</v>
      </c>
      <c r="P32" s="2848" t="s">
        <v>2318</v>
      </c>
      <c r="Q32" s="2849" t="s">
        <v>2319</v>
      </c>
      <c r="R32" s="2971" t="s">
        <v>2320</v>
      </c>
      <c r="S32" s="2920"/>
      <c r="T32" s="2839"/>
      <c r="U32" s="2839"/>
      <c r="V32" s="2947"/>
    </row>
    <row r="33" spans="1:23" s="2851" customFormat="1" ht="13.15" customHeight="1">
      <c r="A33" s="2929"/>
      <c r="B33" s="2930"/>
      <c r="C33" s="2931"/>
      <c r="D33" s="2972"/>
      <c r="E33" s="2973"/>
      <c r="F33" s="2934"/>
      <c r="G33" s="2928"/>
      <c r="H33" s="2956"/>
      <c r="I33" s="2947"/>
      <c r="J33" s="3832" t="s">
        <v>2323</v>
      </c>
      <c r="K33" s="3833"/>
      <c r="L33" s="2854"/>
      <c r="M33" s="2854"/>
      <c r="N33" s="2854"/>
      <c r="O33" s="2854"/>
      <c r="P33" s="2854"/>
      <c r="Q33" s="2855"/>
      <c r="R33" s="2974">
        <f>SUM(L33:Q33)</f>
        <v>0</v>
      </c>
      <c r="S33" s="2920"/>
      <c r="T33" s="2839"/>
      <c r="U33" s="2839"/>
      <c r="V33" s="2847"/>
    </row>
    <row r="34" spans="1:23" s="2851" customFormat="1" ht="13.15" customHeight="1">
      <c r="A34" s="2929">
        <v>5</v>
      </c>
      <c r="B34" s="2930" t="s">
        <v>2422</v>
      </c>
      <c r="C34" s="2975"/>
      <c r="D34" s="2976"/>
      <c r="E34" s="2977"/>
      <c r="F34" s="2934"/>
      <c r="G34" s="2928"/>
      <c r="H34" s="2956"/>
      <c r="I34" s="2947"/>
      <c r="J34" s="3832" t="s">
        <v>2325</v>
      </c>
      <c r="K34" s="383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2423</v>
      </c>
      <c r="C35" s="2979"/>
      <c r="D35" s="2980"/>
      <c r="E35" s="2981"/>
      <c r="F35" s="2934"/>
      <c r="G35" s="2982"/>
      <c r="H35" s="2846"/>
      <c r="I35" s="2947"/>
      <c r="J35" s="2865" t="s">
        <v>2327</v>
      </c>
      <c r="K35" s="2866"/>
      <c r="L35" s="2866"/>
      <c r="M35" s="2867"/>
      <c r="N35" s="2867"/>
      <c r="O35" s="2867"/>
      <c r="P35" s="2867"/>
      <c r="Q35" s="2867"/>
      <c r="R35" s="2983">
        <f>R40+R41+R43</f>
        <v>0</v>
      </c>
      <c r="S35" s="2920"/>
      <c r="T35" s="2839" t="s">
        <v>2328</v>
      </c>
      <c r="U35" s="2839"/>
      <c r="V35" s="2847"/>
    </row>
    <row r="36" spans="1:23" s="2851" customFormat="1" ht="13.15" customHeight="1" thickBot="1">
      <c r="A36" s="2929">
        <v>7</v>
      </c>
      <c r="B36" s="2984" t="s">
        <v>2424</v>
      </c>
      <c r="C36" s="2985"/>
      <c r="D36" s="2986"/>
      <c r="E36" s="2987"/>
      <c r="F36" s="2988">
        <f>C36+D36+E36</f>
        <v>0</v>
      </c>
      <c r="G36" s="2928"/>
      <c r="H36" s="2846"/>
      <c r="I36" s="2847"/>
      <c r="J36" s="3824">
        <v>1</v>
      </c>
      <c r="K36" s="3825" t="s">
        <v>2425</v>
      </c>
      <c r="L36" s="2872"/>
      <c r="M36" s="2873"/>
      <c r="N36" s="2873"/>
      <c r="O36" s="2873"/>
      <c r="P36" s="2873"/>
      <c r="Q36" s="2873"/>
      <c r="R36" s="2856" t="s">
        <v>2337</v>
      </c>
      <c r="S36" s="2920"/>
      <c r="T36" s="2839" t="s">
        <v>2338</v>
      </c>
      <c r="U36" s="2839"/>
      <c r="V36" s="2847"/>
    </row>
    <row r="37" spans="1:23" s="2851" customFormat="1" ht="13.15" customHeight="1">
      <c r="A37" s="2929"/>
      <c r="B37" s="2930"/>
      <c r="C37" s="2930"/>
      <c r="D37" s="2930"/>
      <c r="E37" s="2930"/>
      <c r="F37" s="2934"/>
      <c r="G37" s="2928"/>
      <c r="H37" s="2846"/>
      <c r="I37" s="2847"/>
      <c r="J37" s="3824"/>
      <c r="K37" s="3826"/>
      <c r="L37" s="2881"/>
      <c r="M37" s="2882"/>
      <c r="N37" s="2858"/>
      <c r="O37" s="2883"/>
      <c r="P37" s="2883"/>
      <c r="Q37" s="2884"/>
      <c r="R37" s="2885"/>
      <c r="S37" s="2920"/>
      <c r="T37" s="2839" t="s">
        <v>2341</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824"/>
      <c r="K38" s="3826"/>
      <c r="L38" s="2881"/>
      <c r="M38" s="2882"/>
      <c r="N38" s="2858"/>
      <c r="O38" s="2883"/>
      <c r="P38" s="2883"/>
      <c r="Q38" s="2884"/>
      <c r="R38" s="2885"/>
      <c r="S38" s="2920"/>
      <c r="T38" s="2839" t="s">
        <v>2348</v>
      </c>
      <c r="U38" s="2839"/>
      <c r="V38" s="2847"/>
    </row>
    <row r="39" spans="1:23" s="2851" customFormat="1" ht="13.15" customHeight="1">
      <c r="A39" s="2929">
        <v>9</v>
      </c>
      <c r="B39" s="2930" t="s">
        <v>2426</v>
      </c>
      <c r="C39" s="2895" t="e">
        <f>C38</f>
        <v>#DIV/0!</v>
      </c>
      <c r="D39" s="2930">
        <f>D38/(1+D34)^C36</f>
        <v>0</v>
      </c>
      <c r="E39" s="2930">
        <f>E38/(1+E34)^(C36+D36)</f>
        <v>0</v>
      </c>
      <c r="F39" s="2934"/>
      <c r="G39" s="2989"/>
      <c r="H39" s="2846"/>
      <c r="I39" s="2847"/>
      <c r="J39" s="3824"/>
      <c r="K39" s="3826"/>
      <c r="L39" s="2881"/>
      <c r="M39" s="2882"/>
      <c r="N39" s="2858"/>
      <c r="O39" s="2883"/>
      <c r="P39" s="2883"/>
      <c r="Q39" s="2884"/>
      <c r="R39" s="2885"/>
      <c r="S39" s="2920"/>
      <c r="T39" s="2839"/>
      <c r="U39" s="2839"/>
      <c r="V39" s="2847"/>
    </row>
    <row r="40" spans="1:23" s="2851" customFormat="1" ht="13.15" customHeight="1">
      <c r="A40" s="2990">
        <v>10</v>
      </c>
      <c r="B40" s="2930" t="s">
        <v>2427</v>
      </c>
      <c r="C40" s="2991" t="e">
        <f>C39+D39+E39</f>
        <v>#DIV/0!</v>
      </c>
      <c r="D40" s="2992"/>
      <c r="E40" s="2992"/>
      <c r="F40" s="2993"/>
      <c r="G40" s="2928"/>
      <c r="H40" s="2846"/>
      <c r="I40" s="2847"/>
      <c r="J40" s="3824"/>
      <c r="K40" s="3827"/>
      <c r="L40" s="2901" t="s">
        <v>2366</v>
      </c>
      <c r="M40" s="2902"/>
      <c r="N40" s="2902"/>
      <c r="O40" s="2903"/>
      <c r="P40" s="2903"/>
      <c r="Q40" s="2904"/>
      <c r="R40" s="2850">
        <f>SUM(R37:R39)</f>
        <v>0</v>
      </c>
      <c r="S40" s="2920"/>
      <c r="T40" s="2839"/>
      <c r="U40" s="2839"/>
      <c r="V40" s="2847"/>
    </row>
    <row r="41" spans="1:23" s="2851" customFormat="1" ht="13.15" customHeight="1" thickBot="1">
      <c r="A41" s="2994">
        <v>11</v>
      </c>
      <c r="B41" s="2995" t="s">
        <v>2428</v>
      </c>
      <c r="C41" s="2995" t="e">
        <f>ROUND(C40*10000/B4,0)</f>
        <v>#DIV/0!</v>
      </c>
      <c r="D41" s="2996"/>
      <c r="E41" s="2996"/>
      <c r="F41" s="2997"/>
      <c r="G41" s="2998"/>
      <c r="H41" s="2846"/>
      <c r="I41" s="2847"/>
      <c r="J41" s="2942">
        <v>2</v>
      </c>
      <c r="K41" s="2943" t="s">
        <v>2406</v>
      </c>
      <c r="L41" s="2944"/>
      <c r="M41" s="2944"/>
      <c r="N41" s="2944"/>
      <c r="O41" s="2944"/>
      <c r="P41" s="2945"/>
      <c r="Q41" s="2946"/>
      <c r="R41" s="2917">
        <f>ROUND(R40*Q41,0)</f>
        <v>0</v>
      </c>
      <c r="S41" s="2920"/>
      <c r="T41" s="2839"/>
      <c r="U41" s="2954"/>
      <c r="V41" s="2847"/>
    </row>
    <row r="42" spans="1:23" s="2851" customFormat="1" ht="13.15" customHeight="1">
      <c r="G42" s="2998"/>
      <c r="H42" s="2846"/>
      <c r="I42" s="2847"/>
      <c r="J42" s="3828">
        <v>3</v>
      </c>
      <c r="K42" s="2949" t="s">
        <v>2408</v>
      </c>
      <c r="L42" s="2950"/>
      <c r="M42" s="2951"/>
      <c r="N42" s="2952" t="s">
        <v>2409</v>
      </c>
      <c r="O42" s="2952" t="s">
        <v>2410</v>
      </c>
      <c r="P42" s="2953" t="s">
        <v>2411</v>
      </c>
      <c r="Q42" s="2953" t="s">
        <v>2412</v>
      </c>
      <c r="R42" s="2856" t="s">
        <v>2337</v>
      </c>
      <c r="S42" s="2954"/>
      <c r="T42" s="2954"/>
      <c r="U42" s="2839"/>
      <c r="V42" s="2847"/>
    </row>
    <row r="43" spans="1:23" ht="13.15" customHeight="1">
      <c r="A43" s="2851"/>
      <c r="B43" s="2851"/>
      <c r="C43" s="2851"/>
      <c r="D43" s="2851"/>
      <c r="E43" s="2851"/>
      <c r="F43" s="2851"/>
      <c r="I43" s="2834"/>
      <c r="J43" s="382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2415</v>
      </c>
      <c r="L44" s="3002" t="s">
        <v>2416</v>
      </c>
      <c r="M44" s="2965"/>
      <c r="N44" s="3002" t="s">
        <v>2417</v>
      </c>
      <c r="O44" s="2965"/>
      <c r="P44" s="3002" t="s">
        <v>2418</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169918</v>
      </c>
      <c r="C2" s="1872" t="s">
        <v>1650</v>
      </c>
      <c r="D2" s="1873" t="s">
        <v>1651</v>
      </c>
      <c r="E2" s="2605">
        <f>SUM(E6:E13)</f>
        <v>55858.869999999981</v>
      </c>
      <c r="F2" s="2705"/>
      <c r="G2" s="1489"/>
      <c r="H2" s="1489"/>
      <c r="I2" s="1489"/>
      <c r="J2" s="1489"/>
      <c r="K2" s="1489"/>
      <c r="L2" s="1489"/>
      <c r="M2" s="1489"/>
      <c r="N2" s="1489"/>
      <c r="O2" s="1489"/>
      <c r="P2" s="1489"/>
      <c r="Q2" s="1489"/>
      <c r="R2" s="1489"/>
      <c r="S2" s="1489"/>
    </row>
    <row r="3" spans="1:22" ht="15.75">
      <c r="A3" s="1870" t="s">
        <v>686</v>
      </c>
      <c r="B3" s="2599">
        <f ca="1">ROUND(B2*10000/E2,0)</f>
        <v>30419</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843" t="s">
        <v>1653</v>
      </c>
      <c r="C5" s="3844"/>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169918</v>
      </c>
      <c r="C6" s="1872" t="s">
        <v>1650</v>
      </c>
      <c r="D6" s="2707"/>
      <c r="E6" s="2604">
        <f>IF(OR(A6=0,F6="否"),0,'数据-取费表'!K6+'数据-取费表'!S6)</f>
        <v>55858.869999999981</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55858.869999999981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62" t="s">
        <v>1666</v>
      </c>
      <c r="D4" s="3763"/>
      <c r="E4" s="3764" t="s">
        <v>1667</v>
      </c>
      <c r="F4" s="3765"/>
      <c r="G4" s="3762" t="s">
        <v>1668</v>
      </c>
      <c r="H4" s="3763"/>
      <c r="I4" s="3762" t="s">
        <v>1669</v>
      </c>
      <c r="J4" s="3763"/>
      <c r="K4" s="1889" t="s">
        <v>1670</v>
      </c>
      <c r="L4" s="2713"/>
      <c r="M4" s="2714"/>
      <c r="N4" s="2714"/>
      <c r="O4" s="2714"/>
      <c r="P4" s="3849" t="s">
        <v>1671</v>
      </c>
      <c r="Q4" s="3850"/>
      <c r="R4" s="3853" t="s">
        <v>1667</v>
      </c>
      <c r="S4" s="3854"/>
      <c r="T4" s="3853" t="s">
        <v>1668</v>
      </c>
      <c r="U4" s="3854"/>
      <c r="V4" s="3779" t="s">
        <v>1669</v>
      </c>
      <c r="W4" s="3779"/>
      <c r="X4" s="1355"/>
      <c r="Y4" s="3853" t="s">
        <v>1671</v>
      </c>
      <c r="Z4" s="3854"/>
      <c r="AA4" s="3848" t="s">
        <v>1667</v>
      </c>
      <c r="AB4" s="3848" t="s">
        <v>1668</v>
      </c>
      <c r="AC4" s="3848" t="s">
        <v>1669</v>
      </c>
    </row>
    <row r="5" spans="1:29" ht="15">
      <c r="A5" s="358"/>
      <c r="B5" s="359"/>
      <c r="C5" s="3782" t="s">
        <v>1672</v>
      </c>
      <c r="D5" s="3783"/>
      <c r="E5" s="3793" t="s">
        <v>1673</v>
      </c>
      <c r="F5" s="3794"/>
      <c r="G5" s="3782" t="s">
        <v>1674</v>
      </c>
      <c r="H5" s="3783"/>
      <c r="I5" s="3782" t="s">
        <v>1675</v>
      </c>
      <c r="J5" s="3783"/>
      <c r="K5" s="1890"/>
      <c r="L5" s="2713"/>
      <c r="M5" s="2714"/>
      <c r="N5" s="2714"/>
      <c r="O5" s="2714"/>
      <c r="P5" s="3851"/>
      <c r="Q5" s="3769"/>
      <c r="R5" s="3774"/>
      <c r="S5" s="3775"/>
      <c r="T5" s="3774"/>
      <c r="U5" s="3775"/>
      <c r="V5" s="3779"/>
      <c r="W5" s="3779"/>
      <c r="X5" s="1355"/>
      <c r="Y5" s="3774"/>
      <c r="Z5" s="3775"/>
      <c r="AA5" s="3791"/>
      <c r="AB5" s="3791"/>
      <c r="AC5" s="3791"/>
    </row>
    <row r="6" spans="1:29" ht="15.75" thickBot="1">
      <c r="A6" s="360"/>
      <c r="B6" s="361"/>
      <c r="C6" s="3780" t="s">
        <v>1676</v>
      </c>
      <c r="D6" s="3781"/>
      <c r="E6" s="3788" t="s">
        <v>1676</v>
      </c>
      <c r="F6" s="3789"/>
      <c r="G6" s="3780" t="s">
        <v>1676</v>
      </c>
      <c r="H6" s="3781"/>
      <c r="I6" s="3780" t="s">
        <v>1676</v>
      </c>
      <c r="J6" s="3781"/>
      <c r="K6" s="1890" t="s">
        <v>1677</v>
      </c>
      <c r="L6" s="2713"/>
      <c r="M6" s="2714"/>
      <c r="N6" s="2714"/>
      <c r="O6" s="2714"/>
      <c r="P6" s="3852"/>
      <c r="Q6" s="3771"/>
      <c r="R6" s="3774"/>
      <c r="S6" s="3775"/>
      <c r="T6" s="3776"/>
      <c r="U6" s="3777"/>
      <c r="V6" s="3779"/>
      <c r="W6" s="3779"/>
      <c r="X6" s="1355"/>
      <c r="Y6" s="3776"/>
      <c r="Z6" s="3777"/>
      <c r="AA6" s="3792"/>
      <c r="AB6" s="3792"/>
      <c r="AC6" s="3792"/>
    </row>
    <row r="7" spans="1:29" s="108" customFormat="1" ht="15.75" thickBot="1">
      <c r="A7" s="362" t="s">
        <v>1678</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86" t="s">
        <v>1679</v>
      </c>
      <c r="Q7" s="3787"/>
      <c r="R7" s="701" t="s">
        <v>20</v>
      </c>
      <c r="S7" s="702">
        <f t="shared" ref="S7:S15" si="0">F7</f>
        <v>0</v>
      </c>
      <c r="T7" s="701" t="s">
        <v>20</v>
      </c>
      <c r="U7" s="702">
        <f t="shared" ref="U7:U15" si="1">H7</f>
        <v>0</v>
      </c>
      <c r="V7" s="701" t="s">
        <v>20</v>
      </c>
      <c r="W7" s="702">
        <f t="shared" ref="W7:W15" si="2">J7</f>
        <v>0</v>
      </c>
      <c r="X7" s="703"/>
      <c r="Y7" s="3786" t="s">
        <v>1679</v>
      </c>
      <c r="Z7" s="378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86" t="s">
        <v>1682</v>
      </c>
      <c r="Q8" s="3785"/>
      <c r="R8" s="701" t="s">
        <v>20</v>
      </c>
      <c r="S8" s="702">
        <f t="shared" si="0"/>
        <v>100</v>
      </c>
      <c r="T8" s="701" t="s">
        <v>20</v>
      </c>
      <c r="U8" s="702">
        <f t="shared" si="1"/>
        <v>100</v>
      </c>
      <c r="V8" s="701" t="s">
        <v>20</v>
      </c>
      <c r="W8" s="702">
        <f t="shared" si="2"/>
        <v>100</v>
      </c>
      <c r="X8" s="703"/>
      <c r="Y8" s="3786" t="s">
        <v>1682</v>
      </c>
      <c r="Z8" s="378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44" t="s">
        <v>1685</v>
      </c>
      <c r="Q9" s="1343"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4"/>
      <c r="Q11" s="1343"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44"/>
      <c r="Q12" s="1343">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44"/>
      <c r="Q13" s="1343">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44"/>
      <c r="Q14" s="1343">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0" t="s">
        <v>1690</v>
      </c>
      <c r="Q15" s="1352" t="str">
        <f t="shared" si="6"/>
        <v>居住社区成熟度</v>
      </c>
      <c r="R15" s="705" t="s">
        <v>18</v>
      </c>
      <c r="S15" s="706">
        <f t="shared" si="0"/>
        <v>100</v>
      </c>
      <c r="T15" s="705" t="s">
        <v>18</v>
      </c>
      <c r="U15" s="706">
        <f t="shared" si="1"/>
        <v>100</v>
      </c>
      <c r="V15" s="705" t="s">
        <v>18</v>
      </c>
      <c r="W15" s="706">
        <f t="shared" si="2"/>
        <v>100</v>
      </c>
      <c r="X15" s="1355"/>
      <c r="Y15" s="375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51"/>
      <c r="Q16" s="1352"/>
      <c r="R16" s="705"/>
      <c r="S16" s="706"/>
      <c r="T16" s="705"/>
      <c r="U16" s="706"/>
      <c r="V16" s="705"/>
      <c r="W16" s="706"/>
      <c r="X16" s="1355"/>
      <c r="Y16" s="375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1"/>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51"/>
      <c r="Q18" s="1352"/>
      <c r="R18" s="705"/>
      <c r="S18" s="706"/>
      <c r="T18" s="705"/>
      <c r="U18" s="706"/>
      <c r="V18" s="705"/>
      <c r="W18" s="706"/>
      <c r="X18" s="1355"/>
      <c r="Y18" s="3753"/>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1"/>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51"/>
      <c r="Q20" s="1352"/>
      <c r="R20" s="705"/>
      <c r="S20" s="706"/>
      <c r="T20" s="705"/>
      <c r="U20" s="706"/>
      <c r="V20" s="705"/>
      <c r="W20" s="706"/>
      <c r="X20" s="1355"/>
      <c r="Y20" s="375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51"/>
      <c r="Q22" s="1352"/>
      <c r="R22" s="705"/>
      <c r="S22" s="706"/>
      <c r="T22" s="705"/>
      <c r="U22" s="706"/>
      <c r="V22" s="705"/>
      <c r="W22" s="706"/>
      <c r="X22" s="1355"/>
      <c r="Y22" s="375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1"/>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51"/>
      <c r="Q24" s="1352"/>
      <c r="R24" s="705"/>
      <c r="S24" s="706"/>
      <c r="T24" s="705"/>
      <c r="U24" s="706"/>
      <c r="V24" s="705"/>
      <c r="W24" s="706"/>
      <c r="X24" s="1355"/>
      <c r="Y24" s="375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51"/>
      <c r="Q26" s="1352" t="str">
        <f t="shared" si="11"/>
        <v>朝向</v>
      </c>
      <c r="R26" s="705" t="s">
        <v>18</v>
      </c>
      <c r="S26" s="706">
        <f t="shared" si="12"/>
        <v>100</v>
      </c>
      <c r="T26" s="705" t="s">
        <v>18</v>
      </c>
      <c r="U26" s="706">
        <f t="shared" si="13"/>
        <v>100</v>
      </c>
      <c r="V26" s="705" t="s">
        <v>18</v>
      </c>
      <c r="W26" s="706">
        <f t="shared" si="14"/>
        <v>100</v>
      </c>
      <c r="X26" s="1355"/>
      <c r="Y26" s="37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51"/>
      <c r="Q27" s="1343">
        <f t="shared" si="11"/>
        <v>111</v>
      </c>
      <c r="R27" s="701" t="s">
        <v>18</v>
      </c>
      <c r="S27" s="702">
        <f t="shared" si="12"/>
        <v>100</v>
      </c>
      <c r="T27" s="701" t="s">
        <v>18</v>
      </c>
      <c r="U27" s="702">
        <f t="shared" si="13"/>
        <v>100</v>
      </c>
      <c r="V27" s="701" t="s">
        <v>18</v>
      </c>
      <c r="W27" s="702">
        <f t="shared" si="14"/>
        <v>100</v>
      </c>
      <c r="X27" s="703"/>
      <c r="Y27" s="37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51"/>
      <c r="Q28" s="1352">
        <f t="shared" si="11"/>
        <v>111</v>
      </c>
      <c r="R28" s="705" t="s">
        <v>18</v>
      </c>
      <c r="S28" s="706">
        <f t="shared" si="12"/>
        <v>100</v>
      </c>
      <c r="T28" s="705" t="s">
        <v>18</v>
      </c>
      <c r="U28" s="706">
        <f t="shared" si="13"/>
        <v>100</v>
      </c>
      <c r="V28" s="705" t="s">
        <v>18</v>
      </c>
      <c r="W28" s="706">
        <f t="shared" si="14"/>
        <v>100</v>
      </c>
      <c r="X28" s="1355"/>
      <c r="Y28" s="37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1"/>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1"/>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1"/>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54" t="s">
        <v>1695</v>
      </c>
      <c r="Q32" s="1352" t="str">
        <f t="shared" si="11"/>
        <v>建筑类型</v>
      </c>
      <c r="R32" s="705" t="s">
        <v>18</v>
      </c>
      <c r="S32" s="706">
        <f t="shared" si="12"/>
        <v>100</v>
      </c>
      <c r="T32" s="705" t="s">
        <v>18</v>
      </c>
      <c r="U32" s="706">
        <f t="shared" si="13"/>
        <v>100</v>
      </c>
      <c r="V32" s="705" t="s">
        <v>18</v>
      </c>
      <c r="W32" s="706">
        <f t="shared" si="14"/>
        <v>100</v>
      </c>
      <c r="X32" s="1355"/>
      <c r="Y32" s="375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55"/>
      <c r="Q33" s="707" t="str">
        <f t="shared" si="11"/>
        <v>项目建筑规模</v>
      </c>
      <c r="R33" s="708" t="s">
        <v>18</v>
      </c>
      <c r="S33" s="709" t="e">
        <f t="shared" si="12"/>
        <v>#N/A</v>
      </c>
      <c r="T33" s="708" t="s">
        <v>18</v>
      </c>
      <c r="U33" s="709" t="e">
        <f t="shared" si="13"/>
        <v>#N/A</v>
      </c>
      <c r="V33" s="708" t="s">
        <v>18</v>
      </c>
      <c r="W33" s="709" t="e">
        <f t="shared" si="14"/>
        <v>#N/A</v>
      </c>
      <c r="X33" s="710"/>
      <c r="Y33" s="375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55"/>
      <c r="Q37" s="1343" t="str">
        <f t="shared" si="11"/>
        <v>成新度</v>
      </c>
      <c r="R37" s="701" t="s">
        <v>18</v>
      </c>
      <c r="S37" s="702" t="e">
        <f t="shared" si="12"/>
        <v>#N/A</v>
      </c>
      <c r="T37" s="701" t="s">
        <v>18</v>
      </c>
      <c r="U37" s="702" t="e">
        <f t="shared" si="13"/>
        <v>#N/A</v>
      </c>
      <c r="V37" s="701" t="s">
        <v>18</v>
      </c>
      <c r="W37" s="702" t="e">
        <f t="shared" si="14"/>
        <v>#N/A</v>
      </c>
      <c r="X37" s="703"/>
      <c r="Y37" s="375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5" t="s">
        <v>1695</v>
      </c>
      <c r="Q38" s="1352" t="str">
        <f t="shared" si="11"/>
        <v>物业管理</v>
      </c>
      <c r="R38" s="705" t="s">
        <v>18</v>
      </c>
      <c r="S38" s="706">
        <f t="shared" si="12"/>
        <v>100</v>
      </c>
      <c r="T38" s="705" t="s">
        <v>18</v>
      </c>
      <c r="U38" s="706">
        <f t="shared" si="13"/>
        <v>100</v>
      </c>
      <c r="V38" s="705" t="s">
        <v>18</v>
      </c>
      <c r="W38" s="706">
        <f t="shared" si="14"/>
        <v>100</v>
      </c>
      <c r="X38" s="1355"/>
      <c r="Y38" s="375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5"/>
      <c r="Q42" s="1352" t="str">
        <f t="shared" si="11"/>
        <v>内部装修</v>
      </c>
      <c r="R42" s="705" t="s">
        <v>18</v>
      </c>
      <c r="S42" s="706">
        <f t="shared" si="12"/>
        <v>100</v>
      </c>
      <c r="T42" s="705" t="s">
        <v>18</v>
      </c>
      <c r="U42" s="706">
        <f t="shared" si="13"/>
        <v>100</v>
      </c>
      <c r="V42" s="705" t="s">
        <v>18</v>
      </c>
      <c r="W42" s="706">
        <f t="shared" si="14"/>
        <v>100</v>
      </c>
      <c r="X42" s="1355"/>
      <c r="Y42" s="375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45" t="str">
        <f>A47</f>
        <v>成交单价（元/平方米）</v>
      </c>
      <c r="Q47" s="3745"/>
      <c r="R47" s="3746">
        <f>E47</f>
        <v>0</v>
      </c>
      <c r="S47" s="3746"/>
      <c r="T47" s="3746">
        <f>G47</f>
        <v>0</v>
      </c>
      <c r="U47" s="3746"/>
      <c r="V47" s="3746">
        <f>I47</f>
        <v>0</v>
      </c>
      <c r="W47" s="374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845" t="str">
        <f>A49</f>
        <v>估价对象XX用房的比较价值（楼面单价，元/平方米）</v>
      </c>
      <c r="Q49" s="3846"/>
      <c r="R49" s="3847" t="e">
        <f>IF(F1="售价",ROUND(IF(D48="简单平均",AVERAGE(R48:V48),R48*F48+T48*H48+V48*J48),0),ROUND(IF(D48="简单平均",AVERAGE(R48:V48),R48*F48+T48*H48+V48*J48),1))</f>
        <v>#DIV/0!</v>
      </c>
      <c r="S49" s="3847"/>
      <c r="T49" s="3847"/>
      <c r="U49" s="3847"/>
      <c r="V49" s="3847"/>
      <c r="W49" s="384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55858.869999999981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62" t="s">
        <v>1769</v>
      </c>
      <c r="D4" s="3763"/>
      <c r="E4" s="3764" t="s">
        <v>1770</v>
      </c>
      <c r="F4" s="3765"/>
      <c r="G4" s="3762" t="s">
        <v>1771</v>
      </c>
      <c r="H4" s="3763"/>
      <c r="I4" s="3762" t="s">
        <v>1772</v>
      </c>
      <c r="J4" s="3763"/>
      <c r="K4" s="559" t="s">
        <v>1773</v>
      </c>
      <c r="L4" s="2713"/>
      <c r="M4" s="2714"/>
      <c r="N4" s="2714"/>
      <c r="O4" s="2714"/>
      <c r="P4" s="3849" t="s">
        <v>1774</v>
      </c>
      <c r="Q4" s="3850"/>
      <c r="R4" s="3853" t="s">
        <v>1770</v>
      </c>
      <c r="S4" s="3854"/>
      <c r="T4" s="3853" t="s">
        <v>1771</v>
      </c>
      <c r="U4" s="3854"/>
      <c r="V4" s="3779" t="s">
        <v>1772</v>
      </c>
      <c r="W4" s="3779"/>
      <c r="X4" s="1355"/>
      <c r="Y4" s="3853" t="s">
        <v>1774</v>
      </c>
      <c r="Z4" s="3854"/>
      <c r="AA4" s="3848" t="s">
        <v>1770</v>
      </c>
      <c r="AB4" s="3779" t="s">
        <v>1771</v>
      </c>
      <c r="AC4" s="3848" t="s">
        <v>1772</v>
      </c>
    </row>
    <row r="5" spans="1:29" ht="15">
      <c r="A5" s="358"/>
      <c r="B5" s="359"/>
      <c r="C5" s="3782" t="s">
        <v>1672</v>
      </c>
      <c r="D5" s="3783"/>
      <c r="E5" s="3793" t="s">
        <v>1673</v>
      </c>
      <c r="F5" s="3794"/>
      <c r="G5" s="3782" t="s">
        <v>1674</v>
      </c>
      <c r="H5" s="3783"/>
      <c r="I5" s="3782" t="s">
        <v>1675</v>
      </c>
      <c r="J5" s="3783"/>
      <c r="K5" s="559"/>
      <c r="L5" s="2713"/>
      <c r="M5" s="2714"/>
      <c r="N5" s="2714"/>
      <c r="O5" s="2714"/>
      <c r="P5" s="3851"/>
      <c r="Q5" s="3769"/>
      <c r="R5" s="3774"/>
      <c r="S5" s="3775"/>
      <c r="T5" s="3774"/>
      <c r="U5" s="3775"/>
      <c r="V5" s="3779"/>
      <c r="W5" s="3779"/>
      <c r="X5" s="1355"/>
      <c r="Y5" s="3774"/>
      <c r="Z5" s="3775"/>
      <c r="AA5" s="3791"/>
      <c r="AB5" s="3779"/>
      <c r="AC5" s="3791"/>
    </row>
    <row r="6" spans="1:29" ht="15.75" thickBot="1">
      <c r="A6" s="360"/>
      <c r="B6" s="361"/>
      <c r="C6" s="3780" t="s">
        <v>1676</v>
      </c>
      <c r="D6" s="3781"/>
      <c r="E6" s="3788" t="s">
        <v>1676</v>
      </c>
      <c r="F6" s="3789"/>
      <c r="G6" s="3780" t="s">
        <v>1676</v>
      </c>
      <c r="H6" s="3781"/>
      <c r="I6" s="3780" t="s">
        <v>1676</v>
      </c>
      <c r="J6" s="3781"/>
      <c r="K6" s="559" t="s">
        <v>1677</v>
      </c>
      <c r="L6" s="2713"/>
      <c r="M6" s="2714"/>
      <c r="N6" s="2714"/>
      <c r="O6" s="2714"/>
      <c r="P6" s="3852"/>
      <c r="Q6" s="3771"/>
      <c r="R6" s="3774"/>
      <c r="S6" s="3775"/>
      <c r="T6" s="3776"/>
      <c r="U6" s="3777"/>
      <c r="V6" s="3779"/>
      <c r="W6" s="3779"/>
      <c r="X6" s="1355"/>
      <c r="Y6" s="3776"/>
      <c r="Z6" s="3777"/>
      <c r="AA6" s="3792"/>
      <c r="AB6" s="3779"/>
      <c r="AC6" s="3792"/>
    </row>
    <row r="7" spans="1:29" s="108" customFormat="1" ht="15.75" thickBot="1">
      <c r="A7" s="362" t="s">
        <v>1678</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86" t="s">
        <v>1679</v>
      </c>
      <c r="Q7" s="3787"/>
      <c r="R7" s="701" t="s">
        <v>14</v>
      </c>
      <c r="S7" s="702">
        <f t="shared" ref="S7:S15" si="0">F7</f>
        <v>0</v>
      </c>
      <c r="T7" s="701" t="s">
        <v>14</v>
      </c>
      <c r="U7" s="702">
        <f t="shared" ref="U7:U15" si="1">H7</f>
        <v>0</v>
      </c>
      <c r="V7" s="701" t="s">
        <v>14</v>
      </c>
      <c r="W7" s="702">
        <f t="shared" ref="W7:W15" si="2">J7</f>
        <v>0</v>
      </c>
      <c r="X7" s="703"/>
      <c r="Y7" s="3786" t="s">
        <v>1679</v>
      </c>
      <c r="Z7" s="378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86" t="s">
        <v>1682</v>
      </c>
      <c r="Q8" s="3785"/>
      <c r="R8" s="701" t="s">
        <v>14</v>
      </c>
      <c r="S8" s="702">
        <f t="shared" si="0"/>
        <v>100</v>
      </c>
      <c r="T8" s="701" t="s">
        <v>14</v>
      </c>
      <c r="U8" s="702">
        <f t="shared" si="1"/>
        <v>100</v>
      </c>
      <c r="V8" s="701" t="s">
        <v>14</v>
      </c>
      <c r="W8" s="702">
        <f t="shared" si="2"/>
        <v>100</v>
      </c>
      <c r="X8" s="703"/>
      <c r="Y8" s="3786" t="s">
        <v>1682</v>
      </c>
      <c r="Z8" s="378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4" t="s">
        <v>1685</v>
      </c>
      <c r="Q9" s="1343"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4"/>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0" t="s">
        <v>1690</v>
      </c>
      <c r="Q15" s="1352" t="str">
        <f t="shared" si="6"/>
        <v>商业繁华度</v>
      </c>
      <c r="R15" s="705" t="s">
        <v>14</v>
      </c>
      <c r="S15" s="706">
        <f t="shared" si="0"/>
        <v>100</v>
      </c>
      <c r="T15" s="705" t="s">
        <v>14</v>
      </c>
      <c r="U15" s="706">
        <f t="shared" si="1"/>
        <v>100</v>
      </c>
      <c r="V15" s="705" t="s">
        <v>14</v>
      </c>
      <c r="W15" s="706">
        <f t="shared" si="2"/>
        <v>100</v>
      </c>
      <c r="X15" s="1355"/>
      <c r="Y15" s="375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1"/>
      <c r="Q16" s="1352"/>
      <c r="R16" s="705"/>
      <c r="S16" s="706"/>
      <c r="T16" s="705"/>
      <c r="U16" s="706"/>
      <c r="V16" s="705"/>
      <c r="W16" s="706"/>
      <c r="X16" s="1355"/>
      <c r="Y16" s="3753"/>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1"/>
      <c r="Q18" s="1352"/>
      <c r="R18" s="705"/>
      <c r="S18" s="706"/>
      <c r="T18" s="705"/>
      <c r="U18" s="706"/>
      <c r="V18" s="705"/>
      <c r="W18" s="706"/>
      <c r="X18" s="1355"/>
      <c r="Y18" s="3753"/>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1"/>
      <c r="Q20" s="1352"/>
      <c r="R20" s="705"/>
      <c r="S20" s="706"/>
      <c r="T20" s="705"/>
      <c r="U20" s="706"/>
      <c r="V20" s="705"/>
      <c r="W20" s="706"/>
      <c r="X20" s="1355"/>
      <c r="Y20" s="375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1"/>
      <c r="Q22" s="1352"/>
      <c r="R22" s="705"/>
      <c r="S22" s="706"/>
      <c r="T22" s="705"/>
      <c r="U22" s="706"/>
      <c r="V22" s="705"/>
      <c r="W22" s="706"/>
      <c r="X22" s="1355"/>
      <c r="Y22" s="3753"/>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1"/>
      <c r="Q23" s="1352" t="str">
        <f>B23</f>
        <v>自然及人文环境</v>
      </c>
      <c r="R23" s="705" t="s">
        <v>14</v>
      </c>
      <c r="S23" s="706">
        <f>F23</f>
        <v>100</v>
      </c>
      <c r="T23" s="705" t="s">
        <v>14</v>
      </c>
      <c r="U23" s="706">
        <f>H23</f>
        <v>100</v>
      </c>
      <c r="V23" s="705" t="s">
        <v>14</v>
      </c>
      <c r="W23" s="706">
        <f>J23</f>
        <v>100</v>
      </c>
      <c r="X23" s="1355"/>
      <c r="Y23" s="37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1"/>
      <c r="Q24" s="1352"/>
      <c r="R24" s="705"/>
      <c r="S24" s="706"/>
      <c r="T24" s="705"/>
      <c r="U24" s="706"/>
      <c r="V24" s="705"/>
      <c r="W24" s="706"/>
      <c r="X24" s="1355"/>
      <c r="Y24" s="375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1"/>
      <c r="Q25" s="1352" t="str">
        <f t="shared" ref="Q25:Q46" si="11">B25</f>
        <v>临街状况</v>
      </c>
      <c r="R25" s="705" t="s">
        <v>14</v>
      </c>
      <c r="S25" s="706">
        <f>F25</f>
        <v>100</v>
      </c>
      <c r="T25" s="705" t="s">
        <v>14</v>
      </c>
      <c r="U25" s="706">
        <f>H25</f>
        <v>100</v>
      </c>
      <c r="V25" s="705" t="s">
        <v>14</v>
      </c>
      <c r="W25" s="706">
        <f>J25</f>
        <v>100</v>
      </c>
      <c r="X25" s="1355"/>
      <c r="Y25" s="375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1"/>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51"/>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1"/>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54" t="s">
        <v>1695</v>
      </c>
      <c r="Q32" s="1352" t="str">
        <f t="shared" si="11"/>
        <v>商业类型</v>
      </c>
      <c r="R32" s="705" t="s">
        <v>14</v>
      </c>
      <c r="S32" s="706">
        <f t="shared" si="12"/>
        <v>100</v>
      </c>
      <c r="T32" s="705" t="s">
        <v>14</v>
      </c>
      <c r="U32" s="706">
        <f t="shared" si="13"/>
        <v>100</v>
      </c>
      <c r="V32" s="705" t="s">
        <v>14</v>
      </c>
      <c r="W32" s="706">
        <f t="shared" si="14"/>
        <v>100</v>
      </c>
      <c r="X32" s="1355"/>
      <c r="Y32" s="375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5"/>
      <c r="Q33" s="707" t="str">
        <f t="shared" si="11"/>
        <v>项目建筑规模</v>
      </c>
      <c r="R33" s="708" t="s">
        <v>14</v>
      </c>
      <c r="S33" s="709" t="e">
        <f t="shared" si="12"/>
        <v>#N/A</v>
      </c>
      <c r="T33" s="708" t="s">
        <v>14</v>
      </c>
      <c r="U33" s="709" t="e">
        <f t="shared" si="13"/>
        <v>#N/A</v>
      </c>
      <c r="V33" s="708" t="s">
        <v>14</v>
      </c>
      <c r="W33" s="709" t="e">
        <f t="shared" si="14"/>
        <v>#N/A</v>
      </c>
      <c r="X33" s="710"/>
      <c r="Y33" s="375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5"/>
      <c r="Q36" s="1352" t="str">
        <f t="shared" si="11"/>
        <v>成新度</v>
      </c>
      <c r="R36" s="705" t="s">
        <v>14</v>
      </c>
      <c r="S36" s="706" t="e">
        <f t="shared" si="12"/>
        <v>#N/A</v>
      </c>
      <c r="T36" s="705" t="s">
        <v>14</v>
      </c>
      <c r="U36" s="706" t="e">
        <f t="shared" si="13"/>
        <v>#N/A</v>
      </c>
      <c r="V36" s="705" t="s">
        <v>14</v>
      </c>
      <c r="W36" s="706" t="e">
        <f t="shared" si="14"/>
        <v>#N/A</v>
      </c>
      <c r="X36" s="1355"/>
      <c r="Y36" s="375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5"/>
      <c r="Q37" s="1343" t="str">
        <f t="shared" si="11"/>
        <v>市政基础设施</v>
      </c>
      <c r="R37" s="701" t="s">
        <v>14</v>
      </c>
      <c r="S37" s="702">
        <f t="shared" si="12"/>
        <v>100</v>
      </c>
      <c r="T37" s="701" t="s">
        <v>14</v>
      </c>
      <c r="U37" s="702">
        <f t="shared" si="13"/>
        <v>100</v>
      </c>
      <c r="V37" s="701" t="s">
        <v>14</v>
      </c>
      <c r="W37" s="702">
        <f t="shared" si="14"/>
        <v>100</v>
      </c>
      <c r="X37" s="703"/>
      <c r="Y37" s="375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5" t="s">
        <v>1695</v>
      </c>
      <c r="Q38" s="1352" t="str">
        <f t="shared" si="11"/>
        <v>业态</v>
      </c>
      <c r="R38" s="705" t="s">
        <v>14</v>
      </c>
      <c r="S38" s="706">
        <f t="shared" si="12"/>
        <v>100</v>
      </c>
      <c r="T38" s="705" t="s">
        <v>14</v>
      </c>
      <c r="U38" s="706">
        <f t="shared" si="13"/>
        <v>100</v>
      </c>
      <c r="V38" s="705" t="s">
        <v>14</v>
      </c>
      <c r="W38" s="706">
        <f t="shared" si="14"/>
        <v>100</v>
      </c>
      <c r="X38" s="1355"/>
      <c r="Y38" s="375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45" t="str">
        <f>A47</f>
        <v>成交单价（元/平方米）</v>
      </c>
      <c r="Q47" s="3745"/>
      <c r="R47" s="3779">
        <f>E47</f>
        <v>0</v>
      </c>
      <c r="S47" s="3779"/>
      <c r="T47" s="3779">
        <f>G47</f>
        <v>0</v>
      </c>
      <c r="U47" s="3779"/>
      <c r="V47" s="3779">
        <f>I47</f>
        <v>0</v>
      </c>
      <c r="W47" s="377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845" t="str">
        <f>A49</f>
        <v>估价对象XX用房的比较价值（楼面单价，元/平方米）</v>
      </c>
      <c r="Q49" s="3846"/>
      <c r="R49" s="3847" t="e">
        <f>IF(F1="售价",ROUND(IF(D48="简单平均",AVERAGE(R48:V48),R48*F48+T48*H48+V48*J48),0),ROUND(IF(D48="简单平均",AVERAGE(R48:V48),R48*F48+T48*H48+V48*J48),1))</f>
        <v>#DIV/0!</v>
      </c>
      <c r="S49" s="3847"/>
      <c r="T49" s="3847"/>
      <c r="U49" s="3847"/>
      <c r="V49" s="3847"/>
      <c r="W49" s="384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55858.869999999981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62" t="s">
        <v>1769</v>
      </c>
      <c r="D4" s="3763"/>
      <c r="E4" s="3764" t="s">
        <v>1770</v>
      </c>
      <c r="F4" s="3765"/>
      <c r="G4" s="3762" t="s">
        <v>1771</v>
      </c>
      <c r="H4" s="3763"/>
      <c r="I4" s="3762" t="s">
        <v>1772</v>
      </c>
      <c r="J4" s="3763"/>
      <c r="K4" s="559" t="s">
        <v>1773</v>
      </c>
      <c r="L4" s="913"/>
      <c r="M4" s="914"/>
      <c r="N4" s="914"/>
      <c r="O4" s="914"/>
      <c r="P4" s="3849" t="s">
        <v>1774</v>
      </c>
      <c r="Q4" s="3850"/>
      <c r="R4" s="3853" t="s">
        <v>1770</v>
      </c>
      <c r="S4" s="3854"/>
      <c r="T4" s="3853" t="s">
        <v>1771</v>
      </c>
      <c r="U4" s="3854"/>
      <c r="V4" s="3779" t="s">
        <v>1772</v>
      </c>
      <c r="W4" s="3779"/>
      <c r="X4" s="1355"/>
      <c r="Y4" s="3853" t="s">
        <v>1774</v>
      </c>
      <c r="Z4" s="3854"/>
      <c r="AA4" s="3848" t="s">
        <v>1770</v>
      </c>
      <c r="AB4" s="3791" t="s">
        <v>1771</v>
      </c>
      <c r="AC4" s="3848" t="s">
        <v>1772</v>
      </c>
    </row>
    <row r="5" spans="1:29" ht="15">
      <c r="A5" s="358"/>
      <c r="B5" s="359"/>
      <c r="C5" s="3782" t="s">
        <v>1672</v>
      </c>
      <c r="D5" s="3783"/>
      <c r="E5" s="3793" t="s">
        <v>1673</v>
      </c>
      <c r="F5" s="3794"/>
      <c r="G5" s="3782" t="s">
        <v>1674</v>
      </c>
      <c r="H5" s="3783"/>
      <c r="I5" s="3782" t="s">
        <v>1675</v>
      </c>
      <c r="J5" s="3783"/>
      <c r="K5" s="559"/>
      <c r="L5" s="913"/>
      <c r="M5" s="914"/>
      <c r="N5" s="914"/>
      <c r="O5" s="914"/>
      <c r="P5" s="3851"/>
      <c r="Q5" s="3769"/>
      <c r="R5" s="3774"/>
      <c r="S5" s="3775"/>
      <c r="T5" s="3774"/>
      <c r="U5" s="3775"/>
      <c r="V5" s="3779"/>
      <c r="W5" s="3779"/>
      <c r="X5" s="1355"/>
      <c r="Y5" s="3774"/>
      <c r="Z5" s="3775"/>
      <c r="AA5" s="3791"/>
      <c r="AB5" s="3791"/>
      <c r="AC5" s="3791"/>
    </row>
    <row r="6" spans="1:29" ht="15.75" thickBot="1">
      <c r="A6" s="360"/>
      <c r="B6" s="361"/>
      <c r="C6" s="3780" t="s">
        <v>1676</v>
      </c>
      <c r="D6" s="3781"/>
      <c r="E6" s="3788" t="s">
        <v>1676</v>
      </c>
      <c r="F6" s="3789"/>
      <c r="G6" s="3780" t="s">
        <v>1676</v>
      </c>
      <c r="H6" s="3781"/>
      <c r="I6" s="3780" t="s">
        <v>1676</v>
      </c>
      <c r="J6" s="3781"/>
      <c r="K6" s="559" t="s">
        <v>1677</v>
      </c>
      <c r="L6" s="913"/>
      <c r="M6" s="914"/>
      <c r="N6" s="914"/>
      <c r="O6" s="914"/>
      <c r="P6" s="3852"/>
      <c r="Q6" s="3771"/>
      <c r="R6" s="3774"/>
      <c r="S6" s="3775"/>
      <c r="T6" s="3776"/>
      <c r="U6" s="3777"/>
      <c r="V6" s="3779"/>
      <c r="W6" s="3779"/>
      <c r="X6" s="1355"/>
      <c r="Y6" s="3776"/>
      <c r="Z6" s="3777"/>
      <c r="AA6" s="3792"/>
      <c r="AB6" s="3792"/>
      <c r="AC6" s="3792"/>
    </row>
    <row r="7" spans="1:29" s="108" customFormat="1" ht="15.75" thickBot="1">
      <c r="A7" s="362" t="s">
        <v>1678</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786" t="s">
        <v>1679</v>
      </c>
      <c r="Q7" s="3787"/>
      <c r="R7" s="701" t="s">
        <v>14</v>
      </c>
      <c r="S7" s="702">
        <f t="shared" ref="S7:S15" si="0">F7</f>
        <v>0</v>
      </c>
      <c r="T7" s="701" t="s">
        <v>14</v>
      </c>
      <c r="U7" s="702">
        <f t="shared" ref="U7:U15" si="1">H7</f>
        <v>0</v>
      </c>
      <c r="V7" s="701" t="s">
        <v>14</v>
      </c>
      <c r="W7" s="702">
        <f t="shared" ref="W7:W15" si="2">J7</f>
        <v>0</v>
      </c>
      <c r="X7" s="703"/>
      <c r="Y7" s="3786" t="s">
        <v>1679</v>
      </c>
      <c r="Z7" s="378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6" t="s">
        <v>1682</v>
      </c>
      <c r="Q8" s="3785"/>
      <c r="R8" s="701" t="s">
        <v>14</v>
      </c>
      <c r="S8" s="702">
        <f t="shared" si="0"/>
        <v>100</v>
      </c>
      <c r="T8" s="701" t="s">
        <v>14</v>
      </c>
      <c r="U8" s="702">
        <f t="shared" si="1"/>
        <v>100</v>
      </c>
      <c r="V8" s="701" t="s">
        <v>14</v>
      </c>
      <c r="W8" s="702">
        <f t="shared" si="2"/>
        <v>100</v>
      </c>
      <c r="X8" s="703"/>
      <c r="Y8" s="3786" t="s">
        <v>1682</v>
      </c>
      <c r="Z8" s="378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1685</v>
      </c>
      <c r="Q9" s="1343"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1690</v>
      </c>
      <c r="Q15" s="1352" t="str">
        <f t="shared" si="6"/>
        <v>产业集聚程度</v>
      </c>
      <c r="R15" s="705" t="s">
        <v>14</v>
      </c>
      <c r="S15" s="706">
        <f t="shared" si="0"/>
        <v>100</v>
      </c>
      <c r="T15" s="705" t="s">
        <v>14</v>
      </c>
      <c r="U15" s="706">
        <f t="shared" si="1"/>
        <v>100</v>
      </c>
      <c r="V15" s="705" t="s">
        <v>14</v>
      </c>
      <c r="W15" s="706">
        <f t="shared" si="2"/>
        <v>100</v>
      </c>
      <c r="X15" s="1355"/>
      <c r="Y15" s="375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55" t="s">
        <v>1695</v>
      </c>
      <c r="Q29" s="1352" t="str">
        <f t="shared" si="11"/>
        <v>建筑类型</v>
      </c>
      <c r="R29" s="705" t="s">
        <v>14</v>
      </c>
      <c r="S29" s="706">
        <f t="shared" si="12"/>
        <v>100</v>
      </c>
      <c r="T29" s="705" t="s">
        <v>14</v>
      </c>
      <c r="U29" s="706">
        <f t="shared" si="13"/>
        <v>100</v>
      </c>
      <c r="V29" s="705" t="s">
        <v>14</v>
      </c>
      <c r="W29" s="706">
        <f t="shared" si="14"/>
        <v>100</v>
      </c>
      <c r="X29" s="1355"/>
      <c r="Y29" s="375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1695</v>
      </c>
      <c r="Q35" s="1352" t="str">
        <f t="shared" si="11"/>
        <v>市政基础设施</v>
      </c>
      <c r="R35" s="705" t="s">
        <v>14</v>
      </c>
      <c r="S35" s="706">
        <f t="shared" si="12"/>
        <v>100</v>
      </c>
      <c r="T35" s="705" t="s">
        <v>14</v>
      </c>
      <c r="U35" s="706">
        <f t="shared" si="13"/>
        <v>100</v>
      </c>
      <c r="V35" s="705" t="s">
        <v>14</v>
      </c>
      <c r="W35" s="706">
        <f t="shared" si="14"/>
        <v>100</v>
      </c>
      <c r="X35" s="1355"/>
      <c r="Y35" s="375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45" t="str">
        <f>A43</f>
        <v>估价对象XX用房的比较价值（楼面单价，元/平方米）</v>
      </c>
      <c r="Q43" s="3846"/>
      <c r="R43" s="3847" t="e">
        <f>IF(F1="售价",ROUND(IF(D42="简单平均",AVERAGE(R42:V42),R42*F42+T42*H42+V42*J42),0),ROUND(IF(D42="简单平均",AVERAGE(R42:V42),R42*F42+T42*H42+V42*J42),1))</f>
        <v>#DIV/0!</v>
      </c>
      <c r="S43" s="3847"/>
      <c r="T43" s="3847"/>
      <c r="U43" s="3847"/>
      <c r="V43" s="3847"/>
      <c r="W43" s="384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62" t="s">
        <v>1769</v>
      </c>
      <c r="D4" s="3763"/>
      <c r="E4" s="3764" t="s">
        <v>1770</v>
      </c>
      <c r="F4" s="3765"/>
      <c r="G4" s="3762" t="s">
        <v>1771</v>
      </c>
      <c r="H4" s="3763"/>
      <c r="I4" s="3762" t="s">
        <v>1772</v>
      </c>
      <c r="J4" s="3763"/>
      <c r="K4" s="559" t="s">
        <v>1773</v>
      </c>
      <c r="L4" s="2713"/>
      <c r="M4" s="2714"/>
      <c r="N4" s="2714"/>
      <c r="O4" s="2714"/>
      <c r="P4" s="3849" t="s">
        <v>1774</v>
      </c>
      <c r="Q4" s="3850"/>
      <c r="R4" s="3853" t="s">
        <v>1770</v>
      </c>
      <c r="S4" s="3854"/>
      <c r="T4" s="3853" t="s">
        <v>1771</v>
      </c>
      <c r="U4" s="3854"/>
      <c r="V4" s="3779" t="s">
        <v>1772</v>
      </c>
      <c r="W4" s="3779"/>
      <c r="X4" s="1355"/>
      <c r="Y4" s="3853" t="s">
        <v>1774</v>
      </c>
      <c r="Z4" s="3854"/>
      <c r="AA4" s="3848" t="s">
        <v>1770</v>
      </c>
      <c r="AB4" s="3791" t="s">
        <v>1771</v>
      </c>
      <c r="AC4" s="3848" t="s">
        <v>1772</v>
      </c>
    </row>
    <row r="5" spans="1:29" ht="15">
      <c r="A5" s="358"/>
      <c r="B5" s="359"/>
      <c r="C5" s="3782" t="s">
        <v>1672</v>
      </c>
      <c r="D5" s="3783"/>
      <c r="E5" s="3793" t="s">
        <v>1673</v>
      </c>
      <c r="F5" s="3794"/>
      <c r="G5" s="3782" t="s">
        <v>1674</v>
      </c>
      <c r="H5" s="3783"/>
      <c r="I5" s="3782" t="s">
        <v>1675</v>
      </c>
      <c r="J5" s="3783"/>
      <c r="K5" s="559"/>
      <c r="L5" s="2713"/>
      <c r="M5" s="2714"/>
      <c r="N5" s="2714"/>
      <c r="O5" s="2714"/>
      <c r="P5" s="3851"/>
      <c r="Q5" s="3769"/>
      <c r="R5" s="3774"/>
      <c r="S5" s="3775"/>
      <c r="T5" s="3774"/>
      <c r="U5" s="3775"/>
      <c r="V5" s="3779"/>
      <c r="W5" s="3779"/>
      <c r="X5" s="1355"/>
      <c r="Y5" s="3774"/>
      <c r="Z5" s="3775"/>
      <c r="AA5" s="3791"/>
      <c r="AB5" s="3791"/>
      <c r="AC5" s="3791"/>
    </row>
    <row r="6" spans="1:29" ht="15.75" thickBot="1">
      <c r="A6" s="360"/>
      <c r="B6" s="361"/>
      <c r="C6" s="3780" t="s">
        <v>1676</v>
      </c>
      <c r="D6" s="3781"/>
      <c r="E6" s="3788" t="s">
        <v>1676</v>
      </c>
      <c r="F6" s="3789"/>
      <c r="G6" s="3780" t="s">
        <v>1676</v>
      </c>
      <c r="H6" s="3781"/>
      <c r="I6" s="3780" t="s">
        <v>1676</v>
      </c>
      <c r="J6" s="3781"/>
      <c r="K6" s="559" t="s">
        <v>1677</v>
      </c>
      <c r="L6" s="2713"/>
      <c r="M6" s="2714"/>
      <c r="N6" s="2714"/>
      <c r="O6" s="2714"/>
      <c r="P6" s="3852"/>
      <c r="Q6" s="3771"/>
      <c r="R6" s="3774"/>
      <c r="S6" s="3775"/>
      <c r="T6" s="3776"/>
      <c r="U6" s="3777"/>
      <c r="V6" s="3779"/>
      <c r="W6" s="3779"/>
      <c r="X6" s="1355"/>
      <c r="Y6" s="3776"/>
      <c r="Z6" s="3777"/>
      <c r="AA6" s="3792"/>
      <c r="AB6" s="3792"/>
      <c r="AC6" s="3792"/>
    </row>
    <row r="7" spans="1:29" s="108" customFormat="1" ht="15.75" thickBot="1">
      <c r="A7" s="362" t="s">
        <v>1678</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86" t="s">
        <v>1679</v>
      </c>
      <c r="Q7" s="3787"/>
      <c r="R7" s="701" t="s">
        <v>14</v>
      </c>
      <c r="S7" s="702">
        <f t="shared" ref="S7:S14" si="0">F7</f>
        <v>0</v>
      </c>
      <c r="T7" s="701" t="s">
        <v>14</v>
      </c>
      <c r="U7" s="702">
        <f t="shared" ref="U7:U14" si="1">H7</f>
        <v>0</v>
      </c>
      <c r="V7" s="701" t="s">
        <v>14</v>
      </c>
      <c r="W7" s="702">
        <f t="shared" ref="W7:W14" si="2">J7</f>
        <v>0</v>
      </c>
      <c r="X7" s="703"/>
      <c r="Y7" s="3786" t="s">
        <v>1679</v>
      </c>
      <c r="Z7" s="378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86" t="s">
        <v>1682</v>
      </c>
      <c r="Q8" s="3785"/>
      <c r="R8" s="701" t="s">
        <v>14</v>
      </c>
      <c r="S8" s="702">
        <f t="shared" si="0"/>
        <v>100</v>
      </c>
      <c r="T8" s="701" t="s">
        <v>14</v>
      </c>
      <c r="U8" s="702">
        <f t="shared" si="1"/>
        <v>100</v>
      </c>
      <c r="V8" s="701" t="s">
        <v>14</v>
      </c>
      <c r="W8" s="702">
        <f t="shared" si="2"/>
        <v>100</v>
      </c>
      <c r="X8" s="703"/>
      <c r="Y8" s="3786" t="s">
        <v>1682</v>
      </c>
      <c r="Z8" s="378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5" t="s">
        <v>1685</v>
      </c>
      <c r="Q9" s="1343" t="str">
        <f t="shared" ref="Q9:Q14" si="6">B9</f>
        <v>用途</v>
      </c>
      <c r="R9" s="701" t="s">
        <v>14</v>
      </c>
      <c r="S9" s="702">
        <f t="shared" si="0"/>
        <v>100</v>
      </c>
      <c r="T9" s="701" t="s">
        <v>14</v>
      </c>
      <c r="U9" s="702">
        <f t="shared" si="1"/>
        <v>100</v>
      </c>
      <c r="V9" s="701" t="s">
        <v>14</v>
      </c>
      <c r="W9" s="702">
        <f t="shared" si="2"/>
        <v>100</v>
      </c>
      <c r="X9" s="703"/>
      <c r="Y9" s="3651"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5"/>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5"/>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5"/>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5"/>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52" t="s">
        <v>1690</v>
      </c>
      <c r="Q14" s="1352" t="str">
        <f t="shared" si="6"/>
        <v>交通便捷度</v>
      </c>
      <c r="R14" s="705" t="s">
        <v>14</v>
      </c>
      <c r="S14" s="706">
        <f t="shared" si="0"/>
        <v>100</v>
      </c>
      <c r="T14" s="705" t="s">
        <v>14</v>
      </c>
      <c r="U14" s="706">
        <f t="shared" si="1"/>
        <v>100</v>
      </c>
      <c r="V14" s="705" t="s">
        <v>14</v>
      </c>
      <c r="W14" s="706">
        <f t="shared" si="2"/>
        <v>100</v>
      </c>
      <c r="X14" s="1355"/>
      <c r="Y14" s="375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53"/>
      <c r="Q15" s="1352"/>
      <c r="R15" s="705"/>
      <c r="S15" s="706"/>
      <c r="T15" s="705"/>
      <c r="U15" s="706"/>
      <c r="V15" s="705"/>
      <c r="W15" s="706"/>
      <c r="X15" s="1355"/>
      <c r="Y15" s="3753"/>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53"/>
      <c r="Q17" s="1352"/>
      <c r="R17" s="705"/>
      <c r="S17" s="706"/>
      <c r="T17" s="705"/>
      <c r="U17" s="706"/>
      <c r="V17" s="705"/>
      <c r="W17" s="706"/>
      <c r="X17" s="1355"/>
      <c r="Y17" s="375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53"/>
      <c r="Q19" s="1352"/>
      <c r="R19" s="705"/>
      <c r="S19" s="706"/>
      <c r="T19" s="705"/>
      <c r="U19" s="706"/>
      <c r="V19" s="705"/>
      <c r="W19" s="706"/>
      <c r="X19" s="1355"/>
      <c r="Y19" s="3753"/>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53"/>
      <c r="Q21" s="1352"/>
      <c r="R21" s="705"/>
      <c r="S21" s="706"/>
      <c r="T21" s="705"/>
      <c r="U21" s="706"/>
      <c r="V21" s="705"/>
      <c r="W21" s="706"/>
      <c r="X21" s="1355"/>
      <c r="Y21" s="375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7" t="s">
        <v>1695</v>
      </c>
      <c r="Q32" s="1352" t="str">
        <f t="shared" si="11"/>
        <v>车位类型</v>
      </c>
      <c r="R32" s="705" t="s">
        <v>14</v>
      </c>
      <c r="S32" s="706">
        <f t="shared" si="12"/>
        <v>100</v>
      </c>
      <c r="T32" s="705" t="s">
        <v>14</v>
      </c>
      <c r="U32" s="706">
        <f t="shared" si="13"/>
        <v>100</v>
      </c>
      <c r="V32" s="705" t="s">
        <v>14</v>
      </c>
      <c r="W32" s="706">
        <f t="shared" si="14"/>
        <v>100</v>
      </c>
      <c r="X32" s="1355"/>
      <c r="Y32" s="375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5">
      <c r="A37" s="430" t="s">
        <v>1843</v>
      </c>
      <c r="B37" s="1973" t="s">
        <v>3350</v>
      </c>
      <c r="C37" s="1154" t="s">
        <v>0</v>
      </c>
      <c r="D37" s="1155"/>
      <c r="E37" s="1156"/>
      <c r="F37" s="1157"/>
      <c r="G37" s="1158"/>
      <c r="H37" s="1159"/>
      <c r="I37" s="1156"/>
      <c r="J37" s="1159"/>
      <c r="K37" s="568"/>
      <c r="L37" s="2722"/>
      <c r="M37" s="2723"/>
      <c r="N37" s="2714"/>
      <c r="O37" s="2723"/>
      <c r="P37" s="3745" t="str">
        <f>A37</f>
        <v>成交单价</v>
      </c>
      <c r="Q37" s="3745"/>
      <c r="R37" s="3746">
        <f>E37</f>
        <v>0</v>
      </c>
      <c r="S37" s="3746"/>
      <c r="T37" s="3746">
        <f>G37</f>
        <v>0</v>
      </c>
      <c r="U37" s="3746"/>
      <c r="V37" s="3746">
        <f>I37</f>
        <v>0</v>
      </c>
      <c r="W37" s="374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845" t="str">
        <f>A39</f>
        <v>估价对象XX用房的比较价值（楼面单价，元/平方米）</v>
      </c>
      <c r="Q39" s="3846"/>
      <c r="R39" s="3856" t="e">
        <f>IF(F1="售价",ROUND(IF(D38="简单平均",AVERAGE(R38:W38),R38*F38+T38*H38+V38*J38),0),ROUND(IF(D38="简单平均",AVERAGE(R38:V38),R38*F38+T38*H38+V38*J38),1))</f>
        <v>#DIV/0!</v>
      </c>
      <c r="S39" s="3856"/>
      <c r="T39" s="3856"/>
      <c r="U39" s="3856"/>
      <c r="V39" s="3856"/>
      <c r="W39" s="385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2" t="s">
        <v>1769</v>
      </c>
      <c r="D4" s="3763"/>
      <c r="E4" s="3764" t="s">
        <v>1770</v>
      </c>
      <c r="F4" s="3765"/>
      <c r="G4" s="3762" t="s">
        <v>1771</v>
      </c>
      <c r="H4" s="3763"/>
      <c r="I4" s="3762" t="s">
        <v>1772</v>
      </c>
      <c r="J4" s="3763"/>
      <c r="K4" s="559" t="s">
        <v>1773</v>
      </c>
      <c r="L4" s="2713"/>
      <c r="M4" s="2714"/>
      <c r="N4" s="2714"/>
      <c r="O4" s="2714"/>
      <c r="P4" s="3849" t="s">
        <v>1774</v>
      </c>
      <c r="Q4" s="3850"/>
      <c r="R4" s="3853" t="s">
        <v>1770</v>
      </c>
      <c r="S4" s="3854"/>
      <c r="T4" s="3853" t="s">
        <v>1771</v>
      </c>
      <c r="U4" s="3854"/>
      <c r="V4" s="3779" t="s">
        <v>1772</v>
      </c>
      <c r="W4" s="3779"/>
      <c r="X4" s="1355"/>
      <c r="Y4" s="3853" t="s">
        <v>1774</v>
      </c>
      <c r="Z4" s="3854"/>
      <c r="AA4" s="3848" t="s">
        <v>1770</v>
      </c>
      <c r="AB4" s="3791" t="s">
        <v>1771</v>
      </c>
      <c r="AC4" s="3848" t="s">
        <v>1772</v>
      </c>
    </row>
    <row r="5" spans="1:29" ht="15">
      <c r="A5" s="358"/>
      <c r="B5" s="359"/>
      <c r="C5" s="3782" t="s">
        <v>1672</v>
      </c>
      <c r="D5" s="3783"/>
      <c r="E5" s="3793" t="s">
        <v>1673</v>
      </c>
      <c r="F5" s="3794"/>
      <c r="G5" s="3782" t="s">
        <v>1674</v>
      </c>
      <c r="H5" s="3783"/>
      <c r="I5" s="3782" t="s">
        <v>1675</v>
      </c>
      <c r="J5" s="3783"/>
      <c r="K5" s="559"/>
      <c r="L5" s="2713"/>
      <c r="M5" s="2714"/>
      <c r="N5" s="2714"/>
      <c r="O5" s="2714"/>
      <c r="P5" s="3851"/>
      <c r="Q5" s="3769"/>
      <c r="R5" s="3774"/>
      <c r="S5" s="3775"/>
      <c r="T5" s="3774"/>
      <c r="U5" s="3775"/>
      <c r="V5" s="3779"/>
      <c r="W5" s="3779"/>
      <c r="X5" s="1355"/>
      <c r="Y5" s="3774"/>
      <c r="Z5" s="3775"/>
      <c r="AA5" s="3791"/>
      <c r="AB5" s="3791"/>
      <c r="AC5" s="3791"/>
    </row>
    <row r="6" spans="1:29" ht="15.75" thickBot="1">
      <c r="A6" s="360"/>
      <c r="B6" s="361"/>
      <c r="C6" s="3780" t="s">
        <v>1676</v>
      </c>
      <c r="D6" s="3781"/>
      <c r="E6" s="3788" t="s">
        <v>1676</v>
      </c>
      <c r="F6" s="3789"/>
      <c r="G6" s="3780" t="s">
        <v>1676</v>
      </c>
      <c r="H6" s="3781"/>
      <c r="I6" s="3780" t="s">
        <v>1676</v>
      </c>
      <c r="J6" s="3781"/>
      <c r="K6" s="559" t="s">
        <v>1677</v>
      </c>
      <c r="L6" s="2713"/>
      <c r="M6" s="2714"/>
      <c r="N6" s="2714"/>
      <c r="O6" s="2714"/>
      <c r="P6" s="3852"/>
      <c r="Q6" s="3771"/>
      <c r="R6" s="3774"/>
      <c r="S6" s="3775"/>
      <c r="T6" s="3776"/>
      <c r="U6" s="3777"/>
      <c r="V6" s="3779"/>
      <c r="W6" s="3779"/>
      <c r="X6" s="1355"/>
      <c r="Y6" s="3776"/>
      <c r="Z6" s="3777"/>
      <c r="AA6" s="3792"/>
      <c r="AB6" s="3792"/>
      <c r="AC6" s="3792"/>
    </row>
    <row r="7" spans="1:29" s="108" customFormat="1" ht="15.75" thickBot="1">
      <c r="A7" s="362" t="s">
        <v>1678</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86" t="s">
        <v>1679</v>
      </c>
      <c r="Q7" s="3787"/>
      <c r="R7" s="701" t="s">
        <v>14</v>
      </c>
      <c r="S7" s="702">
        <f t="shared" ref="S7:S14" si="0">F7</f>
        <v>0</v>
      </c>
      <c r="T7" s="701" t="s">
        <v>14</v>
      </c>
      <c r="U7" s="702">
        <f t="shared" ref="U7:U14" si="1">H7</f>
        <v>0</v>
      </c>
      <c r="V7" s="701" t="s">
        <v>14</v>
      </c>
      <c r="W7" s="702">
        <f t="shared" ref="W7:W14" si="2">J7</f>
        <v>0</v>
      </c>
      <c r="X7" s="703"/>
      <c r="Y7" s="3786" t="s">
        <v>1679</v>
      </c>
      <c r="Z7" s="378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86" t="s">
        <v>1682</v>
      </c>
      <c r="Q8" s="3785"/>
      <c r="R8" s="701" t="s">
        <v>14</v>
      </c>
      <c r="S8" s="702">
        <f t="shared" si="0"/>
        <v>100</v>
      </c>
      <c r="T8" s="701" t="s">
        <v>14</v>
      </c>
      <c r="U8" s="702">
        <f t="shared" si="1"/>
        <v>100</v>
      </c>
      <c r="V8" s="701" t="s">
        <v>14</v>
      </c>
      <c r="W8" s="702">
        <f t="shared" si="2"/>
        <v>100</v>
      </c>
      <c r="X8" s="703"/>
      <c r="Y8" s="3786" t="s">
        <v>1682</v>
      </c>
      <c r="Z8" s="378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5" t="s">
        <v>1685</v>
      </c>
      <c r="Q9" s="1343" t="str">
        <f t="shared" ref="Q9:Q14" si="6">B9</f>
        <v>用途</v>
      </c>
      <c r="R9" s="701" t="s">
        <v>14</v>
      </c>
      <c r="S9" s="702">
        <f t="shared" si="0"/>
        <v>100</v>
      </c>
      <c r="T9" s="701" t="s">
        <v>14</v>
      </c>
      <c r="U9" s="702">
        <f t="shared" si="1"/>
        <v>100</v>
      </c>
      <c r="V9" s="701" t="s">
        <v>14</v>
      </c>
      <c r="W9" s="702">
        <f t="shared" si="2"/>
        <v>100</v>
      </c>
      <c r="X9" s="703"/>
      <c r="Y9" s="3651"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5"/>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5"/>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52" t="s">
        <v>1690</v>
      </c>
      <c r="Q14" s="1352" t="str">
        <f t="shared" si="6"/>
        <v>交通便捷度</v>
      </c>
      <c r="R14" s="705" t="s">
        <v>14</v>
      </c>
      <c r="S14" s="706">
        <f t="shared" si="0"/>
        <v>100</v>
      </c>
      <c r="T14" s="705" t="s">
        <v>14</v>
      </c>
      <c r="U14" s="706">
        <f t="shared" si="1"/>
        <v>100</v>
      </c>
      <c r="V14" s="705" t="s">
        <v>14</v>
      </c>
      <c r="W14" s="706">
        <f t="shared" si="2"/>
        <v>100</v>
      </c>
      <c r="X14" s="1355"/>
      <c r="Y14" s="375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53"/>
      <c r="Q15" s="1352"/>
      <c r="R15" s="705"/>
      <c r="S15" s="706"/>
      <c r="T15" s="705"/>
      <c r="U15" s="706"/>
      <c r="V15" s="705"/>
      <c r="W15" s="706"/>
      <c r="X15" s="1355"/>
      <c r="Y15" s="3753"/>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53"/>
      <c r="Q17" s="1352"/>
      <c r="R17" s="705"/>
      <c r="S17" s="706"/>
      <c r="T17" s="705"/>
      <c r="U17" s="706"/>
      <c r="V17" s="705"/>
      <c r="W17" s="706"/>
      <c r="X17" s="1355"/>
      <c r="Y17" s="375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53"/>
      <c r="Q19" s="1352"/>
      <c r="R19" s="705"/>
      <c r="S19" s="706"/>
      <c r="T19" s="705"/>
      <c r="U19" s="706"/>
      <c r="V19" s="705"/>
      <c r="W19" s="706"/>
      <c r="X19" s="1355"/>
      <c r="Y19" s="3753"/>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53"/>
      <c r="Q21" s="1352"/>
      <c r="R21" s="705"/>
      <c r="S21" s="706"/>
      <c r="T21" s="705"/>
      <c r="U21" s="706"/>
      <c r="V21" s="705"/>
      <c r="W21" s="706"/>
      <c r="X21" s="1355"/>
      <c r="Y21" s="375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7" t="s">
        <v>1695</v>
      </c>
      <c r="Q32" s="1352">
        <f t="shared" si="11"/>
        <v>111</v>
      </c>
      <c r="R32" s="705" t="s">
        <v>14</v>
      </c>
      <c r="S32" s="706">
        <f t="shared" si="12"/>
        <v>100</v>
      </c>
      <c r="T32" s="705" t="s">
        <v>14</v>
      </c>
      <c r="U32" s="706">
        <f t="shared" si="13"/>
        <v>100</v>
      </c>
      <c r="V32" s="705" t="s">
        <v>14</v>
      </c>
      <c r="W32" s="706">
        <f t="shared" si="14"/>
        <v>100</v>
      </c>
      <c r="X32" s="1355"/>
      <c r="Y32" s="375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845" t="str">
        <f>A37</f>
        <v>估价对象XX用房的比较价值（楼面单价，元/平方米）</v>
      </c>
      <c r="Q37" s="3846"/>
      <c r="R37" s="3856" t="e">
        <f>IF(F1="售价",ROUND(IF(D36="简单平均",AVERAGE(R36:W36),R36*F36+T36*H36+V36*J36),0),ROUND(IF(D36="简单平均",AVERAGE(R36:V36),R36*F36+T36*H36+V36*J36),1))</f>
        <v>#DIV/0!</v>
      </c>
      <c r="S37" s="3856"/>
      <c r="T37" s="3856"/>
      <c r="U37" s="3856"/>
      <c r="V37" s="3856"/>
      <c r="W37" s="385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I80" sqref="I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62" t="s">
        <v>1769</v>
      </c>
      <c r="D4" s="3763"/>
      <c r="E4" s="3764" t="s">
        <v>1770</v>
      </c>
      <c r="F4" s="3765"/>
      <c r="G4" s="3762" t="s">
        <v>1771</v>
      </c>
      <c r="H4" s="3763"/>
      <c r="I4" s="3762" t="s">
        <v>1772</v>
      </c>
      <c r="J4" s="3763"/>
      <c r="K4" s="559" t="s">
        <v>1773</v>
      </c>
      <c r="L4" s="2713"/>
      <c r="M4" s="2714"/>
      <c r="N4" s="2714"/>
      <c r="O4" s="2714"/>
      <c r="P4" s="3849" t="s">
        <v>1774</v>
      </c>
      <c r="Q4" s="3850"/>
      <c r="R4" s="3853" t="s">
        <v>1770</v>
      </c>
      <c r="S4" s="3854"/>
      <c r="T4" s="3853" t="s">
        <v>1771</v>
      </c>
      <c r="U4" s="3854"/>
      <c r="V4" s="3779" t="s">
        <v>1772</v>
      </c>
      <c r="W4" s="3779"/>
      <c r="X4" s="1355"/>
      <c r="Y4" s="3853" t="s">
        <v>1774</v>
      </c>
      <c r="Z4" s="3854"/>
      <c r="AA4" s="3848" t="s">
        <v>1770</v>
      </c>
      <c r="AB4" s="3791" t="s">
        <v>1771</v>
      </c>
      <c r="AC4" s="3848" t="s">
        <v>1772</v>
      </c>
    </row>
    <row r="5" spans="1:30" ht="15">
      <c r="A5" s="358"/>
      <c r="B5" s="359"/>
      <c r="C5" s="3782" t="s">
        <v>1672</v>
      </c>
      <c r="D5" s="3783"/>
      <c r="E5" s="3793" t="s">
        <v>1673</v>
      </c>
      <c r="F5" s="3794"/>
      <c r="G5" s="3782" t="s">
        <v>1674</v>
      </c>
      <c r="H5" s="3783"/>
      <c r="I5" s="3782" t="s">
        <v>1675</v>
      </c>
      <c r="J5" s="3783"/>
      <c r="K5" s="559"/>
      <c r="L5" s="2713"/>
      <c r="M5" s="2714"/>
      <c r="N5" s="2714"/>
      <c r="O5" s="2714"/>
      <c r="P5" s="3851"/>
      <c r="Q5" s="3769"/>
      <c r="R5" s="3774"/>
      <c r="S5" s="3775"/>
      <c r="T5" s="3774"/>
      <c r="U5" s="3775"/>
      <c r="V5" s="3779"/>
      <c r="W5" s="3779"/>
      <c r="X5" s="1355"/>
      <c r="Y5" s="3774"/>
      <c r="Z5" s="3775"/>
      <c r="AA5" s="3791"/>
      <c r="AB5" s="3791"/>
      <c r="AC5" s="3791"/>
    </row>
    <row r="6" spans="1:30" ht="15.75" thickBot="1">
      <c r="A6" s="360"/>
      <c r="B6" s="361"/>
      <c r="C6" s="3780" t="s">
        <v>1676</v>
      </c>
      <c r="D6" s="3781"/>
      <c r="E6" s="3788" t="s">
        <v>1676</v>
      </c>
      <c r="F6" s="3789"/>
      <c r="G6" s="3780" t="s">
        <v>1676</v>
      </c>
      <c r="H6" s="3781"/>
      <c r="I6" s="3780" t="s">
        <v>1676</v>
      </c>
      <c r="J6" s="3781"/>
      <c r="K6" s="559" t="s">
        <v>1677</v>
      </c>
      <c r="L6" s="2713"/>
      <c r="M6" s="2714"/>
      <c r="N6" s="2714"/>
      <c r="O6" s="2714"/>
      <c r="P6" s="3852"/>
      <c r="Q6" s="3771"/>
      <c r="R6" s="3774"/>
      <c r="S6" s="3775"/>
      <c r="T6" s="3776"/>
      <c r="U6" s="3777"/>
      <c r="V6" s="3779"/>
      <c r="W6" s="3779"/>
      <c r="X6" s="1355"/>
      <c r="Y6" s="3776"/>
      <c r="Z6" s="3777"/>
      <c r="AA6" s="3792"/>
      <c r="AB6" s="3792"/>
      <c r="AC6" s="3792"/>
    </row>
    <row r="7" spans="1:30" s="108" customFormat="1" ht="15.75" thickBot="1">
      <c r="A7" s="362" t="s">
        <v>1678</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86" t="s">
        <v>1679</v>
      </c>
      <c r="Q7" s="3787"/>
      <c r="R7" s="701" t="s">
        <v>14</v>
      </c>
      <c r="S7" s="702">
        <f t="shared" ref="S7:S15" si="0">F7</f>
        <v>0</v>
      </c>
      <c r="T7" s="701" t="s">
        <v>14</v>
      </c>
      <c r="U7" s="702">
        <f t="shared" ref="U7:U15" si="1">H7</f>
        <v>0</v>
      </c>
      <c r="V7" s="701" t="s">
        <v>14</v>
      </c>
      <c r="W7" s="702">
        <f t="shared" ref="W7:W15" si="2">J7</f>
        <v>0</v>
      </c>
      <c r="X7" s="703"/>
      <c r="Y7" s="3786" t="s">
        <v>1679</v>
      </c>
      <c r="Z7" s="378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86" t="s">
        <v>1682</v>
      </c>
      <c r="Q8" s="3785"/>
      <c r="R8" s="701" t="s">
        <v>14</v>
      </c>
      <c r="S8" s="702">
        <f t="shared" si="0"/>
        <v>0</v>
      </c>
      <c r="T8" s="701" t="s">
        <v>14</v>
      </c>
      <c r="U8" s="702">
        <f t="shared" si="1"/>
        <v>0</v>
      </c>
      <c r="V8" s="701" t="s">
        <v>14</v>
      </c>
      <c r="W8" s="702">
        <f t="shared" si="2"/>
        <v>0</v>
      </c>
      <c r="X8" s="703"/>
      <c r="Y8" s="3786" t="s">
        <v>1682</v>
      </c>
      <c r="Z8" s="378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45" t="s">
        <v>1685</v>
      </c>
      <c r="Q9" s="1343"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45"/>
      <c r="Q10" s="1343" t="str">
        <f t="shared" si="6"/>
        <v>土地使用年限（年）</v>
      </c>
      <c r="R10" s="701" t="s">
        <v>14</v>
      </c>
      <c r="S10" s="702">
        <f t="shared" si="0"/>
        <v>112</v>
      </c>
      <c r="T10" s="701" t="s">
        <v>14</v>
      </c>
      <c r="U10" s="702">
        <f t="shared" si="1"/>
        <v>112</v>
      </c>
      <c r="V10" s="701" t="s">
        <v>14</v>
      </c>
      <c r="W10" s="702">
        <f t="shared" si="2"/>
        <v>112</v>
      </c>
      <c r="X10" s="703"/>
      <c r="Y10" s="3651"/>
      <c r="Z10" s="52" t="str">
        <f t="shared" si="7"/>
        <v>土地使用年限（年）</v>
      </c>
      <c r="AA10" s="704">
        <f t="shared" si="3"/>
        <v>0.8928571428571429</v>
      </c>
      <c r="AB10" s="704">
        <f t="shared" si="4"/>
        <v>0.8928571428571429</v>
      </c>
      <c r="AC10" s="704">
        <f t="shared" si="5"/>
        <v>0.8928571428571429</v>
      </c>
    </row>
    <row r="11" spans="1:30" ht="15">
      <c r="A11" s="379"/>
      <c r="B11" s="375" t="s">
        <v>1688</v>
      </c>
      <c r="C11" s="380">
        <v>5</v>
      </c>
      <c r="D11" s="127">
        <v>100</v>
      </c>
      <c r="E11" s="380">
        <v>3</v>
      </c>
      <c r="F11" s="127">
        <f>LOOKUP(E11,79:79,80:80)-LOOKUP(C11,79:79,80:80)+100</f>
        <v>104</v>
      </c>
      <c r="G11" s="381">
        <v>3</v>
      </c>
      <c r="H11" s="127">
        <f>LOOKUP(G11,79:79,80:80)-LOOKUP(C11,79:79,80:80)+100</f>
        <v>104</v>
      </c>
      <c r="I11" s="380">
        <v>3</v>
      </c>
      <c r="J11" s="127">
        <f>LOOKUP(I11,79:79,80:80)-LOOKUP(C11,79:79,80:80)+100</f>
        <v>104</v>
      </c>
      <c r="K11" s="621">
        <v>2</v>
      </c>
      <c r="L11" s="2719"/>
      <c r="M11" s="2714"/>
      <c r="N11" s="2714"/>
      <c r="O11" s="2772"/>
      <c r="P11" s="3745"/>
      <c r="Q11" s="1343" t="str">
        <f t="shared" si="6"/>
        <v>容积率</v>
      </c>
      <c r="R11" s="701" t="s">
        <v>14</v>
      </c>
      <c r="S11" s="702">
        <f t="shared" si="0"/>
        <v>104</v>
      </c>
      <c r="T11" s="701" t="s">
        <v>14</v>
      </c>
      <c r="U11" s="702">
        <f t="shared" si="1"/>
        <v>104</v>
      </c>
      <c r="V11" s="701" t="s">
        <v>14</v>
      </c>
      <c r="W11" s="702">
        <f t="shared" si="2"/>
        <v>104</v>
      </c>
      <c r="X11" s="703"/>
      <c r="Y11" s="3651"/>
      <c r="Z11" s="52" t="str">
        <f t="shared" si="7"/>
        <v>容积率</v>
      </c>
      <c r="AA11" s="704">
        <f t="shared" si="3"/>
        <v>0.96153846153846156</v>
      </c>
      <c r="AB11" s="704">
        <f t="shared" si="4"/>
        <v>0.96153846153846156</v>
      </c>
      <c r="AC11" s="704">
        <f t="shared" si="5"/>
        <v>0.96153846153846156</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5"/>
      <c r="Q12" s="1343"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52" t="s">
        <v>1690</v>
      </c>
      <c r="Q15" s="1352" t="str">
        <f t="shared" si="6"/>
        <v>居住社区成熟度</v>
      </c>
      <c r="R15" s="705" t="s">
        <v>14</v>
      </c>
      <c r="S15" s="706">
        <f t="shared" si="0"/>
        <v>100</v>
      </c>
      <c r="T15" s="705" t="s">
        <v>14</v>
      </c>
      <c r="U15" s="706">
        <f t="shared" si="1"/>
        <v>100</v>
      </c>
      <c r="V15" s="705" t="s">
        <v>14</v>
      </c>
      <c r="W15" s="706">
        <f t="shared" si="2"/>
        <v>100</v>
      </c>
      <c r="X15" s="1355"/>
      <c r="Y15" s="375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53"/>
      <c r="Q16" s="1352"/>
      <c r="R16" s="705"/>
      <c r="S16" s="706"/>
      <c r="T16" s="705"/>
      <c r="U16" s="706"/>
      <c r="V16" s="705"/>
      <c r="W16" s="706"/>
      <c r="X16" s="1355"/>
      <c r="Y16" s="3753"/>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53"/>
      <c r="Q18" s="1352"/>
      <c r="R18" s="705"/>
      <c r="S18" s="706"/>
      <c r="T18" s="705"/>
      <c r="U18" s="706"/>
      <c r="V18" s="705"/>
      <c r="W18" s="706"/>
      <c r="X18" s="1355"/>
      <c r="Y18" s="3753"/>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53"/>
      <c r="Q20" s="1352"/>
      <c r="R20" s="705"/>
      <c r="S20" s="706"/>
      <c r="T20" s="705"/>
      <c r="U20" s="706"/>
      <c r="V20" s="705"/>
      <c r="W20" s="706"/>
      <c r="X20" s="1355"/>
      <c r="Y20" s="375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53"/>
      <c r="Q22" s="1352"/>
      <c r="R22" s="705"/>
      <c r="S22" s="706"/>
      <c r="T22" s="705"/>
      <c r="U22" s="706"/>
      <c r="V22" s="705"/>
      <c r="W22" s="706"/>
      <c r="X22" s="1355"/>
      <c r="Y22" s="375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53"/>
      <c r="Q24" s="1352"/>
      <c r="R24" s="705"/>
      <c r="S24" s="706"/>
      <c r="T24" s="705"/>
      <c r="U24" s="706"/>
      <c r="V24" s="705"/>
      <c r="W24" s="706"/>
      <c r="X24" s="1355"/>
      <c r="Y24" s="3753"/>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53"/>
      <c r="Q26" s="1352"/>
      <c r="R26" s="705"/>
      <c r="S26" s="706"/>
      <c r="T26" s="705"/>
      <c r="U26" s="706"/>
      <c r="V26" s="705"/>
      <c r="W26" s="706"/>
      <c r="X26" s="1355"/>
      <c r="Y26" s="3753"/>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53"/>
      <c r="Q28" s="1343"/>
      <c r="R28" s="701"/>
      <c r="S28" s="702"/>
      <c r="T28" s="701"/>
      <c r="U28" s="702"/>
      <c r="V28" s="701"/>
      <c r="W28" s="702"/>
      <c r="X28" s="703"/>
      <c r="Y28" s="375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53"/>
      <c r="Q30" s="1343"/>
      <c r="R30" s="701"/>
      <c r="S30" s="702"/>
      <c r="T30" s="701"/>
      <c r="U30" s="702"/>
      <c r="V30" s="701"/>
      <c r="W30" s="702"/>
      <c r="X30" s="703"/>
      <c r="Y30" s="375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53"/>
      <c r="Q33" s="1352"/>
      <c r="R33" s="705"/>
      <c r="S33" s="706"/>
      <c r="T33" s="705"/>
      <c r="U33" s="706"/>
      <c r="V33" s="705"/>
      <c r="W33" s="706"/>
      <c r="X33" s="1355"/>
      <c r="Y33" s="375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55" t="s">
        <v>1695</v>
      </c>
      <c r="Q36" s="1352">
        <f t="shared" si="8"/>
        <v>111</v>
      </c>
      <c r="R36" s="705" t="s">
        <v>14</v>
      </c>
      <c r="S36" s="706">
        <f t="shared" si="10"/>
        <v>100</v>
      </c>
      <c r="T36" s="705" t="s">
        <v>14</v>
      </c>
      <c r="U36" s="706">
        <f t="shared" si="11"/>
        <v>100</v>
      </c>
      <c r="V36" s="705" t="s">
        <v>14</v>
      </c>
      <c r="W36" s="706">
        <f t="shared" si="12"/>
        <v>100</v>
      </c>
      <c r="X36" s="1355"/>
      <c r="Y36" s="375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7" t="s">
        <v>1695</v>
      </c>
      <c r="Q42" s="1352" t="str">
        <f t="shared" si="14"/>
        <v>工程地质条件</v>
      </c>
      <c r="R42" s="705" t="s">
        <v>14</v>
      </c>
      <c r="S42" s="706">
        <f t="shared" si="10"/>
        <v>100</v>
      </c>
      <c r="T42" s="705" t="s">
        <v>14</v>
      </c>
      <c r="U42" s="706">
        <f t="shared" si="11"/>
        <v>100</v>
      </c>
      <c r="V42" s="705" t="s">
        <v>14</v>
      </c>
      <c r="W42" s="706">
        <f t="shared" si="12"/>
        <v>100</v>
      </c>
      <c r="X42" s="1355"/>
      <c r="Y42" s="375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45" t="str">
        <f>A46</f>
        <v>成交单价</v>
      </c>
      <c r="Q46" s="3745"/>
      <c r="R46" s="3779">
        <f>E46</f>
        <v>0</v>
      </c>
      <c r="S46" s="3779"/>
      <c r="T46" s="3779">
        <f>G46</f>
        <v>0</v>
      </c>
      <c r="U46" s="3779"/>
      <c r="V46" s="3779">
        <f>I46</f>
        <v>0</v>
      </c>
      <c r="W46" s="377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45" t="str">
        <f>A47</f>
        <v>比较价值（元/平方米）</v>
      </c>
      <c r="Q47" s="3745"/>
      <c r="R47" s="3857" t="e">
        <f>ROUND(PRODUCT(R46,AA7:AA45),0)</f>
        <v>#DIV/0!</v>
      </c>
      <c r="S47" s="3857"/>
      <c r="T47" s="3857" t="e">
        <f>ROUND(PRODUCT(T46,AB7:AB45),0)</f>
        <v>#DIV/0!</v>
      </c>
      <c r="U47" s="3857"/>
      <c r="V47" s="3857" t="e">
        <f>ROUND(PRODUCT(V46,AC7:AC45),0)</f>
        <v>#DIV/0!</v>
      </c>
      <c r="W47" s="38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845" t="str">
        <f>A48</f>
        <v>估价对象XX用房的比较价值（楼面单价，元/平方米）</v>
      </c>
      <c r="Q48" s="3846"/>
      <c r="R48" s="3858" t="e">
        <f>ROUND(IF(D47="简单平均",AVERAGE(R47:W47),R47*F47+T47*H47+V47*J47),0)</f>
        <v>#DIV/0!</v>
      </c>
      <c r="S48" s="3858"/>
      <c r="T48" s="3858"/>
      <c r="U48" s="3858"/>
      <c r="V48" s="3858"/>
      <c r="W48" s="385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62" t="s">
        <v>1886</v>
      </c>
      <c r="H55" s="3859"/>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47667.279999999977</v>
      </c>
      <c r="F56" s="886" t="e">
        <f t="shared" ref="F56:F64" si="15">ROUND(B56*E56/10000,0)</f>
        <v>#DIV/0!</v>
      </c>
      <c r="G56" s="3744"/>
      <c r="H56" s="374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8191.59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55858.869999999981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5（含）-10</v>
      </c>
      <c r="I78" s="496" t="str">
        <f t="shared" si="20"/>
        <v>10（含）-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v>5</v>
      </c>
      <c r="I79" s="498">
        <v>10</v>
      </c>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2" t="s">
        <v>1769</v>
      </c>
      <c r="D4" s="3763"/>
      <c r="E4" s="3764" t="s">
        <v>1770</v>
      </c>
      <c r="F4" s="3765"/>
      <c r="G4" s="3762" t="s">
        <v>1771</v>
      </c>
      <c r="H4" s="3763"/>
      <c r="I4" s="3762" t="s">
        <v>1772</v>
      </c>
      <c r="J4" s="3763"/>
      <c r="K4" s="559" t="s">
        <v>1773</v>
      </c>
      <c r="L4" s="2713"/>
      <c r="M4" s="2714"/>
      <c r="N4" s="2714"/>
      <c r="O4" s="2714"/>
      <c r="P4" s="3849" t="s">
        <v>1774</v>
      </c>
      <c r="Q4" s="3850"/>
      <c r="R4" s="3853" t="s">
        <v>1770</v>
      </c>
      <c r="S4" s="3854"/>
      <c r="T4" s="3853" t="s">
        <v>1771</v>
      </c>
      <c r="U4" s="3854"/>
      <c r="V4" s="3779" t="s">
        <v>1772</v>
      </c>
      <c r="W4" s="3779"/>
      <c r="X4" s="1355"/>
      <c r="Y4" s="3853" t="s">
        <v>1774</v>
      </c>
      <c r="Z4" s="3854"/>
      <c r="AA4" s="3848" t="s">
        <v>1770</v>
      </c>
      <c r="AB4" s="3791" t="s">
        <v>1771</v>
      </c>
      <c r="AC4" s="3848" t="s">
        <v>1772</v>
      </c>
    </row>
    <row r="5" spans="1:29" ht="15">
      <c r="A5" s="358"/>
      <c r="B5" s="359"/>
      <c r="C5" s="3782" t="s">
        <v>1672</v>
      </c>
      <c r="D5" s="3783"/>
      <c r="E5" s="3793" t="s">
        <v>1673</v>
      </c>
      <c r="F5" s="3794"/>
      <c r="G5" s="3782" t="s">
        <v>1674</v>
      </c>
      <c r="H5" s="3783"/>
      <c r="I5" s="3782" t="s">
        <v>1675</v>
      </c>
      <c r="J5" s="3783"/>
      <c r="K5" s="559"/>
      <c r="L5" s="2713"/>
      <c r="M5" s="2714"/>
      <c r="N5" s="2714"/>
      <c r="O5" s="2714"/>
      <c r="P5" s="3851"/>
      <c r="Q5" s="3769"/>
      <c r="R5" s="3774"/>
      <c r="S5" s="3775"/>
      <c r="T5" s="3774"/>
      <c r="U5" s="3775"/>
      <c r="V5" s="3779"/>
      <c r="W5" s="3779"/>
      <c r="X5" s="1355"/>
      <c r="Y5" s="3774"/>
      <c r="Z5" s="3775"/>
      <c r="AA5" s="3791"/>
      <c r="AB5" s="3791"/>
      <c r="AC5" s="3791"/>
    </row>
    <row r="6" spans="1:29" ht="15.75" thickBot="1">
      <c r="A6" s="360"/>
      <c r="B6" s="361"/>
      <c r="C6" s="3860" t="s">
        <v>1918</v>
      </c>
      <c r="D6" s="3861"/>
      <c r="E6" s="3862" t="s">
        <v>1918</v>
      </c>
      <c r="F6" s="3863"/>
      <c r="G6" s="3860" t="s">
        <v>1918</v>
      </c>
      <c r="H6" s="3861"/>
      <c r="I6" s="3860" t="s">
        <v>1918</v>
      </c>
      <c r="J6" s="3861"/>
      <c r="K6" s="559" t="s">
        <v>1677</v>
      </c>
      <c r="L6" s="2713"/>
      <c r="M6" s="2714"/>
      <c r="N6" s="2714"/>
      <c r="O6" s="2714"/>
      <c r="P6" s="3852"/>
      <c r="Q6" s="3771"/>
      <c r="R6" s="3774"/>
      <c r="S6" s="3775"/>
      <c r="T6" s="3776"/>
      <c r="U6" s="3777"/>
      <c r="V6" s="3779"/>
      <c r="W6" s="3779"/>
      <c r="X6" s="1355"/>
      <c r="Y6" s="3776"/>
      <c r="Z6" s="3777"/>
      <c r="AA6" s="3792"/>
      <c r="AB6" s="3792"/>
      <c r="AC6" s="3792"/>
    </row>
    <row r="7" spans="1:29" s="108" customFormat="1" ht="15.75" thickBot="1">
      <c r="A7" s="362" t="s">
        <v>1678</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86" t="s">
        <v>1679</v>
      </c>
      <c r="Q7" s="3787"/>
      <c r="R7" s="701" t="s">
        <v>14</v>
      </c>
      <c r="S7" s="702">
        <f t="shared" ref="S7:S15" si="0">F7</f>
        <v>0</v>
      </c>
      <c r="T7" s="701" t="s">
        <v>14</v>
      </c>
      <c r="U7" s="702">
        <f t="shared" ref="U7:U15" si="1">H7</f>
        <v>0</v>
      </c>
      <c r="V7" s="701" t="s">
        <v>14</v>
      </c>
      <c r="W7" s="702">
        <f t="shared" ref="W7:W15" si="2">J7</f>
        <v>0</v>
      </c>
      <c r="X7" s="703"/>
      <c r="Y7" s="3786" t="s">
        <v>1679</v>
      </c>
      <c r="Z7" s="378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86" t="s">
        <v>1682</v>
      </c>
      <c r="Q8" s="3785"/>
      <c r="R8" s="701" t="s">
        <v>14</v>
      </c>
      <c r="S8" s="702">
        <f t="shared" si="0"/>
        <v>0</v>
      </c>
      <c r="T8" s="701" t="s">
        <v>14</v>
      </c>
      <c r="U8" s="702">
        <f t="shared" si="1"/>
        <v>0</v>
      </c>
      <c r="V8" s="701" t="s">
        <v>14</v>
      </c>
      <c r="W8" s="702">
        <f t="shared" si="2"/>
        <v>0</v>
      </c>
      <c r="X8" s="703"/>
      <c r="Y8" s="3786" t="s">
        <v>1682</v>
      </c>
      <c r="Z8" s="378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45" t="s">
        <v>1685</v>
      </c>
      <c r="Q9" s="1343"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45"/>
      <c r="Q10" s="1343" t="str">
        <f t="shared" si="6"/>
        <v>土地使用年限（年）</v>
      </c>
      <c r="R10" s="701" t="s">
        <v>14</v>
      </c>
      <c r="S10" s="702">
        <f t="shared" si="0"/>
        <v>112</v>
      </c>
      <c r="T10" s="701" t="s">
        <v>14</v>
      </c>
      <c r="U10" s="702">
        <f t="shared" si="1"/>
        <v>112</v>
      </c>
      <c r="V10" s="701" t="s">
        <v>14</v>
      </c>
      <c r="W10" s="702">
        <f t="shared" si="2"/>
        <v>112</v>
      </c>
      <c r="X10" s="703"/>
      <c r="Y10" s="3651"/>
      <c r="Z10" s="52" t="str">
        <f t="shared" si="7"/>
        <v>土地使用年限（年）</v>
      </c>
      <c r="AA10" s="704">
        <f t="shared" si="3"/>
        <v>0.8928571428571429</v>
      </c>
      <c r="AB10" s="704">
        <f t="shared" si="4"/>
        <v>0.8928571428571429</v>
      </c>
      <c r="AC10" s="704">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52" t="s">
        <v>1690</v>
      </c>
      <c r="Q15" s="1352" t="str">
        <f t="shared" si="6"/>
        <v>产业集聚程度</v>
      </c>
      <c r="R15" s="705" t="s">
        <v>14</v>
      </c>
      <c r="S15" s="706">
        <f t="shared" si="0"/>
        <v>100</v>
      </c>
      <c r="T15" s="705" t="s">
        <v>14</v>
      </c>
      <c r="U15" s="706">
        <f t="shared" si="1"/>
        <v>100</v>
      </c>
      <c r="V15" s="705" t="s">
        <v>14</v>
      </c>
      <c r="W15" s="706">
        <f t="shared" si="2"/>
        <v>100</v>
      </c>
      <c r="X15" s="1355"/>
      <c r="Y15" s="375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53"/>
      <c r="Q16" s="1352"/>
      <c r="R16" s="705"/>
      <c r="S16" s="706"/>
      <c r="T16" s="705"/>
      <c r="U16" s="706"/>
      <c r="V16" s="705"/>
      <c r="W16" s="706"/>
      <c r="X16" s="1355"/>
      <c r="Y16" s="375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53"/>
      <c r="Q18" s="1352"/>
      <c r="R18" s="705"/>
      <c r="S18" s="706"/>
      <c r="T18" s="705"/>
      <c r="U18" s="706"/>
      <c r="V18" s="705"/>
      <c r="W18" s="706"/>
      <c r="X18" s="1355"/>
      <c r="Y18" s="375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53"/>
      <c r="Q20" s="1352"/>
      <c r="R20" s="705"/>
      <c r="S20" s="706"/>
      <c r="T20" s="705"/>
      <c r="U20" s="706"/>
      <c r="V20" s="705"/>
      <c r="W20" s="706"/>
      <c r="X20" s="1355"/>
      <c r="Y20" s="375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53"/>
      <c r="Q22" s="1352"/>
      <c r="R22" s="705"/>
      <c r="S22" s="706"/>
      <c r="T22" s="705"/>
      <c r="U22" s="706"/>
      <c r="V22" s="705"/>
      <c r="W22" s="706"/>
      <c r="X22" s="1355"/>
      <c r="Y22" s="375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53"/>
      <c r="Q24" s="1343"/>
      <c r="R24" s="701"/>
      <c r="S24" s="702"/>
      <c r="T24" s="701"/>
      <c r="U24" s="702"/>
      <c r="V24" s="701"/>
      <c r="W24" s="702"/>
      <c r="X24" s="703"/>
      <c r="Y24" s="375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53"/>
      <c r="Q26" s="1343"/>
      <c r="R26" s="701"/>
      <c r="S26" s="702"/>
      <c r="T26" s="701"/>
      <c r="U26" s="702"/>
      <c r="V26" s="701"/>
      <c r="W26" s="702"/>
      <c r="X26" s="703"/>
      <c r="Y26" s="375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53"/>
      <c r="Q29" s="1352"/>
      <c r="R29" s="705"/>
      <c r="S29" s="706"/>
      <c r="T29" s="705"/>
      <c r="U29" s="706"/>
      <c r="V29" s="705"/>
      <c r="W29" s="706"/>
      <c r="X29" s="1355"/>
      <c r="Y29" s="375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55" t="s">
        <v>1695</v>
      </c>
      <c r="Q32" s="1352">
        <f t="shared" si="8"/>
        <v>111</v>
      </c>
      <c r="R32" s="705" t="s">
        <v>14</v>
      </c>
      <c r="S32" s="706">
        <f t="shared" si="10"/>
        <v>100</v>
      </c>
      <c r="T32" s="705" t="s">
        <v>14</v>
      </c>
      <c r="U32" s="706">
        <f t="shared" si="11"/>
        <v>100</v>
      </c>
      <c r="V32" s="705" t="s">
        <v>14</v>
      </c>
      <c r="W32" s="706">
        <f t="shared" si="12"/>
        <v>100</v>
      </c>
      <c r="X32" s="1355"/>
      <c r="Y32" s="375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7" t="s">
        <v>1695</v>
      </c>
      <c r="Q37" s="1352" t="str">
        <f t="shared" si="14"/>
        <v>工程地质条件</v>
      </c>
      <c r="R37" s="705" t="s">
        <v>14</v>
      </c>
      <c r="S37" s="706">
        <f t="shared" si="10"/>
        <v>100</v>
      </c>
      <c r="T37" s="705" t="s">
        <v>14</v>
      </c>
      <c r="U37" s="706">
        <f t="shared" si="11"/>
        <v>100</v>
      </c>
      <c r="V37" s="705" t="s">
        <v>14</v>
      </c>
      <c r="W37" s="706">
        <f t="shared" si="12"/>
        <v>100</v>
      </c>
      <c r="X37" s="1355"/>
      <c r="Y37" s="375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45" t="str">
        <f>A41</f>
        <v>成交单价</v>
      </c>
      <c r="Q41" s="3745"/>
      <c r="R41" s="3779">
        <f>E41</f>
        <v>0</v>
      </c>
      <c r="S41" s="3779"/>
      <c r="T41" s="3779">
        <f>G41</f>
        <v>0</v>
      </c>
      <c r="U41" s="3779"/>
      <c r="V41" s="3779">
        <f>I41</f>
        <v>0</v>
      </c>
      <c r="W41" s="377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45" t="str">
        <f>A42</f>
        <v>比较价值（元/平方米）</v>
      </c>
      <c r="Q42" s="3745"/>
      <c r="R42" s="3857" t="e">
        <f>ROUND(PRODUCT(R41,AA7:AA40),0)</f>
        <v>#DIV/0!</v>
      </c>
      <c r="S42" s="3857"/>
      <c r="T42" s="3857" t="e">
        <f>ROUND(PRODUCT(T41,AB7:AB40),0)</f>
        <v>#DIV/0!</v>
      </c>
      <c r="U42" s="3857"/>
      <c r="V42" s="3857" t="e">
        <f>ROUND(PRODUCT(V41,AC7:AC40),0)</f>
        <v>#DIV/0!</v>
      </c>
      <c r="W42" s="38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845" t="str">
        <f>A43</f>
        <v>估价对象XX用房的比较价值（楼面单价，元/平方米）</v>
      </c>
      <c r="Q43" s="3846"/>
      <c r="R43" s="3858" t="e">
        <f>ROUND(IF(D42="简单平均",AVERAGE(R42:W42),R42*F42+T42*H42+V42*J42),0)</f>
        <v>#DIV/0!</v>
      </c>
      <c r="S43" s="3858"/>
      <c r="T43" s="3858"/>
      <c r="U43" s="3858"/>
      <c r="V43" s="3858"/>
      <c r="W43" s="385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62" t="s">
        <v>1886</v>
      </c>
      <c r="H50" s="3859"/>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47667.279999999977</v>
      </c>
      <c r="F51" s="639" t="e">
        <f t="shared" ref="F51:F60" si="15">ROUND(B51*E51/10000,0)</f>
        <v>#DIV/0!</v>
      </c>
      <c r="G51" s="3744"/>
      <c r="H51" s="374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8191.59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67" t="s">
        <v>2083</v>
      </c>
      <c r="D1" s="3868"/>
      <c r="E1" s="3868"/>
      <c r="F1" s="3868"/>
      <c r="G1" s="3868"/>
      <c r="H1" s="3868"/>
      <c r="I1" s="3868"/>
      <c r="J1" s="3868"/>
      <c r="K1" s="3868"/>
      <c r="L1" s="3868"/>
      <c r="M1" s="3868"/>
      <c r="N1" s="3868"/>
      <c r="O1" s="3868"/>
      <c r="P1" s="3868"/>
      <c r="Q1" s="3868"/>
      <c r="R1" s="3868"/>
      <c r="S1" s="386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64" t="s">
        <v>27</v>
      </c>
      <c r="D22" s="3865"/>
      <c r="E22" s="3865"/>
      <c r="F22" s="3865"/>
      <c r="G22" s="3865"/>
      <c r="H22" s="3865"/>
      <c r="I22" s="3865"/>
      <c r="J22" s="3865"/>
      <c r="K22" s="3865"/>
      <c r="L22" s="3865"/>
      <c r="M22" s="3865"/>
      <c r="N22" s="3865"/>
      <c r="O22" s="3865"/>
      <c r="P22" s="3865"/>
      <c r="Q22" s="386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v>
      </c>
      <c r="B3" s="3566"/>
      <c r="C3" s="3566"/>
      <c r="D3" s="3566"/>
      <c r="E3" s="3566"/>
    </row>
    <row r="4" spans="1:5" ht="19.5" thickBot="1">
      <c r="A4" s="1493"/>
      <c r="B4" s="3564" t="s">
        <v>917</v>
      </c>
      <c r="C4" s="3564"/>
      <c r="D4" s="3564"/>
      <c r="E4" s="1493"/>
    </row>
    <row r="5" spans="1:5" ht="16.5" thickTop="1">
      <c r="A5" s="1491"/>
      <c r="B5" s="3562" t="s">
        <v>909</v>
      </c>
      <c r="C5" s="1494" t="s">
        <v>910</v>
      </c>
      <c r="D5" s="850">
        <f ca="1">结果表!H101</f>
        <v>180489</v>
      </c>
      <c r="E5" s="1491"/>
    </row>
    <row r="6" spans="1:5" ht="15.75">
      <c r="A6" s="1491"/>
      <c r="B6" s="3562"/>
      <c r="C6" s="1494" t="s">
        <v>911</v>
      </c>
      <c r="D6" s="850" t="str">
        <f ca="1">NUMBERSTRING(INT(D5*10000),2)&amp;"元整"</f>
        <v>壹拾捌亿零肆佰捌拾玖万元整</v>
      </c>
      <c r="E6" s="1491"/>
    </row>
    <row r="7" spans="1:5" ht="15.75">
      <c r="A7" s="1491"/>
      <c r="B7" s="3567"/>
      <c r="C7" s="1495" t="s">
        <v>912</v>
      </c>
      <c r="D7" s="851">
        <f ca="1">结果表!H102</f>
        <v>32312</v>
      </c>
      <c r="E7" s="1491"/>
    </row>
    <row r="8" spans="1:5" ht="15.75">
      <c r="A8" s="1491"/>
      <c r="B8" s="3568" t="str">
        <f>结果表!E103</f>
        <v>2.估价师知悉的法定优先受偿款</v>
      </c>
      <c r="C8" s="1496" t="s">
        <v>913</v>
      </c>
      <c r="D8" s="851">
        <f>结果表!H103</f>
        <v>0</v>
      </c>
      <c r="E8" s="1491"/>
    </row>
    <row r="9" spans="1:5" ht="15.75">
      <c r="A9" s="1491"/>
      <c r="B9" s="35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61" t="str">
        <f>结果表!E107</f>
        <v>3.房地产抵押价值</v>
      </c>
      <c r="C13" s="1499" t="s">
        <v>910</v>
      </c>
      <c r="D13" s="853">
        <f ca="1">结果表!H107</f>
        <v>180489</v>
      </c>
      <c r="E13" s="1491"/>
    </row>
    <row r="14" spans="1:5" ht="15.75">
      <c r="A14" s="1491"/>
      <c r="B14" s="3562"/>
      <c r="C14" s="1494" t="s">
        <v>911</v>
      </c>
      <c r="D14" s="850" t="str">
        <f ca="1">NUMBERSTRING(INT(D13*10000),2)&amp;"元整"</f>
        <v>壹拾捌亿零肆佰捌拾玖万元整</v>
      </c>
      <c r="E14" s="1491"/>
    </row>
    <row r="15" spans="1:5" ht="15">
      <c r="A15" s="1491"/>
      <c r="B15" s="3567"/>
      <c r="C15" s="1495" t="s">
        <v>921</v>
      </c>
      <c r="D15" s="859">
        <f ca="1">结果表!H108</f>
        <v>32312</v>
      </c>
      <c r="E15" s="1491"/>
    </row>
    <row r="16" spans="1:5" ht="15">
      <c r="A16" s="1491"/>
      <c r="B16" s="3568" t="str">
        <f>结果表!E109</f>
        <v>——</v>
      </c>
      <c r="C16" s="1499" t="s">
        <v>922</v>
      </c>
      <c r="D16" s="1500" t="str">
        <f>结果表!H109</f>
        <v>——</v>
      </c>
      <c r="E16" s="1491"/>
    </row>
    <row r="17" spans="1:5" ht="15.75">
      <c r="A17" s="1491"/>
      <c r="B17" s="3569"/>
      <c r="C17" s="1494" t="s">
        <v>923</v>
      </c>
      <c r="D17" s="850" t="e">
        <f>NUMBERSTRING(INT(D16*10000),2)&amp;"元整"</f>
        <v>#VALUE!</v>
      </c>
      <c r="E17" s="1491"/>
    </row>
    <row r="18" spans="1:5" ht="15">
      <c r="A18" s="1491"/>
      <c r="B18" s="3570"/>
      <c r="C18" s="1495" t="s">
        <v>912</v>
      </c>
      <c r="D18" s="859" t="str">
        <f>结果表!H110</f>
        <v>——</v>
      </c>
      <c r="E18" s="1491"/>
    </row>
    <row r="19" spans="1:5" ht="15.75">
      <c r="A19" s="1491"/>
      <c r="B19" s="3561" t="str">
        <f>结果表!E111</f>
        <v>——</v>
      </c>
      <c r="C19" s="1499" t="s">
        <v>910</v>
      </c>
      <c r="D19" s="851" t="str">
        <f>结果表!H111</f>
        <v>——</v>
      </c>
      <c r="E19" s="1491"/>
    </row>
    <row r="20" spans="1:5" ht="15.75">
      <c r="A20" s="1491"/>
      <c r="B20" s="3562"/>
      <c r="C20" s="1494" t="s">
        <v>923</v>
      </c>
      <c r="D20" s="850" t="e">
        <f>NUMBERSTRING(INT(D19*10000),2)&amp;"元整"</f>
        <v>#VALUE!</v>
      </c>
      <c r="E20" s="1491"/>
    </row>
    <row r="21" spans="1:5" ht="15.75" thickBot="1">
      <c r="A21" s="1491"/>
      <c r="B21" s="35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t="e">
        <f ca="1">SUMIF(B6:B13,"&lt;&gt;#ref!",B6:B13)</f>
        <v>#DIV/0!</v>
      </c>
      <c r="C2" s="2145" t="s">
        <v>2073</v>
      </c>
      <c r="D2" s="2145" t="s">
        <v>2074</v>
      </c>
      <c r="E2" s="2610">
        <f ca="1">SUMIF(E6:E13,"&lt;&gt;#ref!",E6:E13)</f>
        <v>55858.869999999981</v>
      </c>
      <c r="F2" s="2791"/>
      <c r="G2" s="2791"/>
      <c r="H2" s="2791"/>
      <c r="I2" s="2791"/>
      <c r="J2" s="2791"/>
      <c r="K2" s="2791"/>
      <c r="L2" s="2791"/>
      <c r="M2" s="2791"/>
      <c r="N2" s="2791"/>
      <c r="O2" s="2791"/>
      <c r="P2" s="2791"/>
    </row>
    <row r="3" spans="1:16" ht="15.75">
      <c r="A3" s="2145" t="s">
        <v>2075</v>
      </c>
      <c r="B3" s="2600"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t="e">
        <f ca="1">SUMIF(INDIRECT("'"&amp;A6&amp;"'"&amp;"!A:A"),"总价",INDIRECT("'"&amp;A6&amp;"'"&amp;"!B:B"))</f>
        <v>#DIV/0!</v>
      </c>
      <c r="C6" s="2145" t="s">
        <v>2073</v>
      </c>
      <c r="D6" s="2791"/>
      <c r="E6" s="2610">
        <f ca="1">SUMIF(INDIRECT("'"&amp;A6&amp;"'"&amp;"!C:C"),"建筑面积",INDIRECT("'"&amp;A6&amp;"'"&amp;"!D:D"))</f>
        <v>55858.869999999981</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2590</v>
      </c>
      <c r="B1" s="3070" t="s">
        <v>2591</v>
      </c>
      <c r="C1" s="3070" t="s">
        <v>2592</v>
      </c>
      <c r="D1" s="3070" t="s">
        <v>2593</v>
      </c>
      <c r="E1" s="3070" t="s">
        <v>2594</v>
      </c>
      <c r="F1" s="3070" t="s">
        <v>2595</v>
      </c>
      <c r="G1" s="3070" t="s">
        <v>2596</v>
      </c>
      <c r="H1" s="3070" t="s">
        <v>2597</v>
      </c>
      <c r="I1" s="3070" t="s">
        <v>2598</v>
      </c>
      <c r="J1" s="3070" t="s">
        <v>2599</v>
      </c>
      <c r="K1" s="3070" t="s">
        <v>2600</v>
      </c>
      <c r="L1" s="3070" t="s">
        <v>2601</v>
      </c>
      <c r="M1" s="3071" t="s">
        <v>2602</v>
      </c>
    </row>
    <row r="2" spans="1:13" ht="19.5" customHeight="1">
      <c r="A2" s="3073" t="s">
        <v>2603</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2604</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2605</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2606</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2607</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2608</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2609</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2610</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2611</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2612</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2613</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2614</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2615</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2616</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2617</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2618</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2619</v>
      </c>
      <c r="B18" s="3095"/>
      <c r="C18" s="3096"/>
      <c r="D18" s="3096"/>
      <c r="E18" s="3095"/>
      <c r="F18" s="3096"/>
      <c r="G18" s="3096"/>
    </row>
    <row r="19" spans="1:13" ht="19.5" customHeight="1" thickBot="1">
      <c r="A19" s="3093" t="s">
        <v>2620</v>
      </c>
      <c r="B19" s="3098" t="s">
        <v>2621</v>
      </c>
      <c r="C19" s="3098" t="s">
        <v>2622</v>
      </c>
      <c r="D19" s="3099"/>
      <c r="E19" s="3093" t="s">
        <v>2623</v>
      </c>
      <c r="F19" s="3100"/>
      <c r="G19" s="3100"/>
    </row>
    <row r="20" spans="1:13" ht="19.5" customHeight="1">
      <c r="A20" s="3879" t="s">
        <v>2603</v>
      </c>
      <c r="B20" s="3874" t="s">
        <v>2624</v>
      </c>
      <c r="C20" s="3101" t="s">
        <v>2435</v>
      </c>
      <c r="D20" s="3102"/>
      <c r="E20" s="3103">
        <v>1</v>
      </c>
      <c r="F20" s="3104" t="s">
        <v>2436</v>
      </c>
      <c r="G20" s="3104"/>
    </row>
    <row r="21" spans="1:13" ht="19.5" customHeight="1">
      <c r="A21" s="3880"/>
      <c r="B21" s="3873"/>
      <c r="C21" s="3105" t="s">
        <v>2437</v>
      </c>
      <c r="D21" s="3106"/>
      <c r="E21" s="3107">
        <v>1</v>
      </c>
      <c r="F21" s="3104" t="s">
        <v>2438</v>
      </c>
      <c r="G21" s="3104"/>
    </row>
    <row r="22" spans="1:13" ht="19.5" customHeight="1">
      <c r="A22" s="3880"/>
      <c r="B22" s="3873"/>
      <c r="C22" s="3105" t="s">
        <v>2439</v>
      </c>
      <c r="D22" s="3106"/>
      <c r="E22" s="3107">
        <v>0.9</v>
      </c>
      <c r="F22" s="3104" t="s">
        <v>2440</v>
      </c>
      <c r="G22" s="3104"/>
    </row>
    <row r="23" spans="1:13" ht="19.5" customHeight="1">
      <c r="A23" s="3880"/>
      <c r="B23" s="3873"/>
      <c r="C23" s="3105" t="s">
        <v>2441</v>
      </c>
      <c r="D23" s="3106"/>
      <c r="E23" s="3107">
        <v>0.9</v>
      </c>
      <c r="F23" s="3104" t="s">
        <v>2442</v>
      </c>
      <c r="G23" s="3104"/>
    </row>
    <row r="24" spans="1:13" ht="19.5" customHeight="1">
      <c r="A24" s="3880"/>
      <c r="B24" s="3873"/>
      <c r="C24" s="3105" t="s">
        <v>2443</v>
      </c>
      <c r="D24" s="3106"/>
      <c r="E24" s="3107">
        <v>0.8</v>
      </c>
      <c r="F24" s="3104" t="s">
        <v>2444</v>
      </c>
      <c r="G24" s="3104"/>
    </row>
    <row r="25" spans="1:13" ht="19.5" customHeight="1" thickBot="1">
      <c r="A25" s="3881"/>
      <c r="B25" s="3875"/>
      <c r="C25" s="3108" t="s">
        <v>2445</v>
      </c>
      <c r="D25" s="3109"/>
      <c r="E25" s="3110">
        <v>0.8</v>
      </c>
      <c r="F25" s="3104" t="s">
        <v>2446</v>
      </c>
      <c r="G25" s="3104"/>
    </row>
    <row r="26" spans="1:13" ht="19.5" customHeight="1" thickBot="1">
      <c r="A26" s="3111" t="s">
        <v>2625</v>
      </c>
      <c r="B26" s="3112" t="s">
        <v>2624</v>
      </c>
      <c r="C26" s="3113" t="s">
        <v>2626</v>
      </c>
      <c r="D26" s="3114"/>
      <c r="E26" s="3115">
        <v>1</v>
      </c>
      <c r="F26" s="3104" t="s">
        <v>2447</v>
      </c>
      <c r="G26" s="3104"/>
    </row>
    <row r="27" spans="1:13" ht="19.5" customHeight="1">
      <c r="A27" s="3876" t="s">
        <v>2627</v>
      </c>
      <c r="B27" s="3874" t="s">
        <v>2608</v>
      </c>
      <c r="C27" s="3101" t="s">
        <v>2448</v>
      </c>
      <c r="D27" s="3102"/>
      <c r="E27" s="3103">
        <v>1</v>
      </c>
      <c r="F27" s="3104" t="s">
        <v>2449</v>
      </c>
      <c r="G27" s="3104"/>
    </row>
    <row r="28" spans="1:13" ht="19.5" customHeight="1">
      <c r="A28" s="3877"/>
      <c r="B28" s="3873"/>
      <c r="C28" s="3105" t="s">
        <v>2450</v>
      </c>
      <c r="D28" s="3106"/>
      <c r="E28" s="3107">
        <v>1</v>
      </c>
      <c r="F28" s="3104" t="s">
        <v>2451</v>
      </c>
      <c r="G28" s="3104"/>
    </row>
    <row r="29" spans="1:13" ht="19.5" customHeight="1">
      <c r="A29" s="3877"/>
      <c r="B29" s="3873"/>
      <c r="C29" s="3105" t="s">
        <v>2452</v>
      </c>
      <c r="D29" s="3106"/>
      <c r="E29" s="3107">
        <v>0.8</v>
      </c>
      <c r="F29" s="3104" t="s">
        <v>2453</v>
      </c>
      <c r="G29" s="3104"/>
    </row>
    <row r="30" spans="1:13" ht="19.5" customHeight="1">
      <c r="A30" s="3877"/>
      <c r="B30" s="3873"/>
      <c r="C30" s="3105" t="s">
        <v>2454</v>
      </c>
      <c r="D30" s="3106"/>
      <c r="E30" s="3107">
        <v>0.8</v>
      </c>
      <c r="F30" s="3104" t="s">
        <v>2455</v>
      </c>
      <c r="G30" s="3104"/>
    </row>
    <row r="31" spans="1:13" ht="19.5" customHeight="1">
      <c r="A31" s="3877"/>
      <c r="B31" s="3873"/>
      <c r="C31" s="3105" t="s">
        <v>2456</v>
      </c>
      <c r="D31" s="3106"/>
      <c r="E31" s="3107">
        <v>0.8</v>
      </c>
      <c r="F31" s="3104" t="s">
        <v>2457</v>
      </c>
      <c r="G31" s="3104"/>
    </row>
    <row r="32" spans="1:13" ht="19.5" customHeight="1">
      <c r="A32" s="3877"/>
      <c r="B32" s="3873"/>
      <c r="C32" s="3105" t="s">
        <v>2458</v>
      </c>
      <c r="D32" s="3106"/>
      <c r="E32" s="3107">
        <v>0.7</v>
      </c>
      <c r="F32" s="3104" t="s">
        <v>2459</v>
      </c>
      <c r="G32" s="3104"/>
    </row>
    <row r="33" spans="1:7" ht="19.5" customHeight="1">
      <c r="A33" s="3877"/>
      <c r="B33" s="3873"/>
      <c r="C33" s="3105" t="s">
        <v>2460</v>
      </c>
      <c r="D33" s="3106"/>
      <c r="E33" s="3107">
        <v>0.8</v>
      </c>
      <c r="F33" s="3104" t="s">
        <v>2461</v>
      </c>
      <c r="G33" s="3104"/>
    </row>
    <row r="34" spans="1:7" ht="19.5" customHeight="1">
      <c r="A34" s="3877"/>
      <c r="B34" s="3873"/>
      <c r="C34" s="3105" t="s">
        <v>2462</v>
      </c>
      <c r="D34" s="3106"/>
      <c r="E34" s="3107">
        <v>0.6</v>
      </c>
      <c r="F34" s="3104" t="s">
        <v>2463</v>
      </c>
      <c r="G34" s="3104"/>
    </row>
    <row r="35" spans="1:7" ht="19.5" customHeight="1">
      <c r="A35" s="3877"/>
      <c r="B35" s="3873"/>
      <c r="C35" s="3105" t="s">
        <v>2464</v>
      </c>
      <c r="D35" s="3106"/>
      <c r="E35" s="3107">
        <v>0.2</v>
      </c>
      <c r="F35" s="3104" t="s">
        <v>2465</v>
      </c>
      <c r="G35" s="3104"/>
    </row>
    <row r="36" spans="1:7" ht="19.5" customHeight="1">
      <c r="A36" s="3877"/>
      <c r="B36" s="3873"/>
      <c r="C36" s="3105" t="s">
        <v>2466</v>
      </c>
      <c r="D36" s="3106"/>
      <c r="E36" s="3107">
        <v>0.2</v>
      </c>
      <c r="F36" s="3104" t="s">
        <v>2467</v>
      </c>
      <c r="G36" s="3104"/>
    </row>
    <row r="37" spans="1:7" ht="19.5" customHeight="1">
      <c r="A37" s="3877"/>
      <c r="B37" s="3871" t="s">
        <v>2628</v>
      </c>
      <c r="C37" s="3105" t="s">
        <v>2468</v>
      </c>
      <c r="D37" s="3106"/>
      <c r="E37" s="3107">
        <v>0.6</v>
      </c>
      <c r="F37" s="3104" t="s">
        <v>2469</v>
      </c>
      <c r="G37" s="3104"/>
    </row>
    <row r="38" spans="1:7" ht="19.5" customHeight="1">
      <c r="A38" s="3877"/>
      <c r="B38" s="3873"/>
      <c r="C38" s="3105" t="s">
        <v>2470</v>
      </c>
      <c r="D38" s="3106"/>
      <c r="E38" s="3107">
        <v>0.6</v>
      </c>
      <c r="F38" s="3104" t="s">
        <v>2471</v>
      </c>
      <c r="G38" s="3104"/>
    </row>
    <row r="39" spans="1:7" ht="19.5" customHeight="1" thickBot="1">
      <c r="A39" s="3878"/>
      <c r="B39" s="3875"/>
      <c r="C39" s="3108" t="s">
        <v>2472</v>
      </c>
      <c r="D39" s="3109"/>
      <c r="E39" s="3110">
        <v>0.6</v>
      </c>
      <c r="F39" s="3104" t="s">
        <v>2473</v>
      </c>
      <c r="G39" s="3104"/>
    </row>
    <row r="40" spans="1:7" ht="19.5" customHeight="1" thickBot="1">
      <c r="A40" s="3111" t="s">
        <v>2605</v>
      </c>
      <c r="B40" s="3112" t="s">
        <v>2605</v>
      </c>
      <c r="C40" s="3113" t="s">
        <v>2629</v>
      </c>
      <c r="D40" s="3114"/>
      <c r="E40" s="3115">
        <v>1</v>
      </c>
      <c r="F40" s="3104" t="s">
        <v>2474</v>
      </c>
      <c r="G40" s="3104"/>
    </row>
    <row r="41" spans="1:7" ht="19.5" customHeight="1">
      <c r="A41" s="3879" t="s">
        <v>2606</v>
      </c>
      <c r="B41" s="3874" t="s">
        <v>2630</v>
      </c>
      <c r="C41" s="3101" t="s">
        <v>2475</v>
      </c>
      <c r="D41" s="3102"/>
      <c r="E41" s="3103">
        <v>1</v>
      </c>
      <c r="F41" s="3104" t="s">
        <v>2476</v>
      </c>
      <c r="G41" s="3104"/>
    </row>
    <row r="42" spans="1:7" ht="19.5" customHeight="1">
      <c r="A42" s="3880"/>
      <c r="B42" s="3873"/>
      <c r="C42" s="3105" t="s">
        <v>2477</v>
      </c>
      <c r="D42" s="3106"/>
      <c r="E42" s="3107">
        <v>1</v>
      </c>
      <c r="F42" s="3104" t="s">
        <v>2478</v>
      </c>
      <c r="G42" s="3104"/>
    </row>
    <row r="43" spans="1:7" ht="19.5" customHeight="1">
      <c r="A43" s="3880"/>
      <c r="B43" s="3872"/>
      <c r="C43" s="3105" t="s">
        <v>2479</v>
      </c>
      <c r="D43" s="3106"/>
      <c r="E43" s="3107">
        <v>1.5</v>
      </c>
      <c r="F43" s="3104" t="s">
        <v>2480</v>
      </c>
      <c r="G43" s="3104"/>
    </row>
    <row r="44" spans="1:7" ht="19.5" customHeight="1">
      <c r="A44" s="3880"/>
      <c r="B44" s="3116" t="s">
        <v>2631</v>
      </c>
      <c r="C44" s="3105" t="s">
        <v>2632</v>
      </c>
      <c r="D44" s="3106"/>
      <c r="E44" s="3107">
        <v>2</v>
      </c>
      <c r="F44" s="3104" t="s">
        <v>2481</v>
      </c>
      <c r="G44" s="3104"/>
    </row>
    <row r="45" spans="1:7" ht="19.5" customHeight="1">
      <c r="A45" s="3880"/>
      <c r="B45" s="3871" t="s">
        <v>2633</v>
      </c>
      <c r="C45" s="3105" t="s">
        <v>2482</v>
      </c>
      <c r="D45" s="3106"/>
      <c r="E45" s="3107">
        <v>1</v>
      </c>
      <c r="F45" s="3104" t="s">
        <v>2483</v>
      </c>
      <c r="G45" s="3104"/>
    </row>
    <row r="46" spans="1:7" ht="19.5" customHeight="1">
      <c r="A46" s="3880"/>
      <c r="B46" s="3873"/>
      <c r="C46" s="3105" t="s">
        <v>2484</v>
      </c>
      <c r="D46" s="3106"/>
      <c r="E46" s="3107">
        <v>1</v>
      </c>
      <c r="F46" s="3104" t="s">
        <v>2485</v>
      </c>
      <c r="G46" s="3104"/>
    </row>
    <row r="47" spans="1:7" ht="19.5" customHeight="1">
      <c r="A47" s="3880"/>
      <c r="B47" s="3873"/>
      <c r="C47" s="3105" t="s">
        <v>2486</v>
      </c>
      <c r="D47" s="3106"/>
      <c r="E47" s="3107">
        <v>1</v>
      </c>
      <c r="F47" s="3104" t="s">
        <v>2487</v>
      </c>
      <c r="G47" s="3104"/>
    </row>
    <row r="48" spans="1:7" ht="19.5" customHeight="1">
      <c r="A48" s="3880"/>
      <c r="B48" s="3873"/>
      <c r="C48" s="3105" t="s">
        <v>2488</v>
      </c>
      <c r="D48" s="3106"/>
      <c r="E48" s="3107">
        <v>1</v>
      </c>
      <c r="F48" s="3104" t="s">
        <v>2489</v>
      </c>
      <c r="G48" s="3104"/>
    </row>
    <row r="49" spans="1:7" ht="19.5" customHeight="1">
      <c r="A49" s="3880"/>
      <c r="B49" s="3873"/>
      <c r="C49" s="3105" t="s">
        <v>2490</v>
      </c>
      <c r="D49" s="3106"/>
      <c r="E49" s="3107">
        <v>1</v>
      </c>
      <c r="F49" s="3104" t="s">
        <v>2491</v>
      </c>
      <c r="G49" s="3104"/>
    </row>
    <row r="50" spans="1:7" ht="19.5" customHeight="1">
      <c r="A50" s="3880"/>
      <c r="B50" s="3873"/>
      <c r="C50" s="3105" t="s">
        <v>2492</v>
      </c>
      <c r="D50" s="3106"/>
      <c r="E50" s="3107">
        <v>1</v>
      </c>
      <c r="F50" s="3104" t="s">
        <v>2493</v>
      </c>
      <c r="G50" s="3104"/>
    </row>
    <row r="51" spans="1:7" ht="19.5" customHeight="1" thickBot="1">
      <c r="A51" s="3881"/>
      <c r="B51" s="3875"/>
      <c r="C51" s="3108" t="s">
        <v>2494</v>
      </c>
      <c r="D51" s="3109"/>
      <c r="E51" s="3110">
        <v>1</v>
      </c>
      <c r="F51" s="3104" t="s">
        <v>2495</v>
      </c>
      <c r="G51" s="3104"/>
    </row>
    <row r="52" spans="1:7" ht="19.5" customHeight="1">
      <c r="A52" s="3117"/>
      <c r="B52" s="3117"/>
      <c r="C52" s="3117"/>
      <c r="D52" s="3117"/>
      <c r="E52" s="3117"/>
      <c r="F52" s="3117"/>
      <c r="G52" s="3117"/>
    </row>
    <row r="54" spans="1:7" ht="19.5" customHeight="1">
      <c r="A54" s="3118"/>
      <c r="B54" s="3090" t="s">
        <v>2634</v>
      </c>
      <c r="C54" s="3090" t="s">
        <v>2634</v>
      </c>
      <c r="D54" s="3090" t="s">
        <v>2634</v>
      </c>
      <c r="E54" s="3093" t="s">
        <v>2634</v>
      </c>
      <c r="F54" s="3093" t="s">
        <v>2635</v>
      </c>
      <c r="G54" s="3093" t="s">
        <v>2636</v>
      </c>
    </row>
    <row r="55" spans="1:7" ht="19.5" customHeight="1">
      <c r="A55" s="3119"/>
      <c r="B55" s="3093" t="s">
        <v>2603</v>
      </c>
      <c r="C55" s="3093" t="s">
        <v>2603</v>
      </c>
      <c r="D55" s="3093" t="s">
        <v>2603</v>
      </c>
      <c r="E55" s="3090" t="s">
        <v>2604</v>
      </c>
      <c r="F55" s="3090" t="s">
        <v>2606</v>
      </c>
      <c r="G55" s="3090" t="s">
        <v>2637</v>
      </c>
    </row>
    <row r="56" spans="1:7" ht="19.5" customHeight="1">
      <c r="A56" s="3120"/>
      <c r="B56" s="3090">
        <v>1</v>
      </c>
      <c r="C56" s="3090">
        <v>2</v>
      </c>
      <c r="D56" s="3090">
        <v>3</v>
      </c>
      <c r="E56" s="3121" t="s">
        <v>2638</v>
      </c>
      <c r="F56" s="3121" t="s">
        <v>2638</v>
      </c>
      <c r="G56" s="3121" t="s">
        <v>2638</v>
      </c>
    </row>
    <row r="57" spans="1:7" ht="19.5" customHeight="1">
      <c r="A57" s="3122" t="s">
        <v>2591</v>
      </c>
      <c r="B57" s="3090">
        <v>0.7</v>
      </c>
      <c r="C57" s="3090">
        <v>0.4</v>
      </c>
      <c r="D57" s="3090">
        <v>0.3</v>
      </c>
      <c r="E57" s="3121">
        <v>0.3</v>
      </c>
      <c r="F57" s="3090">
        <v>0.3</v>
      </c>
      <c r="G57" s="3090">
        <v>0.2</v>
      </c>
    </row>
    <row r="58" spans="1:7" ht="19.5" customHeight="1">
      <c r="A58" s="3122" t="s">
        <v>2592</v>
      </c>
      <c r="B58" s="3090">
        <v>0.7</v>
      </c>
      <c r="C58" s="3090">
        <v>0.4</v>
      </c>
      <c r="D58" s="3090">
        <v>0.3</v>
      </c>
      <c r="E58" s="3090">
        <v>0.3</v>
      </c>
      <c r="F58" s="3090">
        <v>0.3</v>
      </c>
      <c r="G58" s="3090">
        <v>0.2</v>
      </c>
    </row>
    <row r="59" spans="1:7" ht="19.5" customHeight="1">
      <c r="A59" s="3122" t="s">
        <v>2593</v>
      </c>
      <c r="B59" s="3090">
        <v>0.6</v>
      </c>
      <c r="C59" s="3090">
        <v>0.3</v>
      </c>
      <c r="D59" s="3090">
        <v>0.25</v>
      </c>
      <c r="E59" s="3090">
        <v>0.25</v>
      </c>
      <c r="F59" s="3090">
        <v>0.25</v>
      </c>
      <c r="G59" s="3090">
        <v>0.15</v>
      </c>
    </row>
    <row r="60" spans="1:7" ht="19.5" customHeight="1">
      <c r="A60" s="3122" t="s">
        <v>2594</v>
      </c>
      <c r="B60" s="3090">
        <v>0.6</v>
      </c>
      <c r="C60" s="3090">
        <v>0.3</v>
      </c>
      <c r="D60" s="3090">
        <v>0.25</v>
      </c>
      <c r="E60" s="3090">
        <v>0.25</v>
      </c>
      <c r="F60" s="3090">
        <v>0.25</v>
      </c>
      <c r="G60" s="3090">
        <v>0.15</v>
      </c>
    </row>
    <row r="61" spans="1:7" ht="19.5" customHeight="1">
      <c r="A61" s="3122" t="s">
        <v>2595</v>
      </c>
      <c r="B61" s="3090">
        <v>0.6</v>
      </c>
      <c r="C61" s="3090">
        <v>0.3</v>
      </c>
      <c r="D61" s="3090">
        <v>0.25</v>
      </c>
      <c r="E61" s="3090">
        <v>0.25</v>
      </c>
      <c r="F61" s="3090">
        <v>0.25</v>
      </c>
      <c r="G61" s="3090">
        <v>0.15</v>
      </c>
    </row>
    <row r="62" spans="1:7" ht="19.5" customHeight="1">
      <c r="A62" s="3122" t="s">
        <v>2596</v>
      </c>
      <c r="B62" s="3090">
        <v>0.6</v>
      </c>
      <c r="C62" s="3090">
        <v>0.3</v>
      </c>
      <c r="D62" s="3090">
        <v>0.25</v>
      </c>
      <c r="E62" s="3090">
        <v>0.25</v>
      </c>
      <c r="F62" s="3090">
        <v>0.25</v>
      </c>
      <c r="G62" s="3090">
        <v>0.15</v>
      </c>
    </row>
    <row r="63" spans="1:7" ht="19.5" customHeight="1">
      <c r="A63" s="3122" t="s">
        <v>2597</v>
      </c>
      <c r="B63" s="3090">
        <v>0.6</v>
      </c>
      <c r="C63" s="3090">
        <v>0.3</v>
      </c>
      <c r="D63" s="3090">
        <v>0.25</v>
      </c>
      <c r="E63" s="3090">
        <v>0.25</v>
      </c>
      <c r="F63" s="3090">
        <v>0.25</v>
      </c>
      <c r="G63" s="3090">
        <v>0.15</v>
      </c>
    </row>
    <row r="64" spans="1:7" ht="19.5" customHeight="1">
      <c r="A64" s="3122" t="s">
        <v>2598</v>
      </c>
      <c r="B64" s="3090">
        <v>0.5</v>
      </c>
      <c r="C64" s="3090">
        <v>0.2</v>
      </c>
      <c r="D64" s="3090">
        <v>0.2</v>
      </c>
      <c r="E64" s="3090">
        <v>0.2</v>
      </c>
      <c r="F64" s="3090">
        <v>0.2</v>
      </c>
      <c r="G64" s="3090">
        <v>0.1</v>
      </c>
    </row>
    <row r="65" spans="1:7" ht="19.5" customHeight="1">
      <c r="A65" s="3122" t="s">
        <v>2599</v>
      </c>
      <c r="B65" s="3090">
        <v>0.5</v>
      </c>
      <c r="C65" s="3090">
        <v>0.2</v>
      </c>
      <c r="D65" s="3090">
        <v>0.2</v>
      </c>
      <c r="E65" s="3090">
        <v>0.2</v>
      </c>
      <c r="F65" s="3090">
        <v>0.2</v>
      </c>
      <c r="G65" s="3090">
        <v>0.1</v>
      </c>
    </row>
    <row r="66" spans="1:7" ht="19.5" customHeight="1">
      <c r="A66" s="3122" t="s">
        <v>2600</v>
      </c>
      <c r="B66" s="3090">
        <v>0.5</v>
      </c>
      <c r="C66" s="3090">
        <v>0.2</v>
      </c>
      <c r="D66" s="3090">
        <v>0.2</v>
      </c>
      <c r="E66" s="3090">
        <v>0.2</v>
      </c>
      <c r="F66" s="3090">
        <v>0.2</v>
      </c>
      <c r="G66" s="3090">
        <v>0.1</v>
      </c>
    </row>
    <row r="67" spans="1:7" ht="19.5" customHeight="1">
      <c r="A67" s="3122" t="s">
        <v>2601</v>
      </c>
      <c r="B67" s="3090">
        <v>0.5</v>
      </c>
      <c r="C67" s="3090">
        <v>0.2</v>
      </c>
      <c r="D67" s="3090">
        <v>0.2</v>
      </c>
      <c r="E67" s="3090">
        <v>0.2</v>
      </c>
      <c r="F67" s="3090">
        <v>0.2</v>
      </c>
      <c r="G67" s="3090">
        <v>0.1</v>
      </c>
    </row>
    <row r="68" spans="1:7" ht="19.5" customHeight="1">
      <c r="A68" s="3122" t="s">
        <v>2602</v>
      </c>
      <c r="B68" s="3090">
        <v>0.5</v>
      </c>
      <c r="C68" s="3090">
        <v>0.2</v>
      </c>
      <c r="D68" s="3090">
        <v>0.2</v>
      </c>
      <c r="E68" s="3090">
        <v>0.2</v>
      </c>
      <c r="F68" s="3090">
        <v>0.2</v>
      </c>
      <c r="G68" s="3090">
        <v>0.1</v>
      </c>
    </row>
    <row r="70" spans="1:7" ht="19.5" customHeight="1">
      <c r="A70" s="3123"/>
      <c r="B70" s="3124"/>
      <c r="C70" s="3124"/>
      <c r="D70" s="3124" t="s">
        <v>2639</v>
      </c>
      <c r="E70" s="3124"/>
      <c r="F70" s="3124"/>
    </row>
    <row r="71" spans="1:7" ht="19.5" customHeight="1">
      <c r="A71" s="3116" t="s">
        <v>2640</v>
      </c>
      <c r="B71" s="3116" t="s">
        <v>2641</v>
      </c>
      <c r="C71" s="3116" t="s">
        <v>2642</v>
      </c>
      <c r="D71" s="3116" t="s">
        <v>2643</v>
      </c>
      <c r="E71" s="3116" t="s">
        <v>2644</v>
      </c>
      <c r="F71" s="3116" t="s">
        <v>2645</v>
      </c>
    </row>
    <row r="72" spans="1:7" ht="13.5">
      <c r="A72" s="3116"/>
      <c r="B72" s="3116"/>
      <c r="C72" s="3116" t="s">
        <v>2646</v>
      </c>
      <c r="D72" s="3116"/>
      <c r="E72" s="3116" t="s">
        <v>2617</v>
      </c>
      <c r="F72" s="3116" t="s">
        <v>2617</v>
      </c>
    </row>
    <row r="73" spans="1:7" ht="13.5">
      <c r="A73" s="3116">
        <v>1</v>
      </c>
      <c r="B73" s="3871" t="s">
        <v>2647</v>
      </c>
      <c r="C73" s="3090" t="s">
        <v>2648</v>
      </c>
      <c r="D73" s="3090" t="s">
        <v>2649</v>
      </c>
      <c r="E73" s="3116">
        <v>0.2</v>
      </c>
      <c r="F73" s="3116">
        <v>25</v>
      </c>
    </row>
    <row r="74" spans="1:7" ht="24">
      <c r="A74" s="3116">
        <v>2</v>
      </c>
      <c r="B74" s="3873"/>
      <c r="C74" s="3090" t="s">
        <v>2650</v>
      </c>
      <c r="D74" s="3090" t="s">
        <v>2651</v>
      </c>
      <c r="E74" s="3116">
        <v>0.2</v>
      </c>
      <c r="F74" s="3116">
        <v>25</v>
      </c>
    </row>
    <row r="75" spans="1:7" ht="24">
      <c r="A75" s="3116">
        <v>3</v>
      </c>
      <c r="B75" s="3873"/>
      <c r="C75" s="3090" t="s">
        <v>2652</v>
      </c>
      <c r="D75" s="3090" t="s">
        <v>2653</v>
      </c>
      <c r="E75" s="3116">
        <v>0.2</v>
      </c>
      <c r="F75" s="3116">
        <v>25</v>
      </c>
    </row>
    <row r="76" spans="1:7" ht="13.5">
      <c r="A76" s="3116">
        <v>4</v>
      </c>
      <c r="B76" s="3873"/>
      <c r="C76" s="3090" t="s">
        <v>2654</v>
      </c>
      <c r="D76" s="3090" t="s">
        <v>2655</v>
      </c>
      <c r="E76" s="3116">
        <v>0.15</v>
      </c>
      <c r="F76" s="3116">
        <v>20</v>
      </c>
    </row>
    <row r="77" spans="1:7" ht="24">
      <c r="A77" s="3116">
        <v>5</v>
      </c>
      <c r="B77" s="3873"/>
      <c r="C77" s="3090" t="s">
        <v>2656</v>
      </c>
      <c r="D77" s="3090" t="s">
        <v>2657</v>
      </c>
      <c r="E77" s="3116">
        <v>0.15</v>
      </c>
      <c r="F77" s="3116">
        <v>20</v>
      </c>
    </row>
    <row r="78" spans="1:7" ht="24">
      <c r="A78" s="3116">
        <v>6</v>
      </c>
      <c r="B78" s="3873"/>
      <c r="C78" s="3090" t="s">
        <v>2658</v>
      </c>
      <c r="D78" s="3090" t="s">
        <v>2659</v>
      </c>
      <c r="E78" s="3116">
        <v>0.15</v>
      </c>
      <c r="F78" s="3116">
        <v>20</v>
      </c>
    </row>
    <row r="79" spans="1:7" ht="24">
      <c r="A79" s="3116">
        <v>7</v>
      </c>
      <c r="B79" s="3873"/>
      <c r="C79" s="3090" t="s">
        <v>2660</v>
      </c>
      <c r="D79" s="3090" t="s">
        <v>2661</v>
      </c>
      <c r="E79" s="3116">
        <v>0.15</v>
      </c>
      <c r="F79" s="3116">
        <v>20</v>
      </c>
    </row>
    <row r="80" spans="1:7" ht="24">
      <c r="A80" s="3116">
        <v>8</v>
      </c>
      <c r="B80" s="3873"/>
      <c r="C80" s="3090" t="s">
        <v>2662</v>
      </c>
      <c r="D80" s="3090" t="s">
        <v>2663</v>
      </c>
      <c r="E80" s="3116">
        <v>0.1</v>
      </c>
      <c r="F80" s="3116">
        <v>15</v>
      </c>
    </row>
    <row r="81" spans="1:6" ht="24">
      <c r="A81" s="3116">
        <v>9</v>
      </c>
      <c r="B81" s="3873"/>
      <c r="C81" s="3090" t="s">
        <v>2664</v>
      </c>
      <c r="D81" s="3090" t="s">
        <v>2665</v>
      </c>
      <c r="E81" s="3116">
        <v>0.1</v>
      </c>
      <c r="F81" s="3116">
        <v>15</v>
      </c>
    </row>
    <row r="82" spans="1:6" ht="24">
      <c r="A82" s="3116">
        <v>10</v>
      </c>
      <c r="B82" s="3873"/>
      <c r="C82" s="3090" t="s">
        <v>2666</v>
      </c>
      <c r="D82" s="3090" t="s">
        <v>2667</v>
      </c>
      <c r="E82" s="3116">
        <v>0.1</v>
      </c>
      <c r="F82" s="3116">
        <v>15</v>
      </c>
    </row>
    <row r="83" spans="1:6" ht="24">
      <c r="A83" s="3116">
        <v>11</v>
      </c>
      <c r="B83" s="3873"/>
      <c r="C83" s="3090" t="s">
        <v>2668</v>
      </c>
      <c r="D83" s="3090" t="s">
        <v>2669</v>
      </c>
      <c r="E83" s="3116">
        <v>0.1</v>
      </c>
      <c r="F83" s="3116">
        <v>15</v>
      </c>
    </row>
    <row r="84" spans="1:6" ht="24">
      <c r="A84" s="3116">
        <v>12</v>
      </c>
      <c r="B84" s="3873"/>
      <c r="C84" s="3090" t="s">
        <v>2670</v>
      </c>
      <c r="D84" s="3090" t="s">
        <v>2671</v>
      </c>
      <c r="E84" s="3116">
        <v>0.1</v>
      </c>
      <c r="F84" s="3116">
        <v>15</v>
      </c>
    </row>
    <row r="85" spans="1:6" ht="13.5">
      <c r="A85" s="3116">
        <v>13</v>
      </c>
      <c r="B85" s="3873"/>
      <c r="C85" s="3090" t="s">
        <v>2672</v>
      </c>
      <c r="D85" s="3090" t="s">
        <v>2673</v>
      </c>
      <c r="E85" s="3116">
        <v>0.1</v>
      </c>
      <c r="F85" s="3116">
        <v>15</v>
      </c>
    </row>
    <row r="86" spans="1:6" ht="13.5">
      <c r="A86" s="3116">
        <v>14</v>
      </c>
      <c r="B86" s="3873"/>
      <c r="C86" s="3090" t="s">
        <v>2674</v>
      </c>
      <c r="D86" s="3090" t="s">
        <v>2675</v>
      </c>
      <c r="E86" s="3116">
        <v>0.1</v>
      </c>
      <c r="F86" s="3116">
        <v>15</v>
      </c>
    </row>
    <row r="87" spans="1:6" ht="13.5">
      <c r="A87" s="3116">
        <v>15</v>
      </c>
      <c r="B87" s="3873"/>
      <c r="C87" s="3090" t="s">
        <v>2676</v>
      </c>
      <c r="D87" s="3090" t="s">
        <v>2677</v>
      </c>
      <c r="E87" s="3116">
        <v>0.1</v>
      </c>
      <c r="F87" s="3116">
        <v>15</v>
      </c>
    </row>
    <row r="88" spans="1:6" ht="24">
      <c r="A88" s="3116">
        <v>16</v>
      </c>
      <c r="B88" s="3873"/>
      <c r="C88" s="3090" t="s">
        <v>2678</v>
      </c>
      <c r="D88" s="3090" t="s">
        <v>2679</v>
      </c>
      <c r="E88" s="3116">
        <v>0.1</v>
      </c>
      <c r="F88" s="3116">
        <v>15</v>
      </c>
    </row>
    <row r="89" spans="1:6" ht="24">
      <c r="A89" s="3116">
        <v>17</v>
      </c>
      <c r="B89" s="3872"/>
      <c r="C89" s="3090" t="s">
        <v>2680</v>
      </c>
      <c r="D89" s="3090" t="s">
        <v>2681</v>
      </c>
      <c r="E89" s="3116">
        <v>0.1</v>
      </c>
      <c r="F89" s="3116">
        <v>15</v>
      </c>
    </row>
    <row r="90" spans="1:6" ht="13.5">
      <c r="A90" s="3116">
        <v>18</v>
      </c>
      <c r="B90" s="3871" t="s">
        <v>2682</v>
      </c>
      <c r="C90" s="3090" t="s">
        <v>2683</v>
      </c>
      <c r="D90" s="3090" t="s">
        <v>2684</v>
      </c>
      <c r="E90" s="3116">
        <v>0.2</v>
      </c>
      <c r="F90" s="3116">
        <v>25</v>
      </c>
    </row>
    <row r="91" spans="1:6" ht="24">
      <c r="A91" s="3116">
        <v>19</v>
      </c>
      <c r="B91" s="3873"/>
      <c r="C91" s="3090" t="s">
        <v>2685</v>
      </c>
      <c r="D91" s="3090" t="s">
        <v>2686</v>
      </c>
      <c r="E91" s="3116">
        <v>0.2</v>
      </c>
      <c r="F91" s="3116">
        <v>25</v>
      </c>
    </row>
    <row r="92" spans="1:6" ht="13.5">
      <c r="A92" s="3116">
        <v>20</v>
      </c>
      <c r="B92" s="3873"/>
      <c r="C92" s="3090" t="s">
        <v>2687</v>
      </c>
      <c r="D92" s="3090" t="s">
        <v>2688</v>
      </c>
      <c r="E92" s="3116">
        <v>0.15</v>
      </c>
      <c r="F92" s="3116">
        <v>20</v>
      </c>
    </row>
    <row r="93" spans="1:6" ht="13.5">
      <c r="A93" s="3116">
        <v>21</v>
      </c>
      <c r="B93" s="3873"/>
      <c r="C93" s="3090" t="s">
        <v>2689</v>
      </c>
      <c r="D93" s="3090" t="s">
        <v>2690</v>
      </c>
      <c r="E93" s="3116">
        <v>0.15</v>
      </c>
      <c r="F93" s="3116">
        <v>20</v>
      </c>
    </row>
    <row r="94" spans="1:6" ht="13.5">
      <c r="A94" s="3116">
        <v>22</v>
      </c>
      <c r="B94" s="3873"/>
      <c r="C94" s="3090" t="s">
        <v>2691</v>
      </c>
      <c r="D94" s="3090" t="s">
        <v>2692</v>
      </c>
      <c r="E94" s="3116">
        <v>0.15</v>
      </c>
      <c r="F94" s="3116">
        <v>20</v>
      </c>
    </row>
    <row r="95" spans="1:6" ht="36">
      <c r="A95" s="3116">
        <v>23</v>
      </c>
      <c r="B95" s="3873"/>
      <c r="C95" s="3090" t="s">
        <v>2693</v>
      </c>
      <c r="D95" s="3090" t="s">
        <v>2694</v>
      </c>
      <c r="E95" s="3116">
        <v>0.15</v>
      </c>
      <c r="F95" s="3116">
        <v>20</v>
      </c>
    </row>
    <row r="96" spans="1:6" ht="13.5">
      <c r="A96" s="3116">
        <v>24</v>
      </c>
      <c r="B96" s="3873"/>
      <c r="C96" s="3090" t="s">
        <v>2695</v>
      </c>
      <c r="D96" s="3090" t="s">
        <v>2696</v>
      </c>
      <c r="E96" s="3116">
        <v>0.1</v>
      </c>
      <c r="F96" s="3116">
        <v>15</v>
      </c>
    </row>
    <row r="97" spans="1:6" ht="13.5">
      <c r="A97" s="3116">
        <v>25</v>
      </c>
      <c r="B97" s="3873"/>
      <c r="C97" s="3090" t="s">
        <v>2697</v>
      </c>
      <c r="D97" s="3090" t="s">
        <v>2698</v>
      </c>
      <c r="E97" s="3116">
        <v>0.1</v>
      </c>
      <c r="F97" s="3116">
        <v>15</v>
      </c>
    </row>
    <row r="98" spans="1:6" ht="24">
      <c r="A98" s="3116">
        <v>26</v>
      </c>
      <c r="B98" s="3873"/>
      <c r="C98" s="3090" t="s">
        <v>2699</v>
      </c>
      <c r="D98" s="3090" t="s">
        <v>2700</v>
      </c>
      <c r="E98" s="3116">
        <v>0.1</v>
      </c>
      <c r="F98" s="3116">
        <v>15</v>
      </c>
    </row>
    <row r="99" spans="1:6" ht="24">
      <c r="A99" s="3116">
        <v>27</v>
      </c>
      <c r="B99" s="3873"/>
      <c r="C99" s="3090" t="s">
        <v>2701</v>
      </c>
      <c r="D99" s="3090" t="s">
        <v>2702</v>
      </c>
      <c r="E99" s="3116">
        <v>0.1</v>
      </c>
      <c r="F99" s="3116">
        <v>15</v>
      </c>
    </row>
    <row r="100" spans="1:6" ht="13.5">
      <c r="A100" s="3116">
        <v>28</v>
      </c>
      <c r="B100" s="3873"/>
      <c r="C100" s="3090" t="s">
        <v>2703</v>
      </c>
      <c r="D100" s="3090" t="s">
        <v>2704</v>
      </c>
      <c r="E100" s="3116">
        <v>0.1</v>
      </c>
      <c r="F100" s="3116">
        <v>15</v>
      </c>
    </row>
    <row r="101" spans="1:6" ht="13.5">
      <c r="A101" s="3116">
        <v>29</v>
      </c>
      <c r="B101" s="3873"/>
      <c r="C101" s="3090" t="s">
        <v>2705</v>
      </c>
      <c r="D101" s="3090" t="s">
        <v>2706</v>
      </c>
      <c r="E101" s="3116">
        <v>0.1</v>
      </c>
      <c r="F101" s="3116">
        <v>15</v>
      </c>
    </row>
    <row r="102" spans="1:6" ht="13.5">
      <c r="A102" s="3116">
        <v>30</v>
      </c>
      <c r="B102" s="3873"/>
      <c r="C102" s="3090" t="s">
        <v>2707</v>
      </c>
      <c r="D102" s="3090" t="s">
        <v>2708</v>
      </c>
      <c r="E102" s="3116">
        <v>0.1</v>
      </c>
      <c r="F102" s="3116">
        <v>15</v>
      </c>
    </row>
    <row r="103" spans="1:6" ht="24">
      <c r="A103" s="3116">
        <v>31</v>
      </c>
      <c r="B103" s="3873"/>
      <c r="C103" s="3090" t="s">
        <v>2709</v>
      </c>
      <c r="D103" s="3090" t="s">
        <v>2710</v>
      </c>
      <c r="E103" s="3116">
        <v>0.1</v>
      </c>
      <c r="F103" s="3116">
        <v>15</v>
      </c>
    </row>
    <row r="104" spans="1:6" ht="24">
      <c r="A104" s="3116">
        <v>32</v>
      </c>
      <c r="B104" s="3873"/>
      <c r="C104" s="3090" t="s">
        <v>2711</v>
      </c>
      <c r="D104" s="3090" t="s">
        <v>2712</v>
      </c>
      <c r="E104" s="3116">
        <v>0.1</v>
      </c>
      <c r="F104" s="3116">
        <v>15</v>
      </c>
    </row>
    <row r="105" spans="1:6" ht="24">
      <c r="A105" s="3116">
        <v>33</v>
      </c>
      <c r="B105" s="3873"/>
      <c r="C105" s="3090" t="s">
        <v>2713</v>
      </c>
      <c r="D105" s="3090" t="s">
        <v>2714</v>
      </c>
      <c r="E105" s="3116">
        <v>0.1</v>
      </c>
      <c r="F105" s="3116">
        <v>15</v>
      </c>
    </row>
    <row r="106" spans="1:6" ht="24">
      <c r="A106" s="3116">
        <v>34</v>
      </c>
      <c r="B106" s="3872"/>
      <c r="C106" s="3090" t="s">
        <v>2715</v>
      </c>
      <c r="D106" s="3090" t="s">
        <v>2716</v>
      </c>
      <c r="E106" s="3116">
        <v>0.1</v>
      </c>
      <c r="F106" s="3116">
        <v>15</v>
      </c>
    </row>
    <row r="107" spans="1:6" ht="24">
      <c r="A107" s="3116">
        <v>35</v>
      </c>
      <c r="B107" s="3871" t="s">
        <v>2717</v>
      </c>
      <c r="C107" s="3116" t="s">
        <v>2718</v>
      </c>
      <c r="D107" s="3090" t="s">
        <v>2719</v>
      </c>
      <c r="E107" s="3116">
        <v>0.15</v>
      </c>
      <c r="F107" s="3116">
        <v>20</v>
      </c>
    </row>
    <row r="108" spans="1:6" ht="13.5">
      <c r="A108" s="3116">
        <v>36</v>
      </c>
      <c r="B108" s="3873"/>
      <c r="C108" s="3116" t="s">
        <v>2720</v>
      </c>
      <c r="D108" s="3090" t="s">
        <v>2721</v>
      </c>
      <c r="E108" s="3116">
        <v>0.15</v>
      </c>
      <c r="F108" s="3116">
        <v>20</v>
      </c>
    </row>
    <row r="109" spans="1:6" ht="13.5">
      <c r="A109" s="3116">
        <v>37</v>
      </c>
      <c r="B109" s="3873"/>
      <c r="C109" s="3116" t="s">
        <v>2722</v>
      </c>
      <c r="D109" s="3090" t="s">
        <v>2723</v>
      </c>
      <c r="E109" s="3116">
        <v>0.15</v>
      </c>
      <c r="F109" s="3116">
        <v>20</v>
      </c>
    </row>
    <row r="110" spans="1:6" ht="13.5">
      <c r="A110" s="3116">
        <v>38</v>
      </c>
      <c r="B110" s="3873"/>
      <c r="C110" s="3116" t="s">
        <v>2724</v>
      </c>
      <c r="D110" s="3090" t="s">
        <v>2725</v>
      </c>
      <c r="E110" s="3116">
        <v>0.1</v>
      </c>
      <c r="F110" s="3116">
        <v>15</v>
      </c>
    </row>
    <row r="111" spans="1:6" ht="24">
      <c r="A111" s="3116">
        <v>39</v>
      </c>
      <c r="B111" s="3873"/>
      <c r="C111" s="3116" t="s">
        <v>2726</v>
      </c>
      <c r="D111" s="3090" t="s">
        <v>2727</v>
      </c>
      <c r="E111" s="3116">
        <v>0.1</v>
      </c>
      <c r="F111" s="3116">
        <v>15</v>
      </c>
    </row>
    <row r="112" spans="1:6" ht="24">
      <c r="A112" s="3116">
        <v>40</v>
      </c>
      <c r="B112" s="3872"/>
      <c r="C112" s="3116" t="s">
        <v>2728</v>
      </c>
      <c r="D112" s="3090" t="s">
        <v>2729</v>
      </c>
      <c r="E112" s="3116">
        <v>0.1</v>
      </c>
      <c r="F112" s="3116">
        <v>15</v>
      </c>
    </row>
    <row r="113" spans="1:6" ht="13.5">
      <c r="A113" s="3116">
        <v>41</v>
      </c>
      <c r="B113" s="3870" t="s">
        <v>2730</v>
      </c>
      <c r="C113" s="3116" t="s">
        <v>2731</v>
      </c>
      <c r="D113" s="3090" t="s">
        <v>2732</v>
      </c>
      <c r="E113" s="3116">
        <v>0.1</v>
      </c>
      <c r="F113" s="3116">
        <v>15</v>
      </c>
    </row>
    <row r="114" spans="1:6" ht="13.5">
      <c r="A114" s="3116">
        <v>42</v>
      </c>
      <c r="B114" s="3870"/>
      <c r="C114" s="3116" t="s">
        <v>2733</v>
      </c>
      <c r="D114" s="3090" t="s">
        <v>2734</v>
      </c>
      <c r="E114" s="3116">
        <v>0.1</v>
      </c>
      <c r="F114" s="3116">
        <v>15</v>
      </c>
    </row>
    <row r="115" spans="1:6" ht="24">
      <c r="A115" s="3116">
        <v>43</v>
      </c>
      <c r="B115" s="3870"/>
      <c r="C115" s="3116" t="s">
        <v>2735</v>
      </c>
      <c r="D115" s="3090" t="s">
        <v>2736</v>
      </c>
      <c r="E115" s="3116">
        <v>0.1</v>
      </c>
      <c r="F115" s="3116">
        <v>15</v>
      </c>
    </row>
    <row r="116" spans="1:6" ht="13.5">
      <c r="A116" s="3116">
        <v>44</v>
      </c>
      <c r="B116" s="3871" t="s">
        <v>2737</v>
      </c>
      <c r="C116" s="3116" t="s">
        <v>2738</v>
      </c>
      <c r="D116" s="3090" t="s">
        <v>2739</v>
      </c>
      <c r="E116" s="3116">
        <v>0.1</v>
      </c>
      <c r="F116" s="3116">
        <v>15</v>
      </c>
    </row>
    <row r="117" spans="1:6" ht="24">
      <c r="A117" s="3116">
        <v>45</v>
      </c>
      <c r="B117" s="3872"/>
      <c r="C117" s="3090" t="s">
        <v>2740</v>
      </c>
      <c r="D117" s="3090" t="s">
        <v>2741</v>
      </c>
      <c r="E117" s="3116">
        <v>0.1</v>
      </c>
      <c r="F117" s="3116">
        <v>15</v>
      </c>
    </row>
    <row r="118" spans="1:6" ht="24">
      <c r="A118" s="3116">
        <v>46</v>
      </c>
      <c r="B118" s="3871" t="s">
        <v>2742</v>
      </c>
      <c r="C118" s="3116" t="s">
        <v>2743</v>
      </c>
      <c r="D118" s="3090" t="s">
        <v>2744</v>
      </c>
      <c r="E118" s="3116">
        <v>0.1</v>
      </c>
      <c r="F118" s="3116">
        <v>15</v>
      </c>
    </row>
    <row r="119" spans="1:6" ht="24">
      <c r="A119" s="3116">
        <v>47</v>
      </c>
      <c r="B119" s="3872"/>
      <c r="C119" s="3116" t="s">
        <v>2745</v>
      </c>
      <c r="D119" s="3090" t="s">
        <v>2746</v>
      </c>
      <c r="E119" s="3116">
        <v>0.1</v>
      </c>
      <c r="F119" s="3116">
        <v>15</v>
      </c>
    </row>
    <row r="120" spans="1:6" ht="13.5">
      <c r="A120" s="3116">
        <v>48</v>
      </c>
      <c r="B120" s="3871" t="s">
        <v>2747</v>
      </c>
      <c r="C120" s="3116" t="s">
        <v>2748</v>
      </c>
      <c r="D120" s="3090" t="s">
        <v>2749</v>
      </c>
      <c r="E120" s="3116">
        <v>0.1</v>
      </c>
      <c r="F120" s="3116">
        <v>15</v>
      </c>
    </row>
    <row r="121" spans="1:6" ht="13.5">
      <c r="A121" s="3116">
        <v>49</v>
      </c>
      <c r="B121" s="3872"/>
      <c r="C121" s="3116" t="s">
        <v>2750</v>
      </c>
      <c r="D121" s="3090" t="s">
        <v>2751</v>
      </c>
      <c r="E121" s="3116">
        <v>0.1</v>
      </c>
      <c r="F121" s="3116">
        <v>15</v>
      </c>
    </row>
    <row r="122" spans="1:6" ht="24">
      <c r="A122" s="3116">
        <v>50</v>
      </c>
      <c r="B122" s="3870" t="s">
        <v>2752</v>
      </c>
      <c r="C122" s="3116" t="s">
        <v>2753</v>
      </c>
      <c r="D122" s="3090" t="s">
        <v>2754</v>
      </c>
      <c r="E122" s="3116">
        <v>0.1</v>
      </c>
      <c r="F122" s="3116">
        <v>15</v>
      </c>
    </row>
    <row r="123" spans="1:6" ht="24">
      <c r="A123" s="3116">
        <v>51</v>
      </c>
      <c r="B123" s="3870"/>
      <c r="C123" s="3116" t="s">
        <v>2755</v>
      </c>
      <c r="D123" s="3090" t="s">
        <v>2756</v>
      </c>
      <c r="E123" s="3116">
        <v>0.1</v>
      </c>
      <c r="F123" s="3116">
        <v>15</v>
      </c>
    </row>
    <row r="124" spans="1:6" ht="24">
      <c r="A124" s="3116">
        <v>52</v>
      </c>
      <c r="B124" s="3870" t="s">
        <v>2757</v>
      </c>
      <c r="C124" s="3116" t="s">
        <v>2758</v>
      </c>
      <c r="D124" s="3090" t="s">
        <v>2759</v>
      </c>
      <c r="E124" s="3116">
        <v>0.1</v>
      </c>
      <c r="F124" s="3116">
        <v>15</v>
      </c>
    </row>
    <row r="125" spans="1:6" ht="24">
      <c r="A125" s="3116">
        <v>53</v>
      </c>
      <c r="B125" s="3870"/>
      <c r="C125" s="3116" t="s">
        <v>2760</v>
      </c>
      <c r="D125" s="3090" t="s">
        <v>2761</v>
      </c>
      <c r="E125" s="3116">
        <v>0.1</v>
      </c>
      <c r="F125" s="3116">
        <v>15</v>
      </c>
    </row>
    <row r="126" spans="1:6" ht="13.5">
      <c r="A126" s="3116">
        <v>54</v>
      </c>
      <c r="B126" s="3116" t="s">
        <v>2762</v>
      </c>
      <c r="C126" s="3116" t="s">
        <v>2763</v>
      </c>
      <c r="D126" s="3090" t="s">
        <v>2764</v>
      </c>
      <c r="E126" s="3116">
        <v>0.1</v>
      </c>
      <c r="F126" s="3116">
        <v>15</v>
      </c>
    </row>
    <row r="127" spans="1:6" ht="13.5">
      <c r="A127" s="3116">
        <v>55</v>
      </c>
      <c r="B127" s="3870" t="s">
        <v>2765</v>
      </c>
      <c r="C127" s="3116" t="s">
        <v>2766</v>
      </c>
      <c r="D127" s="3090" t="s">
        <v>2767</v>
      </c>
      <c r="E127" s="3116">
        <v>0.1</v>
      </c>
      <c r="F127" s="3116">
        <v>15</v>
      </c>
    </row>
    <row r="128" spans="1:6" ht="13.5">
      <c r="A128" s="3116">
        <v>56</v>
      </c>
      <c r="B128" s="3870"/>
      <c r="C128" s="3116" t="s">
        <v>2768</v>
      </c>
      <c r="D128" s="3090" t="s">
        <v>2769</v>
      </c>
      <c r="E128" s="3116">
        <v>0.1</v>
      </c>
      <c r="F128" s="3116">
        <v>15</v>
      </c>
    </row>
    <row r="129" spans="1:6" ht="24">
      <c r="A129" s="3116">
        <v>57</v>
      </c>
      <c r="B129" s="3870"/>
      <c r="C129" s="3116" t="s">
        <v>2770</v>
      </c>
      <c r="D129" s="3090" t="s">
        <v>2771</v>
      </c>
      <c r="E129" s="3116">
        <v>0.1</v>
      </c>
      <c r="F129" s="3116">
        <v>15</v>
      </c>
    </row>
    <row r="130" spans="1:6" ht="24">
      <c r="A130" s="3116">
        <v>58</v>
      </c>
      <c r="B130" s="3870" t="s">
        <v>2772</v>
      </c>
      <c r="C130" s="3116" t="s">
        <v>2773</v>
      </c>
      <c r="D130" s="3090" t="s">
        <v>2774</v>
      </c>
      <c r="E130" s="3116">
        <v>0.1</v>
      </c>
      <c r="F130" s="3116">
        <v>15</v>
      </c>
    </row>
    <row r="131" spans="1:6" ht="13.5">
      <c r="A131" s="3116">
        <v>59</v>
      </c>
      <c r="B131" s="3870"/>
      <c r="C131" s="3116" t="s">
        <v>2775</v>
      </c>
      <c r="D131" s="3090" t="s">
        <v>2776</v>
      </c>
      <c r="E131" s="3116">
        <v>0.1</v>
      </c>
      <c r="F131" s="3116">
        <v>15</v>
      </c>
    </row>
    <row r="132" spans="1:6" ht="13.5">
      <c r="A132" s="3116">
        <v>60</v>
      </c>
      <c r="B132" s="3871" t="s">
        <v>2777</v>
      </c>
      <c r="C132" s="3116" t="s">
        <v>2778</v>
      </c>
      <c r="D132" s="3090" t="s">
        <v>2779</v>
      </c>
      <c r="E132" s="3116">
        <v>0.1</v>
      </c>
      <c r="F132" s="3116">
        <v>15</v>
      </c>
    </row>
    <row r="133" spans="1:6" ht="13.5">
      <c r="A133" s="3116">
        <v>61</v>
      </c>
      <c r="B133" s="3872"/>
      <c r="C133" s="3116" t="s">
        <v>2780</v>
      </c>
      <c r="D133" s="3090" t="s">
        <v>2781</v>
      </c>
      <c r="E133" s="3116">
        <v>0.1</v>
      </c>
      <c r="F133" s="3116">
        <v>15</v>
      </c>
    </row>
    <row r="134" spans="1:6" ht="24">
      <c r="A134" s="3116">
        <v>62</v>
      </c>
      <c r="B134" s="3116" t="s">
        <v>2782</v>
      </c>
      <c r="C134" s="3116" t="s">
        <v>2783</v>
      </c>
      <c r="D134" s="3090" t="s">
        <v>2784</v>
      </c>
      <c r="E134" s="3116">
        <v>0.1</v>
      </c>
      <c r="F134" s="3116">
        <v>15</v>
      </c>
    </row>
    <row r="135" spans="1:6" ht="13.5">
      <c r="A135" s="3116">
        <v>63</v>
      </c>
      <c r="B135" s="3870" t="s">
        <v>2785</v>
      </c>
      <c r="C135" s="3116" t="s">
        <v>2786</v>
      </c>
      <c r="D135" s="3090" t="s">
        <v>2787</v>
      </c>
      <c r="E135" s="3116">
        <v>0.1</v>
      </c>
      <c r="F135" s="3116">
        <v>15</v>
      </c>
    </row>
    <row r="136" spans="1:6" ht="13.5">
      <c r="A136" s="3116">
        <v>64</v>
      </c>
      <c r="B136" s="3870"/>
      <c r="C136" s="3116" t="s">
        <v>2788</v>
      </c>
      <c r="D136" s="3090" t="s">
        <v>2789</v>
      </c>
      <c r="E136" s="3116">
        <v>0.1</v>
      </c>
      <c r="F136" s="3116">
        <v>15</v>
      </c>
    </row>
    <row r="137" spans="1:6" ht="13.5">
      <c r="A137" s="3116">
        <v>65</v>
      </c>
      <c r="B137" s="3116" t="s">
        <v>2790</v>
      </c>
      <c r="C137" s="3116" t="s">
        <v>2791</v>
      </c>
      <c r="D137" s="3090" t="s">
        <v>2792</v>
      </c>
      <c r="E137" s="3116">
        <v>0.1</v>
      </c>
      <c r="F137" s="3116">
        <v>15</v>
      </c>
    </row>
    <row r="138" spans="1:6" ht="13.5">
      <c r="A138" s="3116"/>
      <c r="B138" s="3116"/>
      <c r="C138" s="3116"/>
      <c r="D138" s="3116"/>
      <c r="E138" s="3116" t="s">
        <v>2793</v>
      </c>
      <c r="F138" s="311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2794</v>
      </c>
      <c r="B1" s="3125"/>
      <c r="C1" s="3125"/>
      <c r="D1" s="3125"/>
      <c r="E1" s="3125"/>
      <c r="F1" s="3125"/>
      <c r="G1" s="3125"/>
      <c r="H1" s="3125"/>
      <c r="I1" s="3125"/>
      <c r="J1" s="3125"/>
      <c r="K1" s="3125"/>
      <c r="L1" s="3125"/>
      <c r="M1" s="3125"/>
      <c r="N1" s="749"/>
    </row>
    <row r="2" spans="1:20">
      <c r="A2" s="3126" t="s">
        <v>2795</v>
      </c>
      <c r="B2" s="3127" t="s">
        <v>2591</v>
      </c>
      <c r="C2" s="3127" t="s">
        <v>2592</v>
      </c>
      <c r="D2" s="3127" t="s">
        <v>2593</v>
      </c>
      <c r="E2" s="3127" t="s">
        <v>2594</v>
      </c>
      <c r="F2" s="3127" t="s">
        <v>2595</v>
      </c>
      <c r="G2" s="3127" t="s">
        <v>2596</v>
      </c>
      <c r="H2" s="3128" t="s">
        <v>2597</v>
      </c>
      <c r="I2" s="3128" t="s">
        <v>2598</v>
      </c>
      <c r="J2" s="3129" t="s">
        <v>2599</v>
      </c>
      <c r="K2" s="3129" t="s">
        <v>2600</v>
      </c>
      <c r="L2" s="3129" t="s">
        <v>2601</v>
      </c>
      <c r="M2" s="3130" t="s">
        <v>2602</v>
      </c>
      <c r="Q2" s="3140" t="s">
        <v>2800</v>
      </c>
      <c r="R2" s="3140" t="s">
        <v>2801</v>
      </c>
      <c r="S2" s="3140" t="s">
        <v>2802</v>
      </c>
      <c r="T2" s="3140" t="s">
        <v>2803</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2796</v>
      </c>
      <c r="B93" s="3125"/>
      <c r="C93" s="3125"/>
      <c r="D93" s="3125"/>
      <c r="E93" s="3125"/>
      <c r="F93" s="3125"/>
      <c r="G93" s="3125"/>
      <c r="H93" s="3125"/>
      <c r="I93" s="3125"/>
      <c r="J93" s="3125"/>
      <c r="K93" s="3125"/>
      <c r="L93" s="3125"/>
      <c r="M93" s="3125"/>
    </row>
    <row r="94" spans="1:20">
      <c r="A94" s="3126" t="s">
        <v>2795</v>
      </c>
      <c r="B94" s="3127" t="s">
        <v>2591</v>
      </c>
      <c r="C94" s="3127" t="s">
        <v>2592</v>
      </c>
      <c r="D94" s="3127" t="s">
        <v>2593</v>
      </c>
      <c r="E94" s="3127" t="s">
        <v>2594</v>
      </c>
      <c r="F94" s="3127" t="s">
        <v>2595</v>
      </c>
      <c r="G94" s="3127" t="s">
        <v>2596</v>
      </c>
      <c r="H94" s="3128" t="s">
        <v>2597</v>
      </c>
      <c r="I94" s="3128" t="s">
        <v>2598</v>
      </c>
      <c r="J94" s="3129" t="s">
        <v>2599</v>
      </c>
      <c r="K94" s="3129" t="s">
        <v>2600</v>
      </c>
      <c r="L94" s="3129" t="s">
        <v>2601</v>
      </c>
      <c r="M94" s="3130" t="s">
        <v>2602</v>
      </c>
      <c r="N94" s="750">
        <f>SUMPRODUCT((A95:A184=ROUNDDOWN(基准地价修正!G3,1))*(B94:M94=基准地价修正!G2)*(B95:M184))</f>
        <v>1.0397000000000001</v>
      </c>
      <c r="Q94" s="3140" t="s">
        <v>2800</v>
      </c>
      <c r="R94" s="3140" t="s">
        <v>2801</v>
      </c>
      <c r="S94" s="3140" t="s">
        <v>2802</v>
      </c>
      <c r="T94" s="3140" t="s">
        <v>2803</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2797</v>
      </c>
      <c r="B185" s="3125"/>
      <c r="C185" s="3125"/>
      <c r="D185" s="3125"/>
      <c r="E185" s="3125"/>
      <c r="F185" s="3125"/>
      <c r="G185" s="3125"/>
      <c r="H185" s="3125"/>
      <c r="I185" s="3125"/>
      <c r="J185" s="3125"/>
      <c r="K185" s="3125"/>
      <c r="L185" s="3125"/>
      <c r="M185" s="3125"/>
    </row>
    <row r="186" spans="1:20">
      <c r="A186" s="3126" t="s">
        <v>2795</v>
      </c>
      <c r="B186" s="3127" t="s">
        <v>2591</v>
      </c>
      <c r="C186" s="3127" t="s">
        <v>2592</v>
      </c>
      <c r="D186" s="3127" t="s">
        <v>2593</v>
      </c>
      <c r="E186" s="3127" t="s">
        <v>2594</v>
      </c>
      <c r="F186" s="3127" t="s">
        <v>2595</v>
      </c>
      <c r="G186" s="3127" t="s">
        <v>2596</v>
      </c>
      <c r="H186" s="3128" t="s">
        <v>2597</v>
      </c>
      <c r="I186" s="3128" t="s">
        <v>2598</v>
      </c>
      <c r="J186" s="3129" t="s">
        <v>2599</v>
      </c>
      <c r="K186" s="3129" t="s">
        <v>2600</v>
      </c>
      <c r="L186" s="3129" t="s">
        <v>2601</v>
      </c>
      <c r="M186" s="3130" t="s">
        <v>2602</v>
      </c>
      <c r="Q186" s="3140" t="s">
        <v>2800</v>
      </c>
      <c r="R186" s="3140" t="s">
        <v>2801</v>
      </c>
      <c r="S186" s="3140" t="s">
        <v>2802</v>
      </c>
      <c r="T186" s="3140" t="s">
        <v>2803</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2798</v>
      </c>
      <c r="B277" s="3125"/>
      <c r="C277" s="3125"/>
      <c r="D277" s="3125"/>
      <c r="E277" s="3125"/>
      <c r="F277" s="3125"/>
      <c r="G277" s="3125"/>
      <c r="H277" s="3125"/>
      <c r="I277" s="3125"/>
      <c r="J277" s="3125"/>
      <c r="K277" s="3125"/>
      <c r="L277" s="3125"/>
      <c r="M277" s="3125"/>
    </row>
    <row r="278" spans="1:21">
      <c r="A278" s="3126" t="s">
        <v>2795</v>
      </c>
      <c r="B278" s="3127" t="s">
        <v>2591</v>
      </c>
      <c r="C278" s="3127" t="s">
        <v>2592</v>
      </c>
      <c r="D278" s="3127" t="s">
        <v>2593</v>
      </c>
      <c r="E278" s="3127" t="s">
        <v>2594</v>
      </c>
      <c r="F278" s="3127" t="s">
        <v>2595</v>
      </c>
      <c r="G278" s="3127" t="s">
        <v>2596</v>
      </c>
      <c r="H278" s="3128" t="s">
        <v>2597</v>
      </c>
      <c r="I278" s="3128" t="s">
        <v>2598</v>
      </c>
      <c r="J278" s="3129" t="s">
        <v>2599</v>
      </c>
      <c r="K278" s="3129" t="s">
        <v>2600</v>
      </c>
      <c r="L278" s="3129" t="s">
        <v>2601</v>
      </c>
      <c r="M278" s="3130" t="s">
        <v>2602</v>
      </c>
      <c r="Q278" s="3140" t="s">
        <v>2800</v>
      </c>
      <c r="R278" s="3140" t="s">
        <v>2801</v>
      </c>
      <c r="S278" s="3140" t="s">
        <v>2804</v>
      </c>
      <c r="T278" s="3140" t="s">
        <v>2805</v>
      </c>
      <c r="U278" s="3140" t="s">
        <v>2803</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2799</v>
      </c>
      <c r="B369" s="3138"/>
      <c r="C369" s="3138"/>
      <c r="D369" s="3138"/>
      <c r="E369" s="3138"/>
      <c r="F369" s="3138"/>
      <c r="G369" s="3138"/>
      <c r="H369" s="3138"/>
      <c r="I369" s="3138"/>
      <c r="J369" s="3138"/>
      <c r="K369" s="3138"/>
      <c r="L369" s="3138"/>
      <c r="M369" s="3138"/>
    </row>
    <row r="370" spans="1:20">
      <c r="A370" s="3126" t="s">
        <v>2795</v>
      </c>
      <c r="B370" s="3127" t="s">
        <v>2591</v>
      </c>
      <c r="C370" s="3127" t="s">
        <v>2592</v>
      </c>
      <c r="D370" s="3127" t="s">
        <v>2593</v>
      </c>
      <c r="E370" s="3127" t="s">
        <v>2594</v>
      </c>
      <c r="F370" s="3127" t="s">
        <v>2595</v>
      </c>
      <c r="G370" s="3127" t="s">
        <v>2596</v>
      </c>
      <c r="H370" s="3128" t="s">
        <v>2597</v>
      </c>
      <c r="I370" s="3128" t="s">
        <v>2598</v>
      </c>
      <c r="J370" s="3129" t="s">
        <v>2599</v>
      </c>
      <c r="K370" s="3129" t="s">
        <v>2600</v>
      </c>
      <c r="L370" s="3129" t="s">
        <v>2601</v>
      </c>
      <c r="M370" s="3130" t="s">
        <v>2602</v>
      </c>
      <c r="N370" s="750">
        <f>SUMPRODUCT((A371:A460=ROUNDDOWN(基准地价修正!G3,1))*(B370:M370=基准地价修正!G2)*(B371:M460))</f>
        <v>0.98899999999999999</v>
      </c>
      <c r="Q370" s="3140" t="s">
        <v>2800</v>
      </c>
      <c r="R370" s="3140" t="s">
        <v>2801</v>
      </c>
      <c r="S370" s="3140" t="s">
        <v>2802</v>
      </c>
      <c r="T370" s="3140" t="s">
        <v>2803</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67458</v>
      </c>
      <c r="C2" s="2" t="s">
        <v>106</v>
      </c>
      <c r="D2" s="199"/>
      <c r="E2" s="199"/>
      <c r="F2" s="199"/>
      <c r="G2" s="199"/>
    </row>
    <row r="3" spans="1:7" s="200" customFormat="1" ht="18" customHeight="1" thickBot="1">
      <c r="A3" s="203" t="s">
        <v>58</v>
      </c>
      <c r="B3" s="204">
        <f ca="1">ROUND(B2*10000/'数据-汇总表'!E3,0)</f>
        <v>12077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1117</v>
      </c>
      <c r="D10" s="845">
        <f>'数据-汇总表'!E6</f>
        <v>55858.869999999981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1117</v>
      </c>
      <c r="D19" s="849">
        <f>'数据-汇总表'!E3</f>
        <v>55858.869999999981</v>
      </c>
      <c r="E19" s="211">
        <f>'数据-取费表'!B31</f>
        <v>200</v>
      </c>
      <c r="F19" s="231"/>
      <c r="G19" s="1" t="s">
        <v>436</v>
      </c>
    </row>
    <row r="20" spans="1:7" s="214" customFormat="1" ht="13.5" customHeight="1">
      <c r="A20" s="777" t="s">
        <v>419</v>
      </c>
      <c r="B20" s="210" t="s">
        <v>77</v>
      </c>
      <c r="C20" s="232">
        <f>ROUND((C5+C19)*F20,0)</f>
        <v>652</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1388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33989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30722</v>
      </c>
      <c r="D34" s="217"/>
      <c r="E34" s="220"/>
      <c r="F34" s="257">
        <f>IF('数据-取费表'!B24=0,1,'数据-取费表'!N16)</f>
        <v>1</v>
      </c>
      <c r="G34" s="219" t="s">
        <v>89</v>
      </c>
    </row>
    <row r="35" spans="1:7" ht="13.5" customHeight="1">
      <c r="A35" s="780" t="s">
        <v>351</v>
      </c>
      <c r="B35" s="215" t="s">
        <v>33</v>
      </c>
      <c r="C35" s="220">
        <f>ROUND(C34*F35,0)</f>
        <v>1536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1117</v>
      </c>
      <c r="D37" s="217">
        <f>'数据-汇总表'!E3</f>
        <v>55858.869999999981</v>
      </c>
      <c r="E37" s="249">
        <f>'数据-取费表'!B35</f>
        <v>200</v>
      </c>
      <c r="F37" s="259"/>
      <c r="G37" s="261" t="s">
        <v>92</v>
      </c>
    </row>
    <row r="38" spans="1:7" ht="13.5" customHeight="1">
      <c r="A38" s="780" t="s">
        <v>354</v>
      </c>
      <c r="B38" s="215" t="s">
        <v>36</v>
      </c>
      <c r="C38" s="220">
        <f>ROUND(C34*F38,0)</f>
        <v>614</v>
      </c>
      <c r="D38" s="220"/>
      <c r="E38" s="220"/>
      <c r="F38" s="259">
        <f>'数据-取费表'!B36</f>
        <v>0.02</v>
      </c>
      <c r="G38" s="219" t="s">
        <v>90</v>
      </c>
    </row>
    <row r="39" spans="1:7" s="214" customFormat="1" ht="13.5" customHeight="1">
      <c r="A39" s="777" t="s">
        <v>338</v>
      </c>
      <c r="B39" s="210" t="s">
        <v>77</v>
      </c>
      <c r="C39" s="232">
        <f>ROUND(C33*F20,0)</f>
        <v>1020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1054</v>
      </c>
      <c r="D42" s="238"/>
      <c r="E42" s="238"/>
      <c r="F42" s="239"/>
      <c r="G42" s="3802" t="s">
        <v>94</v>
      </c>
    </row>
    <row r="43" spans="1:7" ht="13.5" customHeight="1">
      <c r="A43" s="780" t="s">
        <v>347</v>
      </c>
      <c r="B43" s="215" t="s">
        <v>426</v>
      </c>
      <c r="C43" s="238">
        <f ca="1">ROUND(IF('数据-取费表'!B22&lt;=1,C39*F22*'数据-取费表'!B21/2,C39*(POWER((1+F22),'数据-取费表'!B21/2)-1)),0)</f>
        <v>32</v>
      </c>
      <c r="D43" s="238"/>
      <c r="E43" s="238"/>
      <c r="F43" s="239"/>
      <c r="G43" s="3803"/>
    </row>
    <row r="44" spans="1:7" ht="13.5" customHeight="1">
      <c r="A44" s="780" t="s">
        <v>348</v>
      </c>
      <c r="B44" s="215" t="s">
        <v>428</v>
      </c>
      <c r="C44" s="238">
        <f ca="1">ROUND(IF('数据-取费表'!B22&lt;=1,C40*F22*'数据-取费表'!B21/2,C40*(POWER((1+F22),'数据-取费表'!B21/2)-1)),4)</f>
        <v>5.9999999999999995E-4</v>
      </c>
      <c r="D44" s="238"/>
      <c r="E44" s="238"/>
      <c r="F44" s="239"/>
      <c r="G44" s="3804"/>
    </row>
    <row r="45" spans="1:7" s="214" customFormat="1" ht="13.5" customHeight="1">
      <c r="A45" s="777" t="s">
        <v>341</v>
      </c>
      <c r="B45" s="244" t="s">
        <v>85</v>
      </c>
      <c r="C45" s="245">
        <f>C46</f>
        <v>5251</v>
      </c>
      <c r="D45" s="235">
        <f>C47</f>
        <v>3.0000000000000001E-3</v>
      </c>
      <c r="E45" s="236" t="s">
        <v>102</v>
      </c>
      <c r="F45" s="246"/>
      <c r="G45" s="247" t="s">
        <v>434</v>
      </c>
    </row>
    <row r="46" spans="1:7" s="214" customFormat="1" ht="13.5" customHeight="1">
      <c r="A46" s="780" t="s">
        <v>349</v>
      </c>
      <c r="B46" s="248" t="s">
        <v>427</v>
      </c>
      <c r="C46" s="249">
        <f>ROUND((C33+C39)*F27,0)</f>
        <v>5251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44792</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38073</v>
      </c>
      <c r="D51" s="232"/>
      <c r="E51" s="232"/>
      <c r="F51" s="264"/>
      <c r="G51" s="234" t="s">
        <v>37</v>
      </c>
    </row>
    <row r="52" spans="1:7" s="208" customFormat="1" ht="16.5" thickBot="1">
      <c r="A52" s="265" t="s">
        <v>38</v>
      </c>
      <c r="B52" s="266"/>
      <c r="C52" s="267">
        <f ca="1">C31+C51</f>
        <v>67458</v>
      </c>
      <c r="D52" s="266"/>
      <c r="E52" s="266"/>
      <c r="F52" s="266"/>
      <c r="G52" s="268"/>
    </row>
    <row r="55" spans="1:7" ht="15">
      <c r="B55" s="270" t="s">
        <v>39</v>
      </c>
      <c r="C55" s="271"/>
    </row>
    <row r="56" spans="1:7">
      <c r="B56" s="273" t="s">
        <v>40</v>
      </c>
      <c r="C56" s="274">
        <f ca="1">ROUND(C51/C52,3)</f>
        <v>0.56399999999999995</v>
      </c>
    </row>
    <row r="57" spans="1:7">
      <c r="B57" s="273" t="s">
        <v>41</v>
      </c>
      <c r="C57" s="275">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84" t="s">
        <v>2835</v>
      </c>
      <c r="B1" s="3884"/>
      <c r="C1" s="3884"/>
      <c r="D1" s="3884"/>
      <c r="E1" s="3884"/>
      <c r="F1" s="3884"/>
      <c r="G1" s="3885"/>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882" t="s">
        <v>2862</v>
      </c>
      <c r="B3" s="3228"/>
      <c r="C3" s="3229" t="s">
        <v>2807</v>
      </c>
      <c r="D3" s="3229" t="s">
        <v>2863</v>
      </c>
      <c r="E3" s="3229" t="s">
        <v>2809</v>
      </c>
      <c r="F3" s="3229" t="s">
        <v>2864</v>
      </c>
      <c r="G3" s="3229" t="s">
        <v>2627</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883"/>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86" t="s">
        <v>3177</v>
      </c>
      <c r="B1" s="3886"/>
    </row>
    <row r="2" spans="1:7" ht="14.25" thickBot="1">
      <c r="A2" s="3253"/>
      <c r="B2" s="3253"/>
    </row>
    <row r="3" spans="1:7" ht="14.25" thickBot="1">
      <c r="A3" s="3253"/>
      <c r="B3" s="3253"/>
      <c r="C3" s="3254" t="s">
        <v>2807</v>
      </c>
      <c r="D3" s="3254" t="s">
        <v>2863</v>
      </c>
      <c r="E3" s="3254" t="s">
        <v>2809</v>
      </c>
      <c r="F3" s="3254" t="s">
        <v>2864</v>
      </c>
      <c r="G3" s="3254" t="s">
        <v>2627</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87" t="s">
        <v>3228</v>
      </c>
      <c r="B1" s="3887"/>
      <c r="C1" s="3887"/>
      <c r="D1" s="3887"/>
      <c r="E1" s="3887"/>
      <c r="F1" s="3888"/>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9">
        <f>基准地价修正!G23</f>
        <v>45587</v>
      </c>
      <c r="B1" s="3208" t="s">
        <v>3378</v>
      </c>
      <c r="C1" s="3209"/>
      <c r="D1" s="3209"/>
      <c r="E1" s="3209"/>
      <c r="F1" s="3209"/>
      <c r="G1" s="3209"/>
      <c r="H1" s="3209"/>
      <c r="I1" s="3209"/>
      <c r="J1" s="3163"/>
      <c r="K1" s="3209" t="s">
        <v>454</v>
      </c>
      <c r="L1" s="3209"/>
      <c r="M1" s="3209"/>
      <c r="N1" s="3209"/>
      <c r="O1" s="3209"/>
      <c r="P1" s="3209"/>
      <c r="Q1" s="3163"/>
      <c r="R1" s="3889" t="s">
        <v>456</v>
      </c>
      <c r="S1" s="3890"/>
      <c r="T1" s="3890"/>
      <c r="U1" s="3890"/>
      <c r="V1" s="3890"/>
      <c r="W1" s="3890"/>
      <c r="X1" s="3163"/>
      <c r="Y1" s="3889" t="s">
        <v>457</v>
      </c>
      <c r="Z1" s="3890"/>
      <c r="AA1" s="3890"/>
      <c r="AB1" s="3890"/>
      <c r="AC1" s="3890"/>
      <c r="AD1" s="3890"/>
    </row>
    <row r="2" spans="1:30" s="3141" customFormat="1" ht="14.25" thickBot="1">
      <c r="B2" s="3142"/>
      <c r="C2" s="3143"/>
      <c r="D2" s="3144" t="s">
        <v>2806</v>
      </c>
      <c r="E2" s="3145" t="s">
        <v>2807</v>
      </c>
      <c r="F2" s="3145" t="s">
        <v>2808</v>
      </c>
      <c r="G2" s="3145" t="s">
        <v>2809</v>
      </c>
      <c r="H2" s="3145" t="s">
        <v>2810</v>
      </c>
      <c r="I2" s="3145" t="s">
        <v>2627</v>
      </c>
      <c r="J2" s="3146"/>
      <c r="K2" s="3144" t="s">
        <v>2806</v>
      </c>
      <c r="L2" s="3145" t="s">
        <v>2807</v>
      </c>
      <c r="M2" s="3145" t="s">
        <v>2808</v>
      </c>
      <c r="N2" s="3145" t="s">
        <v>2809</v>
      </c>
      <c r="O2" s="3145" t="s">
        <v>2811</v>
      </c>
      <c r="P2" s="3145" t="s">
        <v>2627</v>
      </c>
      <c r="Q2" s="3146"/>
      <c r="R2" s="3144" t="s">
        <v>2806</v>
      </c>
      <c r="S2" s="3145" t="s">
        <v>2807</v>
      </c>
      <c r="T2" s="3145" t="s">
        <v>2808</v>
      </c>
      <c r="U2" s="3145" t="s">
        <v>2812</v>
      </c>
      <c r="V2" s="3145" t="s">
        <v>2813</v>
      </c>
      <c r="W2" s="3145" t="s">
        <v>2627</v>
      </c>
      <c r="X2" s="3146"/>
      <c r="Y2" s="3144" t="s">
        <v>2806</v>
      </c>
      <c r="Z2" s="3145" t="s">
        <v>2807</v>
      </c>
      <c r="AA2" s="3145" t="s">
        <v>2808</v>
      </c>
      <c r="AB2" s="3145" t="s">
        <v>2814</v>
      </c>
      <c r="AC2" s="3145" t="s">
        <v>2813</v>
      </c>
      <c r="AD2" s="3145" t="s">
        <v>2627</v>
      </c>
    </row>
    <row r="3" spans="1:30" s="3159" customFormat="1" ht="12.75">
      <c r="A3" s="3147" t="s">
        <v>2815</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3383</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3382</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3375</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3371</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3367</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3366</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3364</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3363</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3362</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3360</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3351</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2816</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2817</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2818</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2819</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2820</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3381</v>
      </c>
    </row>
    <row r="24" spans="1:30" s="3007" customFormat="1">
      <c r="I24" s="3206" t="s">
        <v>2821</v>
      </c>
    </row>
    <row r="25" spans="1:30" s="3007" customFormat="1"/>
    <row r="26" spans="1:30" s="3207" customFormat="1" ht="12.75">
      <c r="B26" s="3208" t="s">
        <v>3379</v>
      </c>
      <c r="C26" s="3209"/>
      <c r="D26" s="3209"/>
      <c r="E26" s="3209"/>
      <c r="F26" s="3209"/>
      <c r="G26" s="3209"/>
      <c r="H26" s="3209"/>
      <c r="I26" s="3209"/>
      <c r="J26" s="3163"/>
      <c r="K26" s="3209" t="s">
        <v>2822</v>
      </c>
      <c r="L26" s="3209"/>
      <c r="M26" s="3209"/>
      <c r="N26" s="3209"/>
      <c r="O26" s="3209"/>
      <c r="P26" s="3209"/>
      <c r="Q26" s="3163"/>
      <c r="R26" s="3889" t="s">
        <v>2823</v>
      </c>
      <c r="S26" s="3890"/>
      <c r="T26" s="3890"/>
      <c r="U26" s="3890"/>
      <c r="V26" s="3890"/>
      <c r="W26" s="3890"/>
      <c r="X26" s="3163"/>
      <c r="Y26" s="3889" t="s">
        <v>2824</v>
      </c>
      <c r="Z26" s="3890"/>
      <c r="AA26" s="3890"/>
      <c r="AB26" s="3890"/>
      <c r="AC26" s="3890"/>
      <c r="AD26" s="3890"/>
    </row>
    <row r="27" spans="1:30" s="3141" customFormat="1" ht="14.25" thickBot="1">
      <c r="B27" s="3142"/>
      <c r="C27" s="3143"/>
      <c r="D27" s="3144" t="s">
        <v>2825</v>
      </c>
      <c r="E27" s="3145" t="s">
        <v>2826</v>
      </c>
      <c r="F27" s="3145" t="s">
        <v>2827</v>
      </c>
      <c r="G27" s="3145" t="s">
        <v>2828</v>
      </c>
      <c r="H27" s="3145"/>
      <c r="I27" s="3145" t="s">
        <v>2829</v>
      </c>
      <c r="J27" s="3146"/>
      <c r="K27" s="3144" t="s">
        <v>2825</v>
      </c>
      <c r="L27" s="3145" t="s">
        <v>2826</v>
      </c>
      <c r="M27" s="3145" t="s">
        <v>2827</v>
      </c>
      <c r="N27" s="3145" t="s">
        <v>2828</v>
      </c>
      <c r="O27" s="3145"/>
      <c r="P27" s="3145" t="s">
        <v>2829</v>
      </c>
      <c r="Q27" s="3146"/>
      <c r="R27" s="3144" t="s">
        <v>2825</v>
      </c>
      <c r="S27" s="3145" t="s">
        <v>2826</v>
      </c>
      <c r="T27" s="3145" t="s">
        <v>2827</v>
      </c>
      <c r="U27" s="3145" t="s">
        <v>2828</v>
      </c>
      <c r="V27" s="3145"/>
      <c r="W27" s="3145" t="s">
        <v>2829</v>
      </c>
      <c r="X27" s="3146"/>
      <c r="Y27" s="3144" t="s">
        <v>2825</v>
      </c>
      <c r="Z27" s="3145" t="s">
        <v>2826</v>
      </c>
      <c r="AA27" s="3145" t="s">
        <v>2827</v>
      </c>
      <c r="AB27" s="3145" t="s">
        <v>2828</v>
      </c>
      <c r="AC27" s="3145"/>
      <c r="AD27" s="3145" t="s">
        <v>2829</v>
      </c>
    </row>
    <row r="28" spans="1:30" s="3159" customFormat="1" ht="12.75">
      <c r="A28" s="3147" t="s">
        <v>2830</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3374</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3376</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3369</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3377</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3370</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3368</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3366</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3365</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3363</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3362</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3361</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3351</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2831</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2832</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2833</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2834</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2820</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96" t="s">
        <v>452</v>
      </c>
      <c r="C1" s="3896"/>
      <c r="D1" s="3896"/>
      <c r="E1" s="3896"/>
      <c r="F1" s="3896"/>
      <c r="G1" s="3895" t="s">
        <v>453</v>
      </c>
      <c r="H1" s="3895"/>
      <c r="I1" s="3895"/>
      <c r="J1" s="3895"/>
      <c r="K1" s="3895"/>
      <c r="L1" s="3895"/>
      <c r="N1" s="3895" t="s">
        <v>454</v>
      </c>
      <c r="O1" s="3895"/>
      <c r="P1" s="3895"/>
      <c r="Q1" s="3895"/>
      <c r="S1" s="3895" t="s">
        <v>455</v>
      </c>
      <c r="T1" s="3895"/>
      <c r="U1" s="3895"/>
      <c r="V1" s="3895"/>
      <c r="X1" s="3894" t="s">
        <v>456</v>
      </c>
      <c r="Y1" s="3895"/>
      <c r="Z1" s="3895"/>
      <c r="AA1" s="3895"/>
      <c r="AB1" s="3895"/>
      <c r="AD1" s="3894" t="s">
        <v>457</v>
      </c>
      <c r="AE1" s="3895"/>
      <c r="AF1" s="3895"/>
      <c r="AG1" s="3895"/>
      <c r="AH1" s="38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2305</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8" t="str">
        <f>IF(项目基本情况!B9="房地产市场价值","估价结果一览表","结果表-2")</f>
        <v>结果表-2</v>
      </c>
      <c r="B1" s="3578"/>
      <c r="C1" s="3578"/>
      <c r="D1" s="3578"/>
      <c r="E1" s="3578"/>
      <c r="F1" s="3578"/>
      <c r="G1" s="3578"/>
      <c r="H1" s="3578"/>
      <c r="I1" s="3578"/>
    </row>
    <row r="2" spans="1:9" ht="30" customHeight="1" thickTop="1">
      <c r="A2" s="3579" t="s">
        <v>928</v>
      </c>
      <c r="B2" s="3579" t="s">
        <v>929</v>
      </c>
      <c r="C2" s="3579" t="s">
        <v>930</v>
      </c>
      <c r="D2" s="3579" t="str">
        <f>结果表!D116</f>
        <v>出让国有建设用地使用权价值</v>
      </c>
      <c r="E2" s="3579"/>
      <c r="F2" s="3579" t="str">
        <f>结果表!F116</f>
        <v>在建建筑物价值</v>
      </c>
      <c r="G2" s="3579"/>
      <c r="H2" s="3579" t="str">
        <f>IF(项目基本情况!B9="房地产市场价值","房地产市场价值","房地产价值")</f>
        <v>房地产价值</v>
      </c>
      <c r="I2" s="3579"/>
    </row>
    <row r="3" spans="1:9" ht="15">
      <c r="A3" s="3574"/>
      <c r="B3" s="3574"/>
      <c r="C3" s="3574"/>
      <c r="D3" s="854" t="s">
        <v>925</v>
      </c>
      <c r="E3" s="854" t="s">
        <v>931</v>
      </c>
      <c r="F3" s="854" t="s">
        <v>925</v>
      </c>
      <c r="G3" s="854" t="s">
        <v>926</v>
      </c>
      <c r="H3" s="854" t="s">
        <v>925</v>
      </c>
      <c r="I3" s="854" t="s">
        <v>926</v>
      </c>
    </row>
    <row r="4" spans="1:9" ht="30">
      <c r="A4" s="1505" t="str">
        <f>项目基本情况!S2</f>
        <v>北京市朝阳区望京东路4号院1号楼房地产</v>
      </c>
      <c r="B4" s="854">
        <f>项目基本情况!C17</f>
        <v>55858.869999999981</v>
      </c>
      <c r="C4" s="854">
        <f>项目基本情况!C18</f>
        <v>0</v>
      </c>
      <c r="D4" s="854" t="e">
        <f ca="1">结果表!D118</f>
        <v>#REF!</v>
      </c>
      <c r="E4" s="854" t="e">
        <f ca="1">结果表!E118</f>
        <v>#REF!</v>
      </c>
      <c r="F4" s="854" t="e">
        <f ca="1">结果表!F118</f>
        <v>#REF!</v>
      </c>
      <c r="G4" s="854" t="e">
        <f ca="1">结果表!G118</f>
        <v>#REF!</v>
      </c>
      <c r="H4" s="854">
        <f ca="1">结果表!H118</f>
        <v>180489</v>
      </c>
      <c r="I4" s="854">
        <f ca="1">结果表!I118</f>
        <v>32312</v>
      </c>
    </row>
    <row r="5" spans="1:9" ht="30" customHeight="1">
      <c r="A5" s="3574" t="s">
        <v>927</v>
      </c>
      <c r="B5" s="3574"/>
      <c r="C5" s="3574"/>
      <c r="D5" s="3574" t="e">
        <f ca="1">结果表!D119</f>
        <v>#REF!</v>
      </c>
      <c r="E5" s="3574"/>
      <c r="F5" s="3574" t="e">
        <f ca="1">结果表!F119</f>
        <v>#REF!</v>
      </c>
      <c r="G5" s="3574"/>
      <c r="H5" s="3574" t="str">
        <f ca="1">结果表!H119</f>
        <v>壹拾捌亿零肆佰捌拾玖万元整</v>
      </c>
      <c r="I5" s="3574"/>
    </row>
    <row r="6" spans="1:9" ht="15.75">
      <c r="A6" s="3573" t="str">
        <f>结果表!A120</f>
        <v>估价师知悉的法定优先受偿款</v>
      </c>
      <c r="B6" s="3573"/>
      <c r="C6" s="3573"/>
      <c r="D6" s="3573">
        <f>结果表!D120</f>
        <v>0</v>
      </c>
      <c r="E6" s="3573"/>
      <c r="F6" s="3573"/>
      <c r="G6" s="3573"/>
      <c r="H6" s="3573"/>
      <c r="I6" s="3573"/>
    </row>
    <row r="7" spans="1:9" ht="15">
      <c r="A7" s="3574" t="s">
        <v>927</v>
      </c>
      <c r="B7" s="3574"/>
      <c r="C7" s="3574"/>
      <c r="D7" s="3575" t="str">
        <f>结果表!D121</f>
        <v>零元整</v>
      </c>
      <c r="E7" s="3576"/>
      <c r="F7" s="3576"/>
      <c r="G7" s="3576"/>
      <c r="H7" s="3576"/>
      <c r="I7" s="3577"/>
    </row>
    <row r="8" spans="1:9" ht="15.75">
      <c r="A8" s="3573" t="str">
        <f>结果表!A122</f>
        <v>房地产抵押价值</v>
      </c>
      <c r="B8" s="3573"/>
      <c r="C8" s="3573"/>
      <c r="D8" s="3573">
        <f ca="1">结果表!D122</f>
        <v>180489</v>
      </c>
      <c r="E8" s="3573"/>
      <c r="F8" s="3573"/>
      <c r="G8" s="3573"/>
      <c r="H8" s="3573"/>
      <c r="I8" s="3573"/>
    </row>
    <row r="9" spans="1:9" ht="15">
      <c r="A9" s="3574" t="s">
        <v>927</v>
      </c>
      <c r="B9" s="3574"/>
      <c r="C9" s="3574"/>
      <c r="D9" s="3574" t="str">
        <f ca="1">结果表!D123</f>
        <v>壹拾捌亿零肆佰捌拾玖万元整</v>
      </c>
      <c r="E9" s="3574"/>
      <c r="F9" s="3574"/>
      <c r="G9" s="3574"/>
      <c r="H9" s="3574"/>
      <c r="I9" s="3574"/>
    </row>
    <row r="10" spans="1:9" ht="15.75">
      <c r="A10" s="3573" t="str">
        <f>结果表!A124</f>
        <v/>
      </c>
      <c r="B10" s="3573"/>
      <c r="C10" s="3573"/>
      <c r="D10" s="3573" t="str">
        <f>结果表!D124</f>
        <v>——</v>
      </c>
      <c r="E10" s="3573"/>
      <c r="F10" s="3573"/>
      <c r="G10" s="3573"/>
      <c r="H10" s="3573"/>
      <c r="I10" s="3573"/>
    </row>
    <row r="11" spans="1:9" ht="15">
      <c r="A11" s="3574" t="s">
        <v>927</v>
      </c>
      <c r="B11" s="3574"/>
      <c r="C11" s="3574"/>
      <c r="D11" s="3574" t="e">
        <f>结果表!D125</f>
        <v>#VALUE!</v>
      </c>
      <c r="E11" s="3574"/>
      <c r="F11" s="3574"/>
      <c r="G11" s="3574"/>
      <c r="H11" s="3574"/>
      <c r="I11" s="3574"/>
    </row>
    <row r="12" spans="1:9" ht="15.75">
      <c r="A12" s="3573" t="str">
        <f>结果表!A126</f>
        <v/>
      </c>
      <c r="B12" s="3573"/>
      <c r="C12" s="3573"/>
      <c r="D12" s="3573" t="str">
        <f>结果表!D126</f>
        <v>——</v>
      </c>
      <c r="E12" s="3573"/>
      <c r="F12" s="3573"/>
      <c r="G12" s="3573"/>
      <c r="H12" s="3573"/>
      <c r="I12" s="3573"/>
    </row>
    <row r="13" spans="1:9" ht="15.75" thickBot="1">
      <c r="A13" s="3571" t="s">
        <v>927</v>
      </c>
      <c r="B13" s="3571"/>
      <c r="C13" s="3571"/>
      <c r="D13" s="3571" t="e">
        <f>结果表!D127</f>
        <v>#VALUE!</v>
      </c>
      <c r="E13" s="3571"/>
      <c r="F13" s="3571"/>
      <c r="G13" s="3571"/>
      <c r="H13" s="3571"/>
      <c r="I13" s="3571"/>
    </row>
    <row r="14" spans="1:9" ht="15" thickTop="1">
      <c r="A14" s="3572" t="s">
        <v>932</v>
      </c>
      <c r="B14" s="3572"/>
      <c r="C14" s="3572"/>
      <c r="D14" s="3572"/>
      <c r="E14" s="3572"/>
      <c r="F14" s="3572"/>
      <c r="G14" s="3572"/>
      <c r="H14" s="3572"/>
      <c r="I14" s="35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6" t="s">
        <v>949</v>
      </c>
      <c r="B1" s="3586"/>
      <c r="C1" s="3586"/>
      <c r="D1" s="3586"/>
    </row>
    <row r="2" spans="1:4" ht="18">
      <c r="A2" s="3587" t="s">
        <v>933</v>
      </c>
      <c r="B2" s="3587"/>
      <c r="C2" s="3587"/>
      <c r="D2" s="358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87" t="s">
        <v>939</v>
      </c>
      <c r="B6" s="3587"/>
      <c r="C6" s="3587"/>
      <c r="D6" s="35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8" t="s">
        <v>942</v>
      </c>
      <c r="B11" s="3580"/>
      <c r="C11" s="3580"/>
      <c r="D11" s="3580"/>
    </row>
    <row r="12" spans="1:4" ht="15.75">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5"/>
      <c r="C12" s="3585"/>
      <c r="D12" s="3585"/>
    </row>
    <row r="13" spans="1:4" ht="30" customHeight="1">
      <c r="A13" s="35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5"/>
      <c r="C13" s="3585"/>
      <c r="D13" s="3585"/>
    </row>
    <row r="14" spans="1:4" ht="15.75" customHeight="1">
      <c r="A14" s="3580" t="str">
        <f>IF(项目基本情况!B8="抵押","4.本次评估估价师所知悉的法定优先受偿款情况说明如下：","——")</f>
        <v>4.本次评估估价师所知悉的法定优先受偿款情况说明如下：</v>
      </c>
      <c r="B14" s="3585"/>
      <c r="C14" s="3585"/>
      <c r="D14" s="3585"/>
    </row>
    <row r="15" spans="1:4" ht="42" customHeight="1">
      <c r="A15" s="358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0"/>
      <c r="C15" s="3580"/>
      <c r="D15" s="3580"/>
    </row>
    <row r="16" spans="1:4" ht="30" customHeight="1">
      <c r="A16" s="3582" t="s">
        <v>943</v>
      </c>
      <c r="B16" s="3582"/>
      <c r="C16" s="3582"/>
      <c r="D16" s="3582"/>
    </row>
    <row r="17" spans="1:4" ht="144" customHeight="1">
      <c r="A17" s="3582" t="s">
        <v>944</v>
      </c>
      <c r="B17" s="3582"/>
      <c r="C17" s="3582"/>
      <c r="D17" s="3582"/>
    </row>
    <row r="18" spans="1:4" ht="15.75" customHeight="1">
      <c r="A18" s="3580" t="str">
        <f>IF(项目基本情况!B8="抵押",结果表!K120,"——")</f>
        <v>故，本次评估不存在估价师知悉的法定优先受偿款</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0"/>
      <c r="C20" s="3580"/>
      <c r="D20" s="3580"/>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945</v>
      </c>
      <c r="B22" s="3584"/>
      <c r="C22" s="3584"/>
      <c r="D22" s="35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81">
        <v>42551</v>
      </c>
      <c r="D31" s="35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94" t="s">
        <v>956</v>
      </c>
      <c r="B15" s="3589" t="s">
        <v>109</v>
      </c>
      <c r="C15" s="3590"/>
    </row>
    <row r="16" spans="1:7" ht="13.5">
      <c r="A16" s="3595"/>
      <c r="B16" s="3589" t="s">
        <v>42</v>
      </c>
      <c r="C16" s="3590"/>
    </row>
    <row r="17" spans="1:3" ht="13.5">
      <c r="A17" s="3595"/>
      <c r="B17" s="3592" t="s">
        <v>957</v>
      </c>
      <c r="C17" s="1532" t="s">
        <v>956</v>
      </c>
    </row>
    <row r="18" spans="1:3" ht="13.5">
      <c r="A18" s="3595"/>
      <c r="B18" s="3592"/>
      <c r="C18" s="1532" t="s">
        <v>958</v>
      </c>
    </row>
    <row r="19" spans="1:3" ht="13.5">
      <c r="A19" s="3595"/>
      <c r="B19" s="3592"/>
      <c r="C19" s="1532" t="s">
        <v>959</v>
      </c>
    </row>
    <row r="20" spans="1:3" ht="13.5">
      <c r="A20" s="3596"/>
      <c r="B20" s="3591" t="s">
        <v>960</v>
      </c>
      <c r="C20" s="3590"/>
    </row>
    <row r="21" spans="1:3" ht="13.5">
      <c r="A21" s="1533" t="s">
        <v>961</v>
      </c>
      <c r="B21" s="1534"/>
      <c r="C21" s="1535"/>
    </row>
    <row r="22" spans="1:3" ht="13.5">
      <c r="A22" s="3593" t="s">
        <v>962</v>
      </c>
      <c r="B22" s="3591" t="s">
        <v>963</v>
      </c>
      <c r="C22" s="3590"/>
    </row>
    <row r="23" spans="1:3" ht="13.5">
      <c r="A23" s="3593"/>
      <c r="B23" s="3591" t="s">
        <v>964</v>
      </c>
      <c r="C23" s="3590"/>
    </row>
    <row r="24" spans="1:3" ht="13.5">
      <c r="A24" s="3593"/>
      <c r="B24" s="3591" t="s">
        <v>965</v>
      </c>
      <c r="C24" s="3590"/>
    </row>
    <row r="25" spans="1:3" ht="13.5">
      <c r="A25" s="3593"/>
      <c r="B25" s="3592" t="s">
        <v>966</v>
      </c>
      <c r="C25" s="1532" t="s">
        <v>967</v>
      </c>
    </row>
    <row r="26" spans="1:3" ht="13.5">
      <c r="A26" s="3593"/>
      <c r="B26" s="3592"/>
      <c r="C26" s="1532" t="s">
        <v>968</v>
      </c>
    </row>
    <row r="27" spans="1:3" ht="13.5">
      <c r="A27" s="3593"/>
      <c r="B27" s="3592"/>
      <c r="C27" s="1532" t="s">
        <v>969</v>
      </c>
    </row>
    <row r="28" spans="1:3" ht="13.5">
      <c r="A28" s="3593"/>
      <c r="B28" s="3592"/>
      <c r="C28" s="1532" t="s">
        <v>970</v>
      </c>
    </row>
    <row r="29" spans="1:3" ht="13.5">
      <c r="A29" s="3593"/>
      <c r="B29" s="3592"/>
      <c r="C29" s="1532" t="s">
        <v>971</v>
      </c>
    </row>
    <row r="30" spans="1:3" ht="13.5">
      <c r="A30" s="3593"/>
      <c r="B30" s="3592"/>
      <c r="C30" s="1532" t="s">
        <v>972</v>
      </c>
    </row>
    <row r="31" spans="1:3" ht="13.5">
      <c r="A31" s="3593"/>
      <c r="B31" s="3592"/>
      <c r="C31" s="1532" t="s">
        <v>973</v>
      </c>
    </row>
    <row r="32" spans="1:3" ht="13.5">
      <c r="A32" s="3593"/>
      <c r="B32" s="3592"/>
      <c r="C32" s="1532" t="s">
        <v>974</v>
      </c>
    </row>
    <row r="33" spans="1:3" ht="13.5">
      <c r="A33" s="3593"/>
      <c r="B33" s="35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45589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7" t="s">
        <v>2159</v>
      </c>
      <c r="B17" s="3597"/>
      <c r="C17" s="3597"/>
      <c r="D17" s="3597"/>
      <c r="E17" s="3597"/>
      <c r="F17" s="3597"/>
      <c r="G17" s="3597"/>
      <c r="H17" s="3597"/>
    </row>
    <row r="18" spans="1:8" ht="24" customHeight="1">
      <c r="A18" s="3598" t="s">
        <v>2160</v>
      </c>
      <c r="B18" s="3598"/>
      <c r="C18" s="3598"/>
      <c r="D18" s="2343"/>
      <c r="E18" s="3599" t="s">
        <v>2161</v>
      </c>
      <c r="F18" s="3598"/>
      <c r="G18" s="35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收益法</vt:lpstr>
      <vt:lpstr>租赁台账</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2024-10-24T03:10:09Z</dcterms:modified>
</cp:coreProperties>
</file>