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s>
  <externalReferences>
    <externalReference r:id="rId49"/>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80" l="1"/>
  <c r="I48" i="80"/>
  <c r="G48" i="80"/>
  <c r="G29" i="78" l="1"/>
  <c r="H29" i="78" s="1"/>
  <c r="G24" i="78"/>
  <c r="H24" i="78" s="1"/>
  <c r="E25" i="78" l="1"/>
  <c r="E30" i="78" s="1"/>
  <c r="E24" i="78"/>
  <c r="E29" i="78" s="1"/>
  <c r="E23" i="78"/>
  <c r="E28" i="78" s="1"/>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K16" i="78"/>
  <c r="H16" i="78"/>
  <c r="G16" i="78"/>
  <c r="I15" i="78"/>
  <c r="I14" i="78"/>
  <c r="I13" i="78"/>
  <c r="I12" i="78"/>
  <c r="I11" i="78"/>
  <c r="I10" i="78"/>
  <c r="I9" i="78"/>
  <c r="I8" i="78"/>
  <c r="I7" i="78"/>
  <c r="D2" i="80"/>
  <c r="F28" i="78" l="1"/>
  <c r="F23" i="78"/>
  <c r="F30" i="78"/>
  <c r="G25" i="78"/>
  <c r="H25" i="78" s="1"/>
  <c r="F25" i="78"/>
  <c r="F29" i="78"/>
  <c r="I29" i="78" s="1"/>
  <c r="F24" i="78"/>
  <c r="U8" i="80"/>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I16" i="78"/>
  <c r="H23" i="78" l="1"/>
  <c r="I23" i="78" s="1"/>
  <c r="I24" i="78" s="1"/>
  <c r="U6" i="1" s="1"/>
  <c r="G23" i="78"/>
  <c r="G30" i="78"/>
  <c r="H30" i="78" s="1"/>
  <c r="I28" i="78"/>
  <c r="H28" i="78"/>
  <c r="G28" i="78"/>
  <c r="U25" i="80"/>
  <c r="W10" i="80"/>
  <c r="F19" i="6"/>
  <c r="I30" i="78" l="1"/>
  <c r="I31" i="78" s="1"/>
  <c r="C11" i="4"/>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3" i="76"/>
  <c r="B9" i="76"/>
  <c r="E7" i="76"/>
  <c r="E8" i="76"/>
  <c r="B11" i="76"/>
  <c r="E13" i="76"/>
  <c r="B7" i="76"/>
  <c r="B8" i="76"/>
  <c r="E10" i="76"/>
  <c r="E11" i="76"/>
  <c r="E12" i="76"/>
  <c r="B10" i="76"/>
  <c r="B12"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6" i="73"/>
  <c r="F3" i="73"/>
  <c r="D3" i="73"/>
  <c r="F5" i="73"/>
  <c r="D6" i="73"/>
  <c r="I1" i="73" l="1"/>
  <c r="B39" i="1" s="1"/>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AZ47" i="3"/>
  <c r="AZ79" i="3"/>
  <c r="AZ83"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G363" i="3"/>
  <c r="BA365" i="3"/>
  <c r="AZ365" i="3" s="1"/>
  <c r="BL366" i="3"/>
  <c r="G367" i="3"/>
  <c r="BA369" i="3"/>
  <c r="AZ369" i="3" s="1"/>
  <c r="BL370" i="3"/>
  <c r="G371" i="3"/>
  <c r="BA373" i="3"/>
  <c r="BL374" i="3"/>
  <c r="G375" i="3"/>
  <c r="BA377" i="3"/>
  <c r="AZ377" i="3" s="1"/>
  <c r="AZ257" i="3"/>
  <c r="AZ261" i="3"/>
  <c r="AZ265" i="3"/>
  <c r="BA379" i="3"/>
  <c r="AZ379" i="3" s="1"/>
  <c r="BL380" i="3"/>
  <c r="AZ380" i="3" s="1"/>
  <c r="G381" i="3"/>
  <c r="BA383" i="3"/>
  <c r="AZ383" i="3" s="1"/>
  <c r="BL384" i="3"/>
  <c r="G385" i="3"/>
  <c r="BA387" i="3"/>
  <c r="AZ387" i="3" s="1"/>
  <c r="BL388" i="3"/>
  <c r="G389" i="3"/>
  <c r="BA391" i="3"/>
  <c r="AZ391" i="3" s="1"/>
  <c r="BL392" i="3"/>
  <c r="G393" i="3"/>
  <c r="AZ263" i="3"/>
  <c r="AZ279" i="3"/>
  <c r="AZ287" i="3"/>
  <c r="AZ295" i="3"/>
  <c r="BO5" i="3"/>
  <c r="BM5" i="3"/>
  <c r="BJ5" i="3"/>
  <c r="BH5" i="3"/>
  <c r="BF5" i="3"/>
  <c r="BD5" i="3"/>
  <c r="AC5" i="3"/>
  <c r="AZ506" i="3"/>
  <c r="AZ496" i="3"/>
  <c r="G548" i="3"/>
  <c r="G538" i="3"/>
  <c r="G520" i="3"/>
  <c r="G502" i="3"/>
  <c r="BS5" i="3"/>
  <c r="BP5" i="3"/>
  <c r="BN5" i="3"/>
  <c r="AZ343" i="3"/>
  <c r="BK5" i="3"/>
  <c r="BI5" i="3"/>
  <c r="BG5" i="3"/>
  <c r="BE5" i="3"/>
  <c r="BC5" i="3"/>
  <c r="G17" i="3"/>
  <c r="BA17" i="3"/>
  <c r="BT5" i="3"/>
  <c r="AZ360" i="3"/>
  <c r="AZ368" i="3"/>
  <c r="BA15" i="3"/>
  <c r="BB5" i="3"/>
  <c r="BR5" i="3"/>
  <c r="AZ384" i="3"/>
  <c r="E8" i="6"/>
  <c r="F27" i="6" s="1"/>
  <c r="G509" i="3"/>
  <c r="BL493" i="3"/>
  <c r="AZ493" i="3" s="1"/>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F29" i="6" l="1"/>
  <c r="AZ338" i="3"/>
  <c r="AZ327" i="3"/>
  <c r="AZ356" i="3"/>
  <c r="AZ355" i="3"/>
  <c r="AZ351" i="3"/>
  <c r="AZ341" i="3"/>
  <c r="AZ325" i="3"/>
  <c r="AZ309" i="3"/>
  <c r="AZ495" i="3"/>
  <c r="AZ499" i="3"/>
  <c r="AZ503" i="3"/>
  <c r="AZ507" i="3"/>
  <c r="AZ508" i="3"/>
  <c r="AZ553" i="3"/>
  <c r="AZ559" i="3"/>
  <c r="AZ563" i="3"/>
  <c r="AZ567" i="3"/>
  <c r="AZ500" i="3"/>
  <c r="AZ518" i="3"/>
  <c r="AZ522" i="3"/>
  <c r="AZ538" i="3"/>
  <c r="AZ546" i="3"/>
  <c r="AZ552" i="3"/>
  <c r="AZ560" i="3"/>
  <c r="AZ568" i="3"/>
  <c r="AZ576" i="3"/>
  <c r="AZ584" i="3"/>
  <c r="G566" i="3"/>
  <c r="G542" i="3"/>
  <c r="G526" i="3"/>
  <c r="AZ16" i="3"/>
  <c r="J27" i="34"/>
  <c r="H43" i="34"/>
  <c r="AB43" i="34" s="1"/>
  <c r="J9" i="36"/>
  <c r="AC9" i="36" s="1"/>
  <c r="G14" i="3"/>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L348" i="3"/>
  <c r="BL350" i="3"/>
  <c r="G351" i="3"/>
  <c r="BA354" i="3"/>
  <c r="AZ354" i="3" s="1"/>
  <c r="BA358" i="3"/>
  <c r="AZ358" i="3" s="1"/>
  <c r="BA374" i="3"/>
  <c r="AZ374" i="3" s="1"/>
  <c r="G209" i="3"/>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K100" i="43"/>
  <c r="G132" i="3"/>
  <c r="BA133" i="3"/>
  <c r="G134" i="3"/>
  <c r="G136" i="3"/>
  <c r="BL137" i="3"/>
  <c r="G138" i="3"/>
  <c r="G140" i="3"/>
  <c r="BL141" i="3"/>
  <c r="G142" i="3"/>
  <c r="G144" i="3"/>
  <c r="BL145" i="3"/>
  <c r="G146" i="3"/>
  <c r="BL147" i="3"/>
  <c r="AZ147" i="3" s="1"/>
  <c r="G148" i="3"/>
  <c r="BA150" i="3"/>
  <c r="AZ150" i="3" s="1"/>
  <c r="BL150" i="3"/>
  <c r="BA152" i="3"/>
  <c r="AZ152" i="3" s="1"/>
  <c r="BA154" i="3"/>
  <c r="G155" i="3"/>
  <c r="G159" i="3"/>
  <c r="G170" i="3"/>
  <c r="BA173" i="3"/>
  <c r="G174" i="3"/>
  <c r="BL175" i="3"/>
  <c r="AZ175" i="3" s="1"/>
  <c r="BA177" i="3"/>
  <c r="AZ177" i="3" s="1"/>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G12" i="1"/>
  <c r="G10" i="1"/>
  <c r="U44" i="39"/>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15"/>
  <c r="M9" i="15"/>
  <c r="F7" i="15"/>
  <c r="F40" i="67"/>
  <c r="F37" i="67"/>
  <c r="F40" i="15"/>
  <c r="L48" i="15"/>
  <c r="F8" i="67"/>
  <c r="M8" i="67"/>
  <c r="F36" i="67"/>
  <c r="M8" i="15"/>
  <c r="L47" i="15"/>
  <c r="M29" i="67"/>
  <c r="F7" i="67"/>
  <c r="F9" i="15"/>
  <c r="F16" i="15"/>
  <c r="M22" i="67"/>
  <c r="F36" i="15"/>
  <c r="C76" i="67"/>
  <c r="J15" i="15"/>
  <c r="F43" i="15"/>
  <c r="F6" i="67"/>
  <c r="F13" i="15"/>
  <c r="M22" i="15"/>
  <c r="C76" i="15"/>
  <c r="F16" i="67"/>
  <c r="G1" i="73"/>
  <c r="M23" i="15"/>
  <c r="M9" i="67"/>
  <c r="M24" i="67"/>
  <c r="L47" i="67"/>
  <c r="M29" i="15"/>
  <c r="F38" i="15"/>
  <c r="F38" i="67"/>
  <c r="J15" i="67"/>
  <c r="M26" i="15"/>
  <c r="F26" i="67"/>
  <c r="M28" i="15"/>
  <c r="F9" i="67"/>
  <c r="F13" i="67"/>
  <c r="M24" i="15"/>
  <c r="F37" i="15"/>
  <c r="F42" i="15"/>
  <c r="M26" i="67"/>
  <c r="L48" i="67"/>
  <c r="F43" i="67"/>
  <c r="M28" i="67"/>
  <c r="F26" i="15"/>
  <c r="F6" i="15"/>
  <c r="F42" i="67"/>
  <c r="M23" i="67"/>
  <c r="AZ405" i="3" l="1"/>
  <c r="F49" i="67"/>
  <c r="D59" i="80"/>
  <c r="E59" i="80" s="1"/>
  <c r="F59" i="80" s="1"/>
  <c r="G59" i="80" s="1"/>
  <c r="H59" i="80" s="1"/>
  <c r="I59" i="80" s="1"/>
  <c r="J59" i="80" s="1"/>
  <c r="K59" i="80" s="1"/>
  <c r="L59" i="80" s="1"/>
  <c r="M59" i="80" s="1"/>
  <c r="N59" i="80" s="1"/>
  <c r="O59" i="80" s="1"/>
  <c r="H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6" i="6"/>
  <c r="S22"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C16" i="15"/>
  <c r="C17" i="15"/>
  <c r="C16" i="67"/>
  <c r="J7" i="80" l="1"/>
  <c r="F7" i="80"/>
  <c r="D4" i="79"/>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50" i="80"/>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M6" i="15"/>
  <c r="M6" i="67"/>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B6" i="76"/>
  <c r="M21" i="15"/>
  <c r="M21" i="67"/>
  <c r="J5" i="15" l="1"/>
  <c r="J18" i="15" s="1"/>
  <c r="J5" i="67"/>
  <c r="J18" i="67" s="1"/>
  <c r="J24" i="15"/>
  <c r="J24" i="6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M27" i="67"/>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6"/>
  <c r="D2" i="21"/>
  <c r="E2" i="68"/>
  <c r="D2" i="35"/>
  <c r="D2" i="33"/>
  <c r="F20" i="31"/>
  <c r="D2" i="34"/>
  <c r="D2" i="37"/>
  <c r="B2" i="36" l="1"/>
  <c r="B3" i="36" s="1"/>
  <c r="B2" i="35"/>
  <c r="B3" i="35" s="1"/>
  <c r="B2" i="37"/>
  <c r="B3" i="37" s="1"/>
  <c r="B2" i="34"/>
  <c r="B2" i="21"/>
  <c r="B3" i="21" s="1"/>
  <c r="B2" i="70"/>
  <c r="B3" i="70" s="1"/>
  <c r="B3" i="68"/>
  <c r="C19" i="9"/>
  <c r="D19" i="9"/>
  <c r="D20"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H110" i="9"/>
  <c r="D18" i="53" s="1"/>
  <c r="B35" i="72" s="1"/>
  <c r="D124" i="9"/>
  <c r="D16" i="53"/>
  <c r="B34" i="72" s="1"/>
  <c r="R22" i="31" l="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<sst xmlns="http://schemas.openxmlformats.org/spreadsheetml/2006/main" count="7867" uniqueCount="3216">
  <si>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</si>
  <si>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</si>
  <si>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</si>
  <si>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</si>
  <si>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</si>
  <si>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</si>
  <si>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</si>
  <si>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</si>
  <si>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</si>
  <si>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</si>
  <si>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</si>
  <si>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</si>
  <si>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</si>
  <si>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</si>
  <si>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</si>
  <si>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</si>
  <si>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</si>
  <si>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</si>
  <si>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</si>
  <si>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</si>
  <si>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</si>
  <si>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</si>
  <si>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</si>
  <si>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</si>
  <si>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</si>
  <si>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</si>
  <si>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</si>
  <si>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</si>
  <si>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</si>
  <si>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</si>
  <si>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</si>
  <si>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</si>
  <si>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</si>
  <si>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</si>
  <si>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</si>
  <si>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</si>
  <si>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</si>
  <si>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</si>
  <si>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</si>
  <si>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</si>
  <si>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</si>
  <si>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</si>
  <si>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</si>
  <si>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</si>
  <si>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</si>
  <si>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</si>
  <si>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</si>
  <si>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</si>
  <si>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</si>
  <si>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</si>
  <si>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</si>
  <si>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</si>
  <si>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</si>
  <si>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</si>
  <si>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</si>
  <si>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</si>
  <si>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</si>
  <si>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</si>
  <si>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</si>
  <si>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</si>
  <si>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</si>
  <si>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</si>
  <si>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</si>
  <si>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</si>
  <si>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</si>
  <si>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</si>
  <si>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</si>
  <si>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</si>
  <si>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</si>
  <si>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</si>
  <si>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</si>
  <si>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</si>
  <si>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</si>
  <si>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</si>
  <si>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</si>
  <si>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</si>
  <si>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</si>
  <si>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</si>
  <si>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</si>
  <si>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</si>
  <si>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</si>
  <si>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</si>
  <si>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</si>
  <si>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</si>
  <si>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</si>
  <si>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</si>
  <si>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</si>
  <si>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</si>
  <si>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</si>
  <si>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</si>
  <si>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</si>
  <si>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</si>
  <si>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</si>
  <si>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</si>
  <si>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</si>
  <si>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</si>
  <si>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</si>
  <si>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</si>
  <si>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</si>
  <si>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</si>
  <si>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</si>
  <si>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</si>
  <si>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</si>
  <si>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</si>
  <si>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</si>
  <si>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</si>
  <si>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</si>
  <si>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</si>
  <si>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</si>
  <si>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</si>
  <si>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</si>
  <si>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</si>
  <si>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</si>
  <si>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</si>
  <si>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</si>
  <si>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</si>
  <si>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</si>
  <si>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</si>
  <si>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</si>
  <si>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</si>
  <si>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</si>
  <si>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</si>
  <si>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</si>
  <si>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</si>
  <si>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</si>
  <si>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</si>
  <si>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</si>
  <si>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</si>
  <si>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</si>
  <si>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</si>
  <si>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</si>
  <si>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</si>
  <si>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</si>
  <si>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</si>
  <si>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</si>
  <si>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</si>
  <si>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</si>
  <si>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</si>
  <si>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</si>
  <si>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</si>
  <si>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</si>
  <si>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</si>
  <si>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</si>
  <si>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</si>
  <si>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</si>
  <si>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</si>
  <si>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</si>
  <si>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</si>
  <si>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</si>
  <si>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</si>
  <si>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</si>
  <si>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</si>
  <si>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</si>
  <si>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</si>
  <si>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</si>
  <si>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</si>
  <si>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</si>
  <si>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</si>
  <si>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</si>
  <si>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</si>
  <si>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</si>
  <si>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</si>
  <si>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</si>
  <si>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</si>
  <si>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</si>
  <si>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</si>
  <si>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</si>
  <si>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</si>
  <si>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</si>
  <si>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</si>
  <si>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</si>
  <si>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</si>
  <si>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</si>
  <si>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</si>
  <si>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</si>
  <si>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</si>
  <si>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</si>
  <si>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</si>
  <si>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</si>
  <si>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</si>
  <si>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</si>
  <si>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</si>
  <si>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</si>
  <si>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</si>
  <si>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</si>
  <si>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</si>
  <si>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</si>
  <si>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</si>
  <si>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</si>
  <si>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</si>
  <si>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</si>
  <si>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</si>
  <si>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</si>
  <si>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</si>
  <si>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</si>
  <si>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</si>
  <si>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</si>
  <si>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</si>
  <si>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</si>
  <si>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</si>
  <si>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</si>
  <si>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</si>
  <si>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</si>
  <si>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</si>
  <si>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</si>
  <si>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</si>
  <si>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</si>
  <si>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</si>
  <si>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</si>
  <si>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</si>
  <si>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</si>
  <si>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</si>
  <si>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</si>
  <si>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</si>
  <si>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</si>
  <si>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</si>
  <si>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</si>
  <si>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</si>
  <si>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</si>
  <si>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</si>
  <si>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</si>
  <si>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</si>
  <si>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</si>
  <si>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</si>
  <si>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</si>
  <si>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</si>
  <si>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</si>
  <si>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</si>
  <si>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</si>
  <si>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</si>
  <si>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</si>
  <si>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</si>
  <si>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</si>
  <si>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</si>
  <si>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</si>
  <si>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</si>
  <si>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</si>
  <si>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</si>
  <si>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</si>
  <si>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</si>
  <si>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</si>
  <si>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</si>
  <si>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</si>
  <si>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</si>
  <si>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</si>
  <si>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</si>
  <si>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</si>
  <si>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</si>
  <si>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</si>
  <si>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</si>
  <si>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</si>
  <si>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</si>
  <si>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</si>
  <si>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</si>
  <si>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</si>
  <si>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</si>
  <si>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</si>
  <si>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</si>
  <si>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</si>
  <si>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</si>
  <si>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</si>
  <si>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</si>
  <si>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</si>
  <si>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</si>
  <si>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</si>
  <si>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</si>
  <si>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</si>
  <si>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</si>
  <si>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</si>
  <si>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</si>
  <si>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</si>
  <si>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</si>
  <si>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</si>
  <si>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</si>
  <si>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</si>
  <si>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</si>
  <si>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</si>
  <si>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</si>
  <si>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</si>
  <si>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</si>
  <si>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</si>
  <si>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</si>
  <si>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</si>
  <si>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</si>
  <si>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</si>
  <si>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</si>
  <si>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</si>
  <si>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</si>
  <si>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</si>
  <si>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</si>
  <si>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</si>
  <si>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</si>
  <si>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</si>
  <si>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</si>
  <si>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</si>
  <si>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</si>
  <si>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</si>
  <si>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</si>
  <si>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</si>
  <si>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</si>
  <si>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</si>
  <si>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</si>
  <si>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</si>
  <si>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</si>
  <si>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</si>
  <si>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</si>
  <si>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</si>
  <si>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</si>
  <si>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</si>
  <si>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</si>
  <si>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</si>
  <si>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</si>
  <si>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</si>
  <si>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</si>
  <si>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</si>
  <si>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</si>
  <si>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</si>
  <si>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</si>
  <si>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</si>
  <si>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</si>
  <si>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</si>
  <si>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</si>
  <si>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</si>
  <si>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</si>
  <si>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</si>
  <si>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</si>
  <si>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</si>
  <si>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</si>
  <si>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</si>
  <si>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</si>
  <si>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</si>
  <si>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</si>
  <si>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</si>
  <si>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</si>
  <si>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</si>
  <si>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</si>
  <si>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</si>
  <si>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</si>
  <si>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</si>
  <si>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</si>
  <si>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</si>
  <si>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</si>
  <si>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</si>
  <si>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</si>
  <si>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</si>
  <si>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</si>
  <si>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</si>
  <si>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</si>
  <si>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</si>
  <si>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</si>
  <si>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</si>
  <si>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</si>
  <si>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</si>
  <si>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</si>
  <si>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</si>
  <si>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</si>
  <si>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</si>
  <si>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</si>
  <si>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</si>
  <si>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</si>
  <si>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</si>
  <si>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</si>
  <si>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</si>
  <si>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</si>
  <si>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</si>
  <si>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</si>
  <si>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</si>
  <si>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</si>
  <si>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</si>
  <si>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</si>
  <si>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</si>
  <si>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</si>
  <si>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</si>
  <si>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</si>
  <si>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</si>
  <si>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</si>
  <si>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</si>
  <si>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</si>
  <si>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</si>
  <si>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</si>
  <si>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</si>
  <si>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</si>
  <si>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</si>
  <si>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</si>
  <si>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</si>
  <si>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</si>
  <si>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</si>
  <si>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</si>
  <si>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</si>
  <si>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</si>
  <si>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</si>
  <si>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</si>
  <si>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</si>
  <si>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</si>
  <si>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</si>
  <si>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</si>
  <si>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</si>
  <si>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</si>
  <si>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</si>
  <si>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</si>
  <si>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</si>
  <si>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</si>
  <si>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</si>
  <si>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</si>
  <si>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</si>
  <si>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</si>
  <si>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</si>
  <si>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</si>
  <si>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</si>
  <si>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</si>
  <si>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</si>
  <si>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</si>
  <si>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</si>
  <si>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</si>
  <si>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</si>
  <si>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</si>
  <si>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</si>
  <si>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</si>
  <si>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</si>
  <si>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</si>
  <si>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</si>
  <si>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</si>
  <si>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</si>
  <si>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</si>
  <si>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</si>
  <si>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</si>
  <si>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</si>
  <si>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</si>
  <si>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</si>
  <si>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</si>
  <si>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</si>
  <si>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</si>
  <si>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</si>
  <si>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</si>
  <si>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</si>
  <si>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</si>
  <si>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</si>
  <si>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</si>
  <si>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</si>
  <si>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</si>
  <si>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</si>
  <si>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</si>
  <si>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</si>
  <si>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</si>
  <si>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</si>
  <si>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</si>
  <si>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</si>
  <si>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</si>
  <si>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</si>
  <si>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</si>
  <si>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</si>
  <si>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</si>
  <si>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</si>
  <si>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</si>
  <si>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</si>
  <si>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</si>
  <si>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</si>
  <si>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</si>
  <si>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</si>
  <si>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</si>
  <si>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</si>
  <si>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</si>
  <si>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</si>
  <si>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</si>
  <si>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</si>
  <si>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</si>
  <si>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</si>
  <si>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</si>
  <si>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</si>
  <si>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</si>
  <si>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</si>
  <si>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</si>
  <si>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</si>
  <si>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</si>
  <si>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</si>
  <si>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</si>
  <si>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</si>
  <si>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</si>
  <si>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</si>
  <si>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</si>
  <si>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</si>
  <si>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</si>
  <si>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</si>
  <si>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</si>
  <si>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</si>
  <si>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</si>
  <si>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</si>
  <si>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</si>
  <si>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</si>
  <si>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</si>
  <si>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</si>
  <si>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</si>
  <si>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</si>
  <si>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</si>
  <si>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</si>
  <si>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</si>
  <si>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</si>
  <si>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</si>
  <si>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</si>
  <si>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</si>
  <si>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</si>
  <si>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</si>
  <si>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</si>
  <si>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</si>
  <si>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</si>
  <si>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</si>
  <si>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</si>
  <si>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</si>
  <si>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</si>
  <si>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</si>
  <si>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</si>
  <si>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</si>
  <si>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</si>
  <si>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</si>
  <si>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</si>
  <si>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</si>
  <si>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</si>
  <si>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</si>
  <si>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</si>
  <si>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</si>
  <si>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</si>
  <si>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</si>
  <si>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</si>
  <si>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</si>
  <si>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</si>
  <si>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</si>
  <si>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</si>
  <si>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</si>
  <si>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</si>
  <si>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</si>
  <si>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</si>
  <si>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</si>
  <si>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</si>
  <si>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</si>
  <si>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</si>
  <si>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</si>
  <si>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</si>
  <si>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</si>
  <si>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</si>
  <si>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</si>
  <si>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</si>
  <si>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</si>
  <si>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</si>
  <si>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</si>
  <si>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</si>
  <si>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</si>
  <si>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</si>
  <si>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</si>
  <si>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</si>
  <si>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</si>
  <si>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</si>
  <si>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</si>
  <si>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</si>
  <si>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</si>
  <si>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</si>
  <si>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</si>
  <si>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</si>
  <si>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</si>
  <si>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</si>
  <si>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</si>
  <si>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</si>
  <si>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</si>
  <si>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</si>
  <si>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</si>
  <si>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</si>
  <si>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</si>
  <si>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</si>
  <si>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</si>
  <si>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</si>
  <si>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</si>
  <si>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</si>
  <si>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</si>
  <si>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</si>
  <si>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</si>
  <si>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</si>
  <si>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</si>
  <si>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</si>
  <si>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</si>
  <si>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</si>
  <si>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</si>
  <si>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</si>
  <si>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</si>
  <si>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</si>
  <si>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</si>
  <si>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</si>
  <si>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</si>
  <si>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</si>
  <si>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</si>
  <si>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</si>
  <si>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</si>
  <si>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</si>
  <si>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</si>
  <si>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</si>
  <si>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</si>
  <si>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</si>
  <si>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</si>
  <si>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</si>
  <si>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</si>
  <si>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</si>
  <si>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</si>
  <si>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</si>
  <si>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</si>
  <si>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</si>
  <si>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</si>
  <si>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</si>
  <si>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</si>
  <si>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</si>
  <si>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</si>
  <si>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</si>
  <si>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</si>
  <si>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</si>
  <si>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</si>
  <si>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</si>
  <si>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</si>
  <si>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</si>
  <si>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</si>
  <si>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</si>
  <si>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</si>
  <si>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</si>
  <si>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</si>
  <si>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</si>
  <si>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</si>
  <si>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</si>
  <si>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</si>
  <si>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</si>
  <si>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</si>
  <si>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</si>
  <si>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</si>
  <si>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</si>
  <si>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</si>
  <si>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</si>
  <si>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</si>
  <si>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</si>
  <si>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</si>
  <si>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</si>
  <si>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</si>
  <si>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</si>
  <si>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</si>
  <si>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</si>
  <si>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</si>
  <si>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</si>
  <si>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</si>
  <si>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</si>
  <si>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</si>
  <si>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</si>
  <si>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</si>
  <si>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</si>
  <si>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</si>
  <si>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</si>
  <si>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</si>
  <si>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</si>
  <si>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</si>
  <si>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</si>
  <si>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</si>
  <si>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</si>
  <si>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</si>
  <si>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</si>
  <si>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</si>
  <si>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</si>
  <si>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</si>
  <si>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</si>
  <si>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</si>
  <si>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</si>
  <si>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</si>
  <si>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</si>
  <si>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</si>
  <si>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</si>
  <si>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</si>
  <si>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</si>
  <si>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</si>
  <si>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</si>
  <si>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</si>
  <si>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</si>
  <si>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</si>
  <si>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</si>
  <si>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</si>
  <si>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</si>
  <si>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</si>
  <si>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</si>
  <si>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</si>
  <si>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</si>
  <si>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</si>
  <si>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</si>
  <si>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</si>
  <si>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</si>
  <si>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</si>
  <si>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</si>
  <si>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</si>
  <si>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</si>
  <si>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</si>
  <si>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</si>
  <si>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</si>
  <si>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</si>
  <si>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</si>
  <si>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</si>
  <si>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</si>
  <si>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</si>
  <si>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</si>
  <si>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</si>
  <si>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</si>
  <si>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</si>
  <si>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</si>
  <si>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</si>
  <si>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</si>
  <si>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</si>
  <si>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</si>
  <si>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</si>
  <si>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</si>
  <si>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</si>
  <si>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</si>
  <si>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</si>
  <si>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</si>
  <si>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</si>
  <si>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</si>
  <si>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</si>
  <si>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</si>
  <si>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</si>
  <si>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</si>
  <si>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</si>
  <si>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</si>
  <si>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</si>
  <si>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</si>
  <si>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</si>
  <si>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</si>
  <si>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</si>
  <si>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</si>
  <si>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</si>
  <si>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</si>
  <si>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</si>
  <si>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</si>
  <si>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</si>
  <si>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</si>
  <si>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</si>
  <si>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</si>
  <si>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</si>
  <si>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</si>
  <si>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</si>
  <si>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</si>
  <si>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</si>
  <si>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</si>
  <si>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</si>
  <si>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</si>
  <si>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</si>
  <si>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</si>
  <si>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</si>
  <si>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</si>
  <si>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</si>
  <si>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</si>
  <si>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</si>
  <si>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</si>
  <si>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</si>
  <si>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</si>
  <si>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</si>
  <si>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</si>
  <si>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</si>
  <si>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</si>
  <si>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</si>
  <si>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</si>
  <si>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</si>
  <si>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</si>
  <si>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</si>
  <si>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</si>
  <si>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</si>
  <si>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</si>
  <si>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</si>
  <si>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</si>
  <si>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</si>
  <si>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</si>
  <si>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</si>
  <si>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</si>
  <si>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</si>
  <si>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</si>
  <si>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</si>
  <si>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</si>
  <si>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</si>
  <si>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</si>
  <si>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</si>
  <si>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</si>
  <si>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</si>
  <si>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</si>
  <si>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</si>
  <si>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</si>
  <si>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</si>
  <si>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</si>
  <si>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</si>
  <si>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</si>
  <si>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</si>
  <si>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</si>
  <si>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</si>
  <si>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</si>
  <si>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</si>
  <si>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</si>
  <si>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</si>
  <si>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</si>
  <si>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</si>
  <si>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</si>
  <si>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</si>
  <si>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</si>
  <si>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</si>
  <si>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</si>
  <si>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</si>
  <si>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</si>
  <si>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</si>
  <si>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</si>
  <si>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</si>
  <si>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</si>
  <si>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</si>
  <si>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</si>
  <si>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</si>
  <si>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</si>
  <si>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</si>
  <si>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</si>
  <si>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</si>
  <si>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</si>
  <si>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</si>
  <si>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</si>
  <si>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</si>
  <si>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</si>
  <si>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</si>
  <si>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</si>
  <si>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</si>
  <si>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</si>
  <si>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</si>
  <si>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</si>
  <si>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</si>
  <si>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</si>
  <si>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</si>
  <si>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</si>
  <si>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</si>
  <si>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</si>
  <si>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</si>
  <si>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</si>
  <si>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</si>
  <si>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</si>
  <si>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</si>
  <si>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</si>
  <si>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</si>
  <si>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</si>
  <si>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</si>
  <si>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</si>
  <si>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</si>
  <si>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</si>
  <si>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</si>
  <si>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</si>
  <si>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</si>
  <si>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</si>
  <si>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</si>
  <si>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</si>
  <si>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</si>
  <si>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</si>
  <si>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</si>
  <si>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</si>
  <si>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</si>
  <si>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</si>
  <si>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</si>
  <si>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</si>
  <si>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</si>
  <si>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</si>
  <si>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</si>
  <si>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</si>
  <si>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</si>
  <si>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</si>
  <si>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</si>
  <si>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</si>
  <si>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</si>
  <si>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</si>
  <si>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</si>
  <si>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</si>
  <si>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</si>
  <si>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</si>
  <si>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</si>
  <si>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</si>
  <si>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</si>
  <si>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</si>
  <si>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</si>
  <si>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</si>
  <si>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</si>
  <si>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</si>
  <si>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</si>
  <si>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</si>
  <si>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</si>
  <si>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</si>
  <si>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</si>
  <si>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</si>
  <si>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</si>
  <si>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</si>
  <si>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</si>
  <si>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</si>
  <si>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</si>
  <si>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</si>
  <si>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</si>
  <si>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</si>
  <si>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</si>
  <si>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</si>
  <si>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</si>
  <si>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</si>
  <si>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</si>
  <si>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</si>
  <si>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</si>
  <si>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</si>
  <si>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</si>
  <si>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</si>
  <si>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</si>
  <si>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</si>
  <si>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</si>
  <si>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</si>
  <si>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</si>
  <si>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</si>
  <si>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</si>
  <si>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</si>
  <si>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</si>
  <si>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</si>
  <si>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</si>
  <si>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</si>
  <si>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</si>
  <si>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</si>
  <si>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</si>
  <si>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</si>
  <si>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</si>
  <si>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</si>
  <si>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</si>
  <si>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</si>
  <si>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</si>
  <si>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</si>
  <si>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</si>
  <si>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</si>
  <si>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</si>
  <si>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</si>
  <si>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</si>
  <si>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</si>
  <si>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</si>
  <si>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</si>
  <si>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</si>
  <si>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</si>
  <si>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</si>
  <si>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</si>
  <si>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</si>
  <si>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</si>
  <si>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</si>
  <si>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</si>
  <si>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</si>
  <si>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</si>
  <si>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</si>
  <si>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</si>
  <si>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</si>
  <si>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</si>
  <si>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</si>
  <si>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</si>
  <si>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</si>
  <si>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</si>
  <si>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</si>
  <si>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</si>
  <si>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</si>
  <si>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</si>
  <si>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</si>
  <si>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</si>
  <si>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</si>
  <si>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</si>
  <si>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</si>
  <si>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</si>
  <si>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</si>
  <si>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</si>
  <si>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</si>
  <si>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</si>
  <si>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</si>
  <si>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</si>
  <si>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</si>
  <si>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</si>
  <si>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</si>
  <si>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</si>
  <si>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</si>
  <si>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</si>
  <si>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</si>
  <si>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</si>
  <si>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</si>
  <si>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</si>
  <si>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</si>
  <si>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</si>
  <si>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</si>
  <si>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</si>
  <si>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</si>
  <si>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</si>
  <si>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</si>
  <si>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</si>
  <si>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</si>
  <si>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</si>
  <si>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</si>
  <si>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</si>
  <si>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</si>
  <si>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</si>
  <si>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</si>
  <si>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</si>
  <si>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</si>
  <si>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</si>
  <si>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</si>
  <si>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</si>
  <si>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</si>
  <si>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</si>
  <si>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</si>
  <si>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</si>
  <si>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</si>
  <si>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</si>
  <si>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</si>
  <si>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</si>
  <si>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</si>
  <si>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</si>
  <si>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</si>
  <si>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</si>
  <si>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</si>
  <si>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</si>
  <si>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</si>
  <si>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</si>
  <si>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</si>
  <si>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</si>
  <si>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</si>
  <si>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</si>
  <si>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</si>
  <si>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</si>
  <si>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</si>
  <si>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</si>
  <si>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</si>
  <si>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</si>
  <si>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</si>
  <si>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</si>
  <si>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</si>
  <si>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</si>
  <si>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</si>
  <si>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</si>
  <si>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</si>
  <si>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</si>
  <si>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</si>
  <si>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</si>
  <si>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</si>
  <si>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</si>
  <si>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</si>
  <si>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</si>
  <si>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</si>
  <si>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</si>
  <si>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</si>
  <si>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</si>
  <si>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</si>
  <si>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</si>
  <si>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</si>
  <si>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</si>
  <si>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</si>
  <si>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</si>
  <si>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</si>
  <si>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</si>
  <si>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</si>
  <si>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</si>
  <si>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</si>
  <si>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</si>
  <si>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</si>
  <si>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</si>
  <si>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</si>
  <si>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</si>
  <si>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</si>
  <si>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</si>
  <si>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</si>
  <si>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</si>
  <si>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</si>
  <si>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</si>
  <si>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</si>
  <si>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</si>
  <si>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</si>
  <si>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</si>
  <si>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</si>
  <si>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</si>
  <si>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</si>
  <si>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</si>
  <si>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</si>
  <si>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</si>
  <si>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</si>
  <si>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</si>
  <si>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</si>
  <si>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</si>
  <si>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</si>
  <si>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</si>
  <si>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</si>
  <si>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</si>
  <si>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</si>
  <si>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</si>
  <si>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</si>
  <si>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</si>
  <si>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</si>
  <si>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</si>
  <si>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</si>
  <si>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</si>
  <si>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</si>
  <si>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</si>
  <si>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</si>
  <si>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</si>
  <si>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</si>
  <si>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</si>
  <si>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</si>
  <si>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</si>
  <si>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</si>
  <si>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</si>
  <si>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</si>
  <si>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</si>
  <si>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</si>
  <si>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</si>
  <si>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</si>
  <si>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</si>
  <si>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</si>
  <si>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</si>
  <si>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</si>
  <si>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</si>
  <si>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</si>
  <si>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</si>
  <si>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</si>
  <si>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</si>
  <si>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</si>
  <si>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</si>
  <si>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</si>
  <si>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</si>
  <si>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</si>
  <si>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</si>
  <si>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</si>
  <si>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</si>
  <si>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</si>
  <si>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</si>
  <si>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</si>
  <si>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</si>
  <si>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</si>
  <si>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</si>
  <si>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</si>
  <si>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</si>
  <si>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</si>
  <si>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</si>
  <si>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</si>
  <si>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</si>
  <si>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</si>
  <si>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</si>
  <si>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</si>
  <si>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</si>
  <si>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</si>
  <si>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</si>
  <si>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</si>
  <si>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</si>
  <si>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</si>
  <si>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</si>
  <si>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</si>
  <si>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</si>
  <si>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</si>
  <si>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</si>
  <si>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</si>
  <si>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</si>
  <si>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</si>
  <si>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</si>
  <si>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</si>
  <si>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</si>
  <si>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</si>
  <si>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</si>
  <si>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</si>
  <si>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</si>
  <si>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</si>
  <si>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</si>
  <si>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</si>
  <si>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</si>
  <si>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</si>
  <si>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</si>
  <si>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</si>
  <si>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</si>
  <si>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</si>
  <si>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</si>
  <si>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</si>
  <si>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</si>
  <si>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</si>
  <si>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</si>
  <si>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</si>
  <si>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</si>
  <si>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</si>
  <si>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</si>
  <si>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</si>
  <si>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</si>
  <si>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</si>
  <si>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</si>
  <si>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</si>
  <si>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</si>
  <si>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</si>
  <si>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</si>
  <si>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</si>
  <si>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</si>
  <si>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</si>
  <si>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</si>
  <si>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</si>
  <si>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</si>
  <si>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</si>
  <si>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</si>
  <si>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</si>
  <si>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</si>
  <si>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</si>
  <si>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</si>
  <si>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</si>
  <si>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</si>
  <si>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</si>
  <si>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</si>
  <si>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</si>
  <si>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</si>
  <si>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</si>
  <si>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</si>
  <si>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</si>
  <si>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</si>
  <si>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</si>
  <si>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</si>
  <si>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</si>
  <si>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</si>
  <si>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</si>
  <si>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</si>
  <si>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</si>
  <si>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</si>
  <si>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</si>
  <si>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</si>
  <si>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</si>
  <si>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</si>
  <si>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</si>
  <si>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</si>
  <si>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</si>
  <si>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</si>
  <si>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</si>
  <si>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</si>
  <si>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</si>
  <si>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</si>
  <si>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</si>
  <si>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</si>
  <si>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</si>
  <si>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</si>
  <si>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</si>
  <si>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</si>
  <si>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</si>
  <si>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</si>
  <si>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</si>
  <si>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</si>
  <si>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</si>
  <si>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</si>
  <si>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</si>
  <si>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</si>
  <si>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</si>
  <si>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</si>
  <si>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</si>
  <si>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</si>
  <si>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</si>
  <si>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</si>
  <si>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</si>
  <si>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</si>
  <si>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</si>
  <si>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</si>
  <si>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</si>
  <si>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</si>
  <si>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</si>
  <si>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</si>
  <si>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</si>
  <si>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</si>
  <si>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</si>
  <si>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</si>
  <si>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</si>
  <si>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</si>
  <si>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</si>
  <si>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</si>
  <si>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</si>
  <si>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</si>
  <si>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</si>
  <si>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</si>
  <si>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</si>
  <si>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</si>
  <si>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</si>
  <si>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</si>
  <si>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</si>
  <si>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</si>
  <si>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</si>
  <si>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</si>
  <si>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</si>
  <si>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</si>
  <si>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</si>
  <si>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</si>
  <si>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</si>
  <si>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</si>
  <si>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</si>
  <si>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</si>
  <si>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</si>
  <si>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</si>
  <si>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</si>
  <si>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</si>
  <si>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</si>
  <si>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</si>
  <si>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</si>
  <si>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</si>
  <si>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</si>
  <si>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</si>
  <si>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</si>
  <si>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</si>
  <si>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</si>
  <si>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</si>
  <si>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</si>
  <si>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</si>
  <si>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</si>
  <si>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</si>
  <si>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</si>
  <si>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</si>
  <si>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</si>
  <si>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</si>
  <si>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</si>
  <si>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</si>
  <si>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</si>
  <si>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</si>
  <si>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</si>
  <si>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</si>
  <si>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</si>
  <si>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</si>
  <si>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</si>
  <si>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</si>
  <si>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</si>
  <si>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</si>
  <si>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</si>
  <si>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</si>
  <si>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</si>
  <si>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</si>
  <si>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</si>
  <si>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</si>
  <si>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</si>
  <si>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</si>
  <si>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</si>
  <si>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</si>
  <si>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</si>
  <si>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</si>
  <si>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</si>
  <si>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</si>
  <si>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</si>
  <si>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</si>
  <si>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</si>
  <si>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</si>
  <si>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</si>
  <si>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</si>
  <si>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</si>
  <si>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</si>
  <si>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</si>
  <si>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</si>
  <si>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</si>
  <si>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</si>
  <si>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</si>
  <si>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</si>
  <si>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</si>
  <si>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</si>
  <si>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</si>
  <si>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</si>
  <si>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</si>
  <si>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</si>
  <si>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</si>
  <si>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</si>
  <si>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</si>
  <si>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</si>
  <si>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</si>
  <si>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</si>
  <si>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</si>
  <si>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</si>
  <si>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</si>
  <si>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</si>
  <si>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</si>
  <si>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</si>
  <si>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</si>
  <si>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</si>
  <si>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</si>
  <si>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</si>
  <si>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</si>
  <si>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</si>
  <si>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</si>
  <si>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</si>
  <si>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</si>
  <si>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</si>
  <si>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</si>
  <si>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</si>
  <si>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</si>
  <si>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</si>
  <si>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</si>
  <si>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</si>
  <si>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</si>
  <si>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</si>
  <si>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</si>
  <si>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</si>
  <si>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</si>
  <si>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</si>
  <si>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</si>
  <si>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</si>
  <si>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</si>
  <si>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</si>
  <si>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</si>
  <si>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</si>
  <si>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</si>
  <si>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</si>
  <si>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</si>
  <si>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</si>
  <si>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</si>
  <si>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</si>
  <si>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</si>
  <si>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</si>
  <si>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</si>
  <si>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</si>
  <si>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</si>
  <si>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</si>
  <si>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</si>
  <si>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</si>
  <si>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</si>
  <si>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</si>
  <si>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</si>
  <si>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</si>
  <si>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</si>
  <si>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</si>
  <si>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</si>
  <si>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</si>
  <si>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</si>
  <si>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</si>
  <si>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</si>
  <si>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</si>
  <si>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</si>
  <si>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</si>
  <si>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</si>
  <si>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</si>
  <si>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</si>
  <si>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</si>
  <si>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</si>
  <si>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</si>
  <si>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</si>
  <si>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</si>
  <si>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</si>
  <si>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</si>
  <si>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</si>
  <si>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</si>
  <si>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</si>
  <si>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</si>
  <si>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</si>
  <si>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</si>
  <si>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</si>
  <si>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</si>
  <si>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</si>
  <si>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</si>
  <si>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</si>
  <si>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</si>
  <si>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</si>
  <si>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</si>
  <si>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</si>
  <si>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</si>
  <si>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</si>
  <si>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</si>
  <si>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</si>
  <si>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</si>
  <si>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</si>
  <si>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</si>
  <si>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</si>
  <si>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</si>
  <si>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</si>
  <si>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</si>
  <si>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</si>
  <si>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</si>
  <si>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</si>
  <si>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</si>
  <si>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</si>
  <si>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</si>
  <si>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</si>
  <si>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</si>
  <si>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</si>
  <si>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</si>
  <si>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</si>
  <si>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</si>
  <si>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</si>
  <si>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</si>
  <si>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</si>
  <si>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</si>
  <si>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</si>
  <si>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</si>
  <si>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</si>
  <si>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</si>
  <si>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</si>
  <si>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</si>
  <si>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</si>
  <si>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</si>
  <si>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</si>
  <si>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</si>
  <si>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</si>
  <si>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</si>
  <si>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</si>
  <si>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</si>
  <si>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</si>
  <si>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</si>
  <si>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</si>
  <si>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</si>
  <si>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</si>
  <si>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</si>
  <si>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</si>
  <si>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</si>
  <si>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</si>
  <si>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</si>
  <si>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</si>
  <si>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</si>
  <si>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</si>
  <si>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</si>
  <si>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</si>
  <si>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</si>
  <si>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</si>
  <si>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</si>
  <si>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</si>
  <si>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</si>
  <si>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</si>
  <si>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</si>
  <si>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</si>
  <si>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</si>
  <si>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</si>
  <si>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</si>
  <si>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</si>
  <si>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</si>
  <si>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</si>
  <si>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</si>
  <si>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</si>
  <si>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</si>
  <si>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</si>
  <si>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</si>
  <si>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</si>
  <si>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</si>
  <si>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</si>
  <si>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</si>
  <si>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</si>
  <si>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</si>
  <si>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</si>
  <si>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</si>
  <si>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</si>
  <si>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</si>
  <si>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</si>
  <si>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</si>
  <si>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</si>
  <si>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</si>
  <si>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</si>
  <si>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</si>
  <si>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</si>
  <si>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</si>
  <si>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</si>
  <si>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</si>
  <si>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</si>
  <si>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</si>
  <si>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</si>
  <si>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</si>
  <si>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</si>
  <si>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</si>
  <si>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</si>
  <si>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</si>
  <si>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</si>
  <si>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</si>
  <si>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</si>
  <si>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</si>
  <si>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</si>
  <si>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</si>
  <si>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</si>
  <si>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</si>
  <si>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</si>
  <si>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</si>
  <si>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</si>
  <si>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</si>
  <si>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</si>
  <si>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</si>
  <si>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</si>
  <si>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</si>
  <si>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</si>
  <si>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</si>
  <si>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</si>
  <si>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</si>
  <si>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</si>
  <si>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</si>
  <si>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</si>
  <si>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</si>
  <si>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</si>
  <si>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</si>
  <si>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</si>
  <si>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</si>
  <si>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</si>
  <si>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</si>
  <si>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</si>
  <si>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</si>
  <si>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</si>
  <si>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</si>
  <si>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</si>
  <si>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</si>
  <si>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</si>
  <si>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</si>
  <si>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</si>
  <si>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</si>
  <si>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</si>
  <si>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</si>
  <si>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</si>
  <si>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</si>
  <si>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</si>
  <si>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</si>
  <si>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</si>
  <si>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</si>
  <si>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</si>
  <si>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</si>
  <si>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</si>
  <si>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</si>
  <si>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</si>
  <si>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</si>
  <si>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</si>
  <si>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</si>
  <si>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</si>
  <si>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</si>
  <si>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</si>
  <si>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</si>
  <si>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</si>
  <si>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</si>
  <si>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</si>
  <si>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</si>
  <si>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</si>
  <si>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</si>
  <si>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</si>
  <si>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</si>
  <si>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</si>
  <si>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</si>
  <si>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</si>
  <si>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</si>
  <si>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</si>
  <si>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</si>
  <si>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</si>
  <si>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</si>
  <si>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</si>
  <si>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</si>
  <si>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</si>
  <si>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</si>
  <si>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</si>
  <si>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</si>
  <si>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</si>
  <si>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</si>
  <si>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</si>
  <si>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</si>
  <si>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</si>
  <si>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</si>
  <si>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</si>
  <si>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</si>
  <si>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</si>
  <si>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</si>
  <si>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</si>
  <si>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</si>
  <si>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</si>
  <si>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</si>
  <si>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</si>
  <si>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</si>
  <si>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</si>
  <si>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</si>
  <si>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</si>
  <si>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</si>
  <si>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</si>
  <si>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</si>
  <si>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</si>
  <si>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</si>
  <si>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</si>
  <si>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</si>
  <si>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</si>
  <si>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</si>
  <si>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</si>
  <si>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</si>
  <si>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</si>
  <si>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</si>
  <si>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</si>
  <si>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</si>
  <si>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</si>
  <si>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</si>
  <si>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</si>
  <si>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</si>
  <si>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</si>
  <si>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</si>
  <si>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</si>
  <si>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</si>
  <si>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</si>
  <si>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</si>
  <si>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</si>
  <si>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</si>
  <si>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</si>
  <si>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</si>
  <si>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</si>
  <si>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</si>
  <si>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</si>
  <si>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</si>
  <si>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</si>
  <si>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</si>
  <si>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</si>
  <si>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</si>
  <si>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</si>
  <si>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</si>
  <si>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</si>
  <si>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</si>
  <si>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</si>
  <si>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</si>
  <si>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</si>
  <si>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</si>
  <si>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</si>
  <si>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</si>
  <si>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</si>
  <si>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</si>
  <si>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</si>
  <si>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</si>
  <si>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</si>
  <si>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</si>
  <si>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</si>
  <si>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</si>
  <si>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</si>
  <si>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</si>
  <si>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</si>
  <si>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</si>
  <si>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</si>
  <si>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</si>
  <si>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</si>
  <si>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</si>
  <si>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</si>
  <si>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</si>
  <si>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</si>
  <si>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</si>
  <si>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</si>
  <si>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</si>
  <si>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</si>
  <si>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</si>
  <si>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</si>
  <si>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</si>
  <si>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</si>
  <si>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</si>
  <si>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</si>
  <si>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</si>
  <si>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</si>
  <si>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</si>
  <si>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</si>
  <si>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</si>
  <si>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</si>
  <si>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</si>
  <si>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</si>
  <si>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</si>
  <si>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</si>
  <si>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</si>
  <si>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</si>
  <si>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</si>
  <si>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</si>
  <si>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</si>
  <si>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</si>
  <si>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</si>
  <si>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</si>
  <si>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</si>
  <si>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</si>
  <si>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</si>
  <si>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</si>
  <si>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</si>
  <si>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</si>
  <si>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</si>
  <si>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</si>
  <si>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</si>
  <si>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</si>
  <si>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</si>
  <si>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</si>
  <si>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</si>
  <si>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</si>
  <si>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</si>
  <si>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</si>
  <si>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</si>
  <si>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</si>
  <si>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</si>
  <si>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</si>
  <si>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</si>
  <si>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</si>
  <si>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</si>
  <si>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</si>
  <si>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</si>
  <si>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</si>
  <si>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</si>
  <si>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</si>
  <si>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</si>
  <si>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</si>
  <si>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</si>
  <si>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</si>
  <si>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</si>
  <si>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</si>
  <si>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</si>
  <si>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</si>
  <si>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</si>
  <si>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</si>
  <si>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</si>
  <si>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</si>
  <si>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</si>
  <si>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</si>
  <si>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</si>
  <si>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</si>
  <si>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</si>
  <si>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</si>
  <si>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</si>
  <si>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</si>
  <si>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</si>
  <si>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</si>
  <si>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</si>
  <si>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</si>
  <si>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</si>
  <si>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</si>
  <si>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</si>
  <si>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</si>
  <si>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</si>
  <si>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</si>
  <si>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</si>
  <si>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</si>
  <si>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</si>
  <si>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</si>
  <si>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</si>
  <si>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</si>
  <si>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</si>
  <si>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</si>
  <si>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</si>
  <si>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</si>
  <si>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</si>
  <si>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</si>
  <si>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</si>
  <si>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</si>
  <si>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</si>
  <si>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</si>
  <si>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</si>
  <si>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</si>
  <si>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</si>
  <si>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</si>
  <si>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</si>
  <si>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</si>
  <si>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</si>
  <si>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</si>
  <si>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</si>
  <si>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</si>
  <si>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</si>
  <si>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</si>
  <si>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</si>
  <si>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</si>
  <si>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</si>
  <si>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</si>
  <si>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</si>
  <si>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</si>
  <si>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</si>
  <si>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</si>
  <si>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</si>
  <si>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</si>
  <si>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</si>
  <si>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</si>
  <si>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</si>
  <si>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</si>
  <si>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</si>
  <si>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</si>
  <si>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</si>
  <si>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</si>
  <si>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</si>
  <si>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</si>
  <si>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</si>
  <si>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</si>
  <si>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</si>
  <si>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</si>
  <si>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</si>
  <si>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</si>
  <si>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</si>
  <si>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</si>
  <si>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</si>
  <si>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</si>
  <si>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</si>
  <si>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</si>
  <si>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</si>
  <si>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</si>
  <si>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</si>
  <si>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</si>
  <si>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</si>
  <si>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</si>
  <si>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</si>
  <si>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</si>
  <si>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</si>
  <si>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</si>
  <si>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</si>
  <si>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</si>
  <si>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</si>
  <si>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</si>
  <si>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</si>
  <si>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</si>
  <si>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</si>
  <si>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</si>
  <si>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</si>
  <si>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</si>
  <si>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</si>
  <si>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</si>
  <si>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</si>
  <si>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</si>
  <si>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</si>
  <si>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</si>
  <si>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</si>
  <si>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</si>
  <si>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</si>
  <si>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</si>
  <si>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</si>
  <si>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</si>
  <si>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</si>
  <si>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</si>
  <si>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</si>
  <si>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</si>
  <si>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</si>
  <si>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</si>
  <si>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</si>
  <si>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</si>
  <si>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</si>
  <si>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</si>
  <si>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</si>
  <si>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</si>
  <si>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</si>
  <si>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</si>
  <si>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</si>
  <si>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</si>
  <si>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</si>
  <si>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</si>
  <si>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</si>
  <si>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</si>
  <si>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</si>
  <si>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</si>
  <si>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</si>
  <si>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</si>
  <si>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</si>
  <si>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</si>
  <si>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</si>
  <si>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</si>
  <si>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</si>
  <si>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</si>
  <si>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</si>
  <si>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</si>
  <si>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</si>
  <si>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</si>
  <si>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</si>
  <si>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</si>
  <si>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</si>
  <si>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</si>
  <si>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</si>
  <si>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</si>
  <si>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</si>
  <si>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</si>
  <si>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</si>
  <si>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</si>
  <si>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</si>
  <si>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</si>
  <si>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</si>
  <si>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</si>
  <si>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</si>
  <si>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</si>
  <si>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</si>
  <si>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</si>
  <si>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</si>
  <si>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</si>
  <si>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</si>
  <si>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</si>
  <si>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</si>
  <si>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</si>
  <si>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</si>
  <si>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</si>
  <si>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</si>
  <si>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</si>
  <si>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</si>
  <si>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</si>
  <si>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</si>
  <si>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</si>
  <si>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</si>
  <si>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</si>
  <si>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</si>
  <si>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</si>
  <si>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</si>
  <si>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</si>
  <si>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</si>
  <si>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</si>
  <si>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</si>
  <si>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</si>
  <si>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</si>
  <si>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</si>
  <si>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</si>
  <si>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</si>
  <si>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</si>
  <si>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</si>
  <si>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</si>
  <si>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</si>
  <si>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</si>
  <si>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</si>
  <si>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</si>
  <si>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</si>
  <si>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</si>
  <si>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</si>
  <si>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</si>
  <si>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</si>
  <si>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</si>
  <si>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</si>
  <si>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</si>
  <si>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</si>
  <si>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</si>
  <si>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</si>
  <si>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</si>
  <si>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</si>
  <si>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</si>
  <si>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</si>
  <si>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</si>
  <si>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</si>
  <si>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</si>
  <si>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</si>
  <si>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</si>
  <si>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</si>
  <si>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</si>
  <si>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</si>
  <si>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</si>
  <si>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</si>
  <si>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</si>
  <si>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</si>
  <si>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</si>
  <si>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</si>
  <si>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</si>
  <si>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</si>
  <si>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</si>
  <si>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</si>
  <si>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</si>
  <si>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</si>
  <si>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</si>
  <si>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</si>
  <si>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</si>
  <si>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</si>
  <si>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</si>
  <si>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</si>
  <si>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</si>
  <si>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</si>
  <si>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</si>
  <si>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</si>
  <si>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</si>
  <si>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</si>
  <si>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</si>
  <si>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</si>
  <si>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</si>
  <si>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</si>
  <si>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</si>
  <si>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</si>
  <si>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</si>
  <si>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</si>
  <si>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</si>
  <si>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</si>
  <si>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</si>
  <si>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</si>
  <si>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</si>
  <si>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</si>
  <si>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</si>
  <si>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</si>
  <si>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</si>
  <si>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</si>
  <si>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</si>
  <si>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</si>
  <si>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</si>
  <si>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</si>
  <si>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</si>
  <si>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</si>
  <si>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</si>
  <si>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</si>
  <si>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</si>
  <si>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</si>
  <si>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</si>
  <si>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</si>
  <si>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</si>
  <si>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</si>
  <si>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</si>
  <si>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</si>
  <si>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</si>
  <si>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</si>
  <si>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</si>
  <si>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</si>
  <si>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</si>
  <si>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</si>
  <si>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</si>
  <si>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</si>
  <si>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</si>
  <si>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</si>
  <si>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</si>
  <si>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</si>
  <si>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</si>
  <si>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</si>
  <si>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</si>
  <si>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</si>
  <si>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</si>
  <si>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</si>
  <si>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</si>
  <si>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</si>
  <si>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</si>
  <si>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</si>
  <si>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</si>
  <si>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</si>
  <si>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</si>
  <si>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</si>
  <si>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</si>
  <si>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</si>
  <si>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</si>
  <si>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</si>
  <si>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</si>
  <si>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</si>
  <si>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</si>
  <si>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</si>
  <si>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</si>
  <si>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</si>
  <si>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</si>
  <si>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</si>
  <si>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</si>
  <si>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</si>
  <si>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</si>
  <si>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</si>
  <si>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</si>
  <si>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</si>
  <si>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</si>
  <si>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</si>
  <si>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</si>
  <si>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</si>
  <si>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</si>
  <si>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</si>
  <si>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</si>
  <si>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</si>
  <si>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</si>
  <si>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</si>
  <si>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</si>
  <si>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</si>
  <si>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</si>
  <si>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</si>
  <si>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</si>
  <si>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</si>
  <si>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</si>
  <si>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</si>
  <si>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</si>
  <si>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</si>
  <si>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</si>
  <si>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</si>
  <si>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</si>
  <si>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</si>
  <si>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</si>
  <si>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</si>
  <si>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</si>
  <si>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</si>
  <si>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</si>
  <si>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</si>
  <si>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</si>
  <si>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</si>
  <si>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</si>
  <si>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</si>
  <si>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</si>
  <si>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</si>
  <si>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</si>
  <si>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</si>
  <si>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</si>
  <si>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</si>
  <si>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</si>
  <si>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</si>
  <si>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</si>
  <si>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</si>
  <si>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</si>
  <si>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</si>
  <si>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</si>
  <si>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</si>
  <si>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</si>
  <si>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</si>
  <si>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</si>
  <si>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</si>
  <si>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</si>
  <si>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</si>
  <si>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</si>
  <si>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</si>
  <si>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</si>
  <si>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</si>
  <si>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</si>
  <si>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</si>
  <si>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</si>
  <si>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</si>
  <si>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</si>
  <si>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</si>
  <si>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</si>
  <si>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</si>
  <si>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</si>
  <si>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</si>
  <si>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</si>
  <si>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</si>
  <si>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</si>
  <si>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</si>
  <si>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</si>
  <si>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</si>
  <si>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</si>
  <si>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</si>
  <si>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</si>
  <si>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</si>
  <si>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</si>
  <si>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</si>
  <si>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</si>
  <si>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</si>
  <si>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</si>
  <si>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</si>
  <si>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</si>
  <si>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</si>
  <si>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</si>
  <si>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</si>
  <si>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</si>
  <si>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</si>
  <si>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</si>
  <si>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</si>
  <si>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</si>
  <si>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</si>
  <si>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</si>
  <si>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</si>
  <si>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</si>
  <si>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</si>
  <si>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</si>
  <si>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</si>
  <si>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</si>
  <si>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</si>
  <si>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</si>
  <si>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</si>
  <si>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</si>
  <si>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</si>
  <si>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</si>
  <si>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</si>
  <si>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</si>
  <si>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</si>
  <si>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</si>
  <si>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</si>
  <si>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</si>
  <si>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</si>
  <si>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</si>
  <si>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</si>
  <si>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</si>
  <si>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</si>
  <si>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</si>
  <si>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</si>
  <si>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</si>
  <si>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</si>
  <si>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</si>
  <si>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</si>
  <si>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</si>
  <si>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</si>
  <si>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</si>
  <si>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</si>
  <si>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</si>
  <si>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</si>
  <si>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</si>
  <si>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</si>
  <si>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</si>
  <si>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</si>
  <si>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</si>
  <si>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</si>
  <si>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</si>
  <si>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</si>
  <si>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</si>
  <si>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</si>
  <si>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</si>
  <si>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</si>
  <si>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</si>
  <si>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</si>
  <si>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</si>
  <si>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</si>
  <si>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</si>
  <si>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</si>
  <si>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</si>
  <si>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</si>
  <si>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</si>
  <si>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</si>
  <si>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</si>
  <si>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</si>
  <si>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</si>
  <si>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</si>
  <si>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</si>
  <si>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</si>
  <si>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</si>
  <si>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</si>
  <si>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</si>
  <si>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</si>
  <si>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</si>
  <si>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</si>
  <si>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</si>
  <si>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</si>
  <si>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</si>
  <si>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</si>
  <si>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</si>
  <si>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</si>
  <si>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</si>
  <si>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</si>
  <si>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</si>
  <si>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</si>
  <si>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</si>
  <si>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</si>
  <si>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</si>
  <si>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</si>
  <si>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</si>
  <si>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</si>
  <si>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</si>
  <si>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</si>
  <si>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</si>
  <si>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</si>
  <si>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</si>
  <si>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</si>
  <si>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</si>
  <si>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</si>
  <si>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</si>
  <si>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</si>
  <si>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</si>
  <si>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</si>
  <si>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</si>
  <si>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</si>
  <si>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</si>
  <si>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</si>
  <si>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</si>
  <si>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</si>
  <si>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</si>
  <si>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</si>
  <si>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</si>
  <si>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</si>
  <si>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</si>
  <si>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</si>
  <si>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</si>
  <si>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</si>
  <si>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</si>
  <si>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</si>
  <si>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</si>
  <si>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</si>
  <si>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</si>
  <si>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</si>
  <si>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</si>
  <si>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</si>
  <si>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</si>
  <si>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</si>
  <si>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</si>
  <si>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</si>
  <si>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</si>
  <si>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</si>
  <si>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</si>
  <si>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</si>
  <si>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</si>
  <si>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</si>
  <si>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</si>
  <si>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</si>
  <si>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</si>
  <si>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</si>
  <si>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</si>
  <si>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</si>
  <si>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</si>
  <si>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</si>
  <si>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</si>
  <si>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</si>
  <si>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</si>
  <si>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</si>
  <si>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</si>
  <si>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</si>
  <si>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</si>
  <si>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</si>
  <si>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</si>
  <si>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</si>
  <si>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</si>
  <si>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</si>
  <si>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</si>
  <si>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</si>
  <si>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</si>
  <si>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</si>
  <si>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</si>
  <si>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</si>
  <si>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</si>
  <si>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</si>
  <si>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</si>
  <si>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</si>
  <si>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</si>
  <si>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</si>
  <si>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</si>
  <si>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</si>
  <si>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</si>
  <si>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</si>
  <si>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</si>
  <si>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</si>
  <si>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</si>
  <si>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</si>
  <si>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</si>
  <si>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</si>
  <si>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</si>
  <si>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</si>
  <si>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</si>
  <si>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</si>
  <si>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</si>
  <si>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</si>
  <si>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</si>
  <si>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</si>
  <si>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</si>
  <si>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</si>
  <si>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</si>
  <si>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</si>
  <si>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</si>
  <si>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</si>
  <si>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</si>
  <si>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</si>
  <si>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</si>
  <si>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</si>
  <si>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</si>
  <si>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</si>
  <si>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</si>
  <si>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</si>
  <si>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</si>
  <si>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</si>
  <si>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</si>
  <si>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</si>
  <si>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</si>
  <si>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</si>
  <si>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</si>
  <si>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</si>
  <si>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</si>
  <si>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</si>
  <si>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</si>
  <si>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</si>
  <si>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</si>
  <si>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</si>
  <si>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</si>
  <si>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</si>
  <si>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</si>
  <si>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</si>
  <si>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</si>
  <si>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</si>
  <si>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</si>
  <si>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</si>
  <si>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</si>
  <si>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</si>
  <si>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</si>
  <si>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</si>
  <si>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</si>
  <si>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</si>
  <si>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</si>
  <si>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</si>
  <si>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</si>
  <si>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</si>
  <si>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</si>
  <si>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</si>
  <si>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</si>
  <si>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</si>
  <si>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</si>
  <si>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</si>
  <si>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</si>
  <si>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</si>
  <si>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</si>
  <si>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</si>
  <si>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</si>
  <si>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</si>
  <si>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</si>
  <si>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</si>
  <si>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</si>
  <si>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</si>
  <si>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</si>
  <si>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</si>
  <si>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</si>
  <si>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</si>
  <si>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</si>
  <si>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</si>
  <si>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</si>
  <si>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</si>
  <si>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</si>
  <si>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</si>
  <si>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</si>
  <si>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</si>
  <si>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</si>
  <si>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</si>
  <si>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</si>
  <si>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</si>
  <si>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</si>
  <si>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</si>
  <si>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</si>
  <si>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</si>
  <si>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</si>
  <si>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</si>
  <si>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</si>
  <si>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</si>
  <si>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</si>
  <si>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</si>
  <si>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</si>
  <si>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</si>
  <si>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</si>
  <si>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</si>
  <si>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</si>
  <si>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</si>
  <si>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</si>
  <si>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</si>
  <si>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</si>
  <si>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</si>
  <si>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</si>
  <si>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</si>
  <si>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</si>
  <si>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</si>
  <si>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</si>
  <si>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</si>
  <si>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</si>
  <si>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</si>
  <si>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</si>
  <si>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</si>
  <si>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</si>
  <si>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</si>
  <si>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</si>
  <si>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</si>
  <si>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</si>
  <si>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</si>
  <si>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</si>
  <si>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</si>
  <si>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</si>
  <si>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</si>
  <si>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</si>
  <si>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</si>
  <si>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</si>
  <si>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</si>
  <si>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</si>
  <si>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</si>
  <si>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</si>
  <si>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</si>
  <si>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</si>
  <si>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</si>
  <si>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</si>
  <si>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</si>
  <si>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</si>
  <si>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</si>
  <si>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</si>
  <si>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</si>
  <si>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</si>
  <si>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</si>
  <si>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</si>
  <si>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</si>
  <si>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</si>
  <si>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</si>
  <si>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</si>
  <si>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</si>
  <si>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</si>
  <si>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</si>
  <si>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</si>
  <si>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</si>
  <si>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</si>
  <si>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</si>
  <si>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</si>
  <si>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</si>
  <si>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</si>
  <si>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</si>
  <si>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</si>
  <si>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</si>
  <si>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</si>
  <si>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</si>
  <si>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</si>
  <si>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</si>
  <si>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</si>
  <si>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</si>
  <si>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</si>
  <si>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</si>
  <si>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</si>
  <si>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</si>
  <si>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</si>
  <si>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</si>
  <si>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</si>
  <si>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</si>
  <si>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</si>
  <si>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</si>
  <si>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</si>
  <si>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</si>
  <si>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</si>
  <si>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</si>
  <si>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</si>
  <si>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</si>
  <si>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</si>
  <si>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</si>
  <si>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</si>
  <si>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</si>
  <si>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</si>
  <si>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</si>
  <si>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</si>
  <si>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</si>
  <si>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</si>
  <si>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</si>
  <si>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</si>
  <si>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</si>
  <si>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</si>
  <si>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</si>
  <si>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</si>
  <si>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</si>
  <si>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</si>
  <si>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</si>
  <si>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</si>
  <si>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</si>
  <si>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</si>
  <si>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</si>
  <si>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</si>
  <si>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</si>
  <si>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</si>
  <si>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</si>
  <si>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</si>
  <si>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</si>
  <si>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</si>
  <si>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</si>
  <si>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</si>
  <si>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</si>
  <si>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</si>
  <si>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</si>
  <si>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</si>
  <si>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</si>
  <si>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</si>
  <si>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</si>
  <si>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</si>
  <si>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</si>
  <si>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</si>
  <si>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</si>
  <si>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</si>
  <si>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</si>
  <si>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</si>
  <si>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</si>
  <si>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</si>
  <si>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</si>
  <si>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</si>
  <si>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</si>
  <si>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</si>
  <si>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</si>
  <si>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</si>
  <si>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</si>
  <si>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</si>
  <si>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</si>
  <si>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</si>
  <si>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</si>
  <si>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</si>
  <si>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</si>
  <si>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</si>
  <si>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</si>
  <si>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</si>
  <si>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</si>
  <si>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</si>
  <si>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</si>
  <si>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</si>
  <si>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</si>
  <si>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</si>
  <si>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</si>
  <si>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</si>
  <si>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</si>
  <si>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</si>
  <si>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</si>
  <si>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</si>
  <si>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</si>
  <si>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</si>
  <si>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</si>
  <si>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</si>
  <si>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</si>
  <si>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</si>
  <si>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</si>
  <si>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</si>
  <si>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</si>
  <si>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</si>
  <si>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</si>
  <si>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</si>
  <si>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</si>
  <si>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</si>
  <si>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</si>
  <si>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</si>
  <si>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</si>
  <si>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</si>
  <si>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</si>
  <si>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</si>
  <si>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</si>
  <si>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</si>
  <si>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</si>
  <si>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</si>
  <si>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</si>
  <si>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</si>
  <si>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</si>
  <si>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</si>
  <si>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</si>
  <si>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</si>
  <si>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</si>
  <si>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</si>
  <si>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</si>
  <si>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</si>
  <si>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</si>
  <si>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</si>
  <si>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</si>
  <si>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</si>
  <si>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</si>
  <si>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</si>
  <si>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</si>
  <si>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</si>
  <si>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</si>
  <si>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</si>
  <si>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</si>
  <si>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</si>
  <si>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</si>
  <si>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</si>
  <si>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</si>
  <si>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</si>
  <si>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</si>
  <si>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</si>
  <si>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</si>
  <si>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</si>
  <si>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</si>
  <si>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</si>
  <si>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</si>
  <si>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</si>
  <si>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</si>
  <si>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</si>
  <si>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</si>
  <si>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</si>
  <si>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</si>
  <si>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</si>
  <si>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</si>
  <si>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</si>
  <si>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</si>
  <si>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</si>
  <si>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</si>
  <si>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</si>
  <si>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</si>
  <si>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</si>
  <si>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</si>
  <si>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</si>
  <si>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</si>
  <si>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</si>
  <si>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</si>
  <si>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</si>
  <si>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</si>
  <si>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</si>
  <si>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</si>
  <si>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</si>
  <si>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</si>
  <si>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</si>
  <si>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</si>
  <si>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</si>
  <si>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</si>
  <si>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</si>
  <si>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</si>
  <si>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</si>
  <si>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</si>
  <si>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</si>
  <si>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</si>
  <si>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</si>
  <si>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</si>
  <si>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</si>
  <si>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</si>
  <si>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</si>
  <si>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</si>
  <si>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</si>
  <si>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</si>
  <si>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</si>
  <si>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</si>
  <si>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</si>
  <si>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</si>
  <si>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</si>
  <si>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</si>
  <si>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</si>
  <si>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</si>
  <si>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</si>
  <si>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</si>
  <si>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</si>
  <si>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</si>
  <si>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</si>
  <si>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</si>
  <si>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</si>
  <si>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</si>
  <si>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</si>
  <si>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</si>
  <si>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</si>
  <si>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</si>
  <si>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</si>
  <si>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</si>
  <si>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</si>
  <si>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</si>
  <si>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</si>
  <si>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</si>
  <si>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</si>
  <si>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</si>
  <si>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</si>
  <si>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</si>
  <si>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</si>
  <si>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</si>
  <si>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</si>
  <si>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</si>
  <si>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</si>
  <si>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</si>
  <si>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</si>
  <si>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</si>
  <si>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</si>
  <si>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</si>
  <si>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</si>
  <si>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</si>
  <si>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</si>
  <si>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</si>
  <si>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</si>
  <si>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</si>
  <si>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</si>
  <si>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</si>
  <si>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</si>
  <si>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</si>
  <si>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</si>
  <si>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</si>
  <si>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</si>
  <si>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</si>
  <si>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</si>
  <si>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</si>
  <si>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</si>
  <si>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</si>
  <si>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</si>
  <si>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</si>
  <si>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</si>
  <si>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</si>
  <si>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</si>
  <si>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</si>
  <si>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</si>
  <si>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</si>
  <si>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</si>
  <si>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</si>
  <si>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</si>
  <si>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</si>
  <si>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</si>
  <si>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</si>
  <si>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</si>
  <si>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</si>
  <si>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</si>
  <si>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</si>
  <si>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</si>
  <si>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</si>
  <si>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</si>
  <si>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</si>
  <si>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</si>
  <si>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</si>
  <si>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</si>
  <si>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</si>
  <si>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</si>
  <si>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</si>
  <si>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</si>
  <si>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</si>
  <si>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</si>
  <si>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</si>
  <si>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</si>
  <si>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</si>
  <si>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</si>
  <si>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</si>
  <si>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</si>
  <si>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</si>
  <si>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</si>
  <si>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</si>
  <si>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</si>
  <si>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</si>
  <si>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</si>
  <si>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</si>
  <si>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</si>
  <si>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</si>
  <si>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</si>
  <si>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</si>
  <si>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</si>
  <si>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</si>
  <si>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</si>
  <si>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</si>
  <si>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</si>
  <si>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</si>
  <si>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</si>
  <si>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</si>
  <si>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</si>
  <si>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</si>
  <si>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</si>
  <si>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</si>
  <si>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</si>
  <si>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</si>
  <si>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</si>
  <si>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</si>
  <si>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</si>
  <si>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</si>
  <si>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</si>
  <si>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</si>
  <si>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</si>
  <si>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</si>
  <si>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</si>
  <si>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</si>
  <si>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</si>
  <si>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</si>
  <si>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</si>
  <si>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</si>
  <si>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</si>
  <si>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</si>
  <si>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</si>
  <si>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</si>
  <si>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</si>
  <si>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</si>
  <si>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</si>
  <si>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</si>
  <si>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</si>
  <si>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</si>
  <si>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</si>
  <si>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</si>
  <si>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</si>
  <si>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</si>
  <si>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</si>
  <si>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</si>
  <si>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</si>
  <si>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</si>
  <si>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</si>
  <si>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</si>
  <si>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</si>
  <si>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</si>
  <si>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</si>
  <si>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</si>
  <si>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</si>
  <si>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</si>
  <si>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</si>
  <si>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</si>
  <si>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</si>
  <si>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</si>
  <si>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</si>
  <si>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</si>
  <si>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</si>
  <si>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</si>
  <si>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</si>
  <si>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</si>
  <si>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</si>
  <si>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</si>
  <si>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</si>
  <si>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</si>
  <si>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</si>
  <si>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</si>
  <si>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</si>
  <si>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</si>
  <si>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</si>
  <si>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</si>
  <si>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</si>
  <si>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</si>
  <si>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</si>
  <si>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</si>
  <si>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</si>
  <si>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</si>
  <si>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</si>
  <si>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</si>
  <si>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</si>
  <si>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</si>
  <si>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</si>
  <si>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</si>
  <si>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</si>
  <si>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</si>
  <si>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</si>
  <si>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</si>
  <si>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</si>
  <si>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</si>
  <si>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</si>
  <si>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</si>
  <si>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</si>
  <si>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</si>
  <si>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</si>
  <si>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</si>
  <si>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</si>
  <si>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</si>
  <si>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</si>
  <si>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</si>
  <si>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</si>
  <si>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</si>
  <si>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</si>
  <si>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</si>
  <si>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</si>
  <si>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</si>
  <si>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</si>
  <si>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</si>
  <si>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</si>
  <si>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</si>
  <si>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</si>
  <si>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</si>
  <si>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</si>
  <si>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</si>
  <si>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</si>
  <si>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</si>
  <si>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</si>
  <si>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</si>
  <si>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</si>
  <si>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</si>
  <si>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</si>
  <si>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</si>
  <si>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</si>
  <si>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</si>
  <si>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</si>
  <si>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</si>
  <si>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</si>
  <si>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</si>
  <si>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</si>
  <si>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</si>
  <si>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</si>
  <si>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</si>
  <si>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</si>
  <si>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</si>
  <si>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</si>
  <si>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</si>
  <si>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</si>
  <si>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</si>
  <si>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</si>
  <si>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</si>
  <si>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</si>
  <si>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</si>
  <si>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</si>
  <si>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</si>
  <si>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</si>
  <si>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</si>
  <si>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</si>
  <si>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</si>
  <si>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</si>
  <si>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</si>
  <si>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</si>
  <si>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</si>
  <si>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</si>
  <si>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</si>
  <si>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</si>
  <si>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</si>
  <si>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</si>
  <si>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</si>
  <si>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</si>
  <si>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</si>
  <si>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</si>
  <si>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</si>
  <si>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</si>
  <si>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</si>
  <si>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</si>
  <si>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</si>
  <si>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</si>
  <si>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</si>
  <si>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</si>
  <si>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</si>
  <si>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</si>
  <si>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</si>
  <si>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</si>
  <si>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</si>
  <si>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</si>
  <si>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</si>
  <si>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</si>
  <si>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</si>
  <si>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</si>
  <si>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</si>
  <si>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</si>
  <si>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</si>
  <si>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</si>
  <si>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</si>
  <si>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</si>
  <si>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</si>
  <si>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</si>
  <si>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</si>
  <si>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</si>
  <si>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</si>
  <si>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</si>
  <si>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</si>
  <si>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</si>
  <si>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</si>
  <si>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</si>
  <si>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</si>
  <si>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</si>
  <si>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</si>
  <si>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</si>
  <si>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</si>
  <si>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</si>
  <si>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</si>
  <si>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</si>
  <si>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</si>
  <si>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</si>
  <si>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</si>
  <si>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</si>
  <si>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</si>
  <si>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</si>
  <si>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北京京城机电资产管理有限责任公司</t>
    <phoneticPr fontId="7" type="noConversion"/>
  </si>
  <si>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</si>
  <si>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</si>
  <si>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</si>
  <si>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</si>
  <si>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</si>
  <si>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</si>
  <si>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</si>
  <si>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</si>
  <si>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</si>
  <si>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</si>
  <si>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</si>
  <si>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</si>
  <si>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</si>
  <si>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</si>
  <si>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</si>
  <si>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</si>
  <si>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</si>
  <si>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</si>
  <si>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</si>
  <si>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</si>
  <si>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</si>
  <si>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</si>
  <si>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</si>
  <si>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</si>
  <si>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</si>
  <si>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</si>
  <si>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</si>
  <si>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</si>
  <si>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</si>
  <si>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</si>
  <si>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</si>
  <si>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</si>
  <si>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</si>
  <si>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</si>
  <si>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</si>
  <si>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</si>
  <si>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</si>
  <si>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</si>
  <si>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</si>
  <si>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</si>
  <si>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</si>
  <si>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</si>
  <si>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</si>
  <si>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</si>
  <si>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</si>
  <si>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</si>
  <si>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</si>
  <si>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</si>
  <si>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</si>
  <si>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</si>
  <si>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</si>
  <si>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</si>
  <si>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</si>
  <si>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</si>
  <si>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</si>
  <si>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</si>
  <si>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</si>
  <si>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</si>
  <si>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</si>
  <si>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</si>
  <si>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</si>
  <si>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</si>
  <si>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</si>
  <si>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</si>
  <si>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</si>
  <si>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</si>
  <si>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</si>
  <si>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</si>
  <si>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</si>
  <si>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</si>
  <si>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</si>
  <si>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</si>
  <si>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</si>
  <si>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</si>
  <si>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</si>
  <si>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</si>
  <si>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</si>
  <si>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贵都国际大厦</t>
    <phoneticPr fontId="4" type="noConversion"/>
  </si>
  <si>
    <t>华天大厦</t>
    <phoneticPr fontId="4" type="noConversion"/>
  </si>
  <si>
    <t>首科大厦</t>
    <phoneticPr fontId="4" type="noConversion"/>
  </si>
  <si>
    <t>30-40（含）</t>
  </si>
  <si>
    <t>40-50（含）</t>
  </si>
  <si>
    <t>较好</t>
  </si>
  <si>
    <t>好</t>
  </si>
  <si>
    <t>城市快速路——西二环路</t>
    <phoneticPr fontId="33" type="noConversion"/>
  </si>
  <si>
    <r>
      <rPr>
        <sz val="11"/>
        <rFont val="宋体"/>
        <family val="3"/>
        <charset val="134"/>
      </rPr>
      <t>城市快速路</t>
    </r>
    <r>
      <rPr>
        <sz val="11"/>
        <rFont val="Arial"/>
        <family val="2"/>
      </rPr>
      <t>——</t>
    </r>
    <r>
      <rPr>
        <sz val="11"/>
        <rFont val="宋体"/>
        <family val="3"/>
        <charset val="134"/>
      </rPr>
      <t>西二环路</t>
    </r>
    <phoneticPr fontId="33" type="noConversion"/>
  </si>
  <si>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</si>
  <si>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</si>
  <si>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</si>
  <si>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</si>
  <si>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</si>
  <si>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</si>
  <si>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</si>
  <si>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</si>
  <si>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</si>
  <si>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</si>
  <si>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</si>
  <si>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</si>
  <si>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</si>
  <si>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</si>
  <si>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</si>
  <si>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</si>
  <si>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</si>
  <si>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</si>
  <si>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</si>
  <si>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</si>
  <si>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</si>
  <si>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</si>
  <si>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</si>
  <si>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</si>
  <si>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</si>
  <si>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</si>
  <si>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</si>
  <si>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</si>
  <si>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</si>
  <si>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</si>
  <si>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</si>
  <si>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</si>
  <si>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</si>
  <si>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</si>
  <si>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</si>
  <si>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</si>
  <si>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</si>
  <si>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</si>
  <si>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</si>
  <si>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</si>
  <si>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</si>
  <si>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</si>
  <si>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</si>
  <si>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</si>
  <si>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</si>
  <si>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</si>
  <si>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</si>
  <si>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</si>
  <si>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</si>
  <si>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</si>
  <si>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</si>
  <si>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</si>
  <si>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</si>
  <si>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</si>
  <si>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</si>
  <si>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</si>
  <si>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</si>
  <si>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</si>
  <si>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</si>
  <si>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</si>
  <si>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</si>
  <si>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</si>
  <si>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</si>
  <si>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</si>
  <si>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</si>
  <si>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</si>
  <si>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</si>
  <si>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</si>
  <si>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</si>
  <si>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</si>
  <si>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</si>
  <si>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</si>
  <si>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</si>
  <si>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</si>
  <si>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</si>
  <si>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</si>
  <si>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深圳大厦</t>
    <phoneticPr fontId="4" type="noConversion"/>
  </si>
  <si>
    <t>乐凯大厦</t>
    <phoneticPr fontId="4" type="noConversion"/>
  </si>
  <si>
    <t>港中旅大厦</t>
    <phoneticPr fontId="4" type="noConversion"/>
  </si>
  <si>
    <t>租金</t>
  </si>
  <si>
    <r>
      <rPr>
        <sz val="11"/>
        <rFont val="宋体"/>
        <family val="3"/>
        <charset val="134"/>
      </rPr>
      <t>城市快速路</t>
    </r>
    <r>
      <rPr>
        <sz val="11"/>
        <rFont val="Arial"/>
        <family val="2"/>
      </rPr>
      <t>——</t>
    </r>
    <r>
      <rPr>
        <sz val="11"/>
        <rFont val="宋体"/>
        <family val="3"/>
        <charset val="134"/>
      </rPr>
      <t>西二环路</t>
    </r>
    <phoneticPr fontId="33" type="noConversion"/>
  </si>
  <si>
    <t>收益比率</t>
  </si>
  <si>
    <t>面积</t>
    <phoneticPr fontId="144" type="noConversion"/>
  </si>
  <si>
    <t>收益法 (元)</t>
  </si>
  <si>
    <t>平均租金</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</si>
</sst>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65" fillId="6" borderId="63" xfId="2" applyFont="1" applyFill="1" applyBorder="1" applyAlignment="1">
      <alignment horizontal="center"/>
    </xf>
    <xf numFmtId="0" fontId="265" fillId="6" borderId="64" xfId="2" applyFont="1" applyFill="1" applyBorder="1" applyAlignment="1">
      <alignment horizontal="center"/>
    </xf>
    <xf numFmtId="0" fontId="48" fillId="0" borderId="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7504</v>
      </c>
    </row>
    <row r="21" spans="1:2" s="1598" customFormat="1">
      <c r="A21" s="1596" t="s">
        <v>1236</v>
      </c>
      <c r="B21" s="1597">
        <f ca="1">'预评函-2'!D7</f>
        <v>38428</v>
      </c>
    </row>
    <row r="22" spans="1:2" s="1598" customFormat="1">
      <c r="A22" s="1596" t="s">
        <v>1237</v>
      </c>
      <c r="B22" s="1597" t="str">
        <f ca="1">'预评函-2'!D6</f>
        <v>柒仟伍佰零肆万元整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7504</v>
      </c>
    </row>
    <row r="31" spans="1:2" s="1598" customFormat="1">
      <c r="A31" s="1596" t="s">
        <v>1275</v>
      </c>
      <c r="B31" s="1597">
        <f ca="1">'预评函-2'!D15</f>
        <v>38428</v>
      </c>
    </row>
    <row r="32" spans="1:2" s="1598" customFormat="1">
      <c r="A32" s="1596" t="s">
        <v>1242</v>
      </c>
      <c r="B32" s="1597" t="str">
        <f ca="1">'预评函-2'!D14</f>
        <v>柒仟伍佰零肆万元整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1952.76</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6288</v>
      </c>
    </row>
    <row r="48" spans="1:2" s="1598" customFormat="1">
      <c r="A48" s="1596" t="s">
        <v>1248</v>
      </c>
      <c r="B48" s="1597">
        <f ca="1">'预评函-3'!E4</f>
        <v>32201</v>
      </c>
    </row>
    <row r="49" spans="1:2" s="1598" customFormat="1">
      <c r="A49" s="1596" t="s">
        <v>1249</v>
      </c>
      <c r="B49" s="1597" t="str">
        <f ca="1">'预评函-3'!D5</f>
        <v>陆仟贰佰捌拾捌万元整</v>
      </c>
    </row>
    <row r="50" spans="1:2" s="1598" customFormat="1">
      <c r="A50" s="1596" t="s">
        <v>1273</v>
      </c>
      <c r="B50" s="1597" t="str">
        <f>'预评函-3'!F2</f>
        <v>在建建筑物价值</v>
      </c>
    </row>
    <row r="51" spans="1:2" s="1598" customFormat="1">
      <c r="A51" s="1596" t="s">
        <v>1250</v>
      </c>
      <c r="B51" s="1597">
        <f ca="1">'预评函-3'!F4</f>
        <v>1216</v>
      </c>
    </row>
    <row r="52" spans="1:2" s="1598" customFormat="1">
      <c r="A52" s="1596" t="s">
        <v>1251</v>
      </c>
      <c r="B52" s="1597">
        <f ca="1">'预评函-3'!G4</f>
        <v>6227</v>
      </c>
    </row>
    <row r="53" spans="1:2" s="1598" customFormat="1">
      <c r="A53" s="1596" t="s">
        <v>1279</v>
      </c>
      <c r="B53" s="1597" t="str">
        <f ca="1">'预评函-3'!F5</f>
        <v>壹仟贰佰壹拾陆万元整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69"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69"/>
      <c r="B54" s="2027" t="s">
        <v>864</v>
      </c>
      <c r="C54" s="2024" t="s">
        <v>1282</v>
      </c>
    </row>
    <row r="55" spans="1:4">
      <c r="A55" s="3069"/>
      <c r="B55" s="2027" t="s">
        <v>865</v>
      </c>
      <c r="C55" s="2024" t="s">
        <v>1283</v>
      </c>
    </row>
    <row r="56" spans="1:4">
      <c r="A56" s="3069"/>
      <c r="B56" s="2027" t="s">
        <v>866</v>
      </c>
      <c r="C56" s="2024" t="s">
        <v>1287</v>
      </c>
    </row>
    <row r="57" spans="1:4">
      <c r="A57" s="3069"/>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3078"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79"/>
      <c r="D1" s="3079"/>
      <c r="E1" s="3079"/>
      <c r="F1" s="3079"/>
      <c r="G1" s="3079"/>
      <c r="H1" s="3079"/>
      <c r="I1" s="3080"/>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1779</v>
      </c>
      <c r="B3" s="2041">
        <v>43047</v>
      </c>
      <c r="C3" s="2042" t="s">
        <v>1780</v>
      </c>
      <c r="D3" s="2041">
        <f>B3</f>
        <v>43047</v>
      </c>
      <c r="E3" s="2031"/>
      <c r="F3" s="2031"/>
      <c r="G3" s="2031"/>
      <c r="H3" s="2031"/>
      <c r="I3" s="2031"/>
      <c r="J3" s="2031"/>
      <c r="K3" s="2032"/>
      <c r="L3" s="2033"/>
      <c r="M3" s="2033"/>
      <c r="N3" s="2034"/>
      <c r="O3" s="2035"/>
      <c r="P3" s="2034"/>
      <c r="Q3" s="2034"/>
      <c r="R3" s="2034"/>
      <c r="S3" s="2036"/>
    </row>
    <row r="4" spans="1:19" ht="18" customHeight="1" thickBot="1">
      <c r="A4" s="2043" t="s">
        <v>1781</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2" t="s">
        <v>3044</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3" t="s">
        <v>3045</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3046</v>
      </c>
      <c r="C8" s="2059"/>
      <c r="D8" s="3081" t="s">
        <v>1786</v>
      </c>
      <c r="E8" s="2060" t="s">
        <v>3047</v>
      </c>
      <c r="F8" s="2061"/>
      <c r="G8" s="2031"/>
      <c r="H8" s="2031"/>
      <c r="I8" s="2031"/>
      <c r="J8" s="2047"/>
      <c r="K8" s="2048"/>
      <c r="L8" s="2033"/>
      <c r="M8" s="2033"/>
      <c r="N8" s="2034"/>
      <c r="O8" s="2035"/>
      <c r="P8" s="2034"/>
      <c r="Q8" s="2034"/>
      <c r="R8" s="2034"/>
    </row>
    <row r="9" spans="1:19" ht="18" customHeight="1" thickBot="1">
      <c r="A9" s="2045" t="s">
        <v>1787</v>
      </c>
      <c r="B9" s="2062" t="s">
        <v>3047</v>
      </c>
      <c r="C9" s="2063"/>
      <c r="D9" s="3082"/>
      <c r="E9" s="2062" t="s">
        <v>70</v>
      </c>
      <c r="F9" s="2064"/>
      <c r="G9" s="2065"/>
      <c r="H9" s="2065"/>
      <c r="I9" s="2065"/>
      <c r="J9" s="2047"/>
      <c r="K9" s="2057"/>
      <c r="L9" s="2033"/>
      <c r="M9" s="2033"/>
      <c r="N9" s="2034"/>
      <c r="O9" s="2035"/>
      <c r="P9" s="2034"/>
      <c r="Q9" s="2034"/>
      <c r="R9" s="2034"/>
    </row>
    <row r="10" spans="1:19" ht="18" customHeight="1" thickTop="1">
      <c r="A10" s="2066" t="s">
        <v>1788</v>
      </c>
      <c r="B10" s="2067" t="s">
        <v>3048</v>
      </c>
      <c r="C10" s="2068"/>
      <c r="D10" s="2051"/>
      <c r="E10" s="2069" t="s">
        <v>1789</v>
      </c>
      <c r="F10" s="2070" t="s">
        <v>3050</v>
      </c>
      <c r="G10" s="2071"/>
      <c r="H10" s="2072"/>
      <c r="I10" s="2051"/>
      <c r="J10" s="2047"/>
      <c r="K10" s="2057"/>
      <c r="L10" s="2033"/>
      <c r="M10" s="2033"/>
      <c r="N10" s="2034"/>
      <c r="O10" s="2035"/>
      <c r="P10" s="2034"/>
      <c r="Q10" s="2034"/>
      <c r="R10" s="2034"/>
    </row>
    <row r="11" spans="1:19" ht="18" customHeight="1">
      <c r="A11" s="2073" t="s">
        <v>1790</v>
      </c>
      <c r="B11" s="2074" t="s">
        <v>3049</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3051</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v>57292</v>
      </c>
      <c r="G13" s="2083"/>
      <c r="H13" s="2083"/>
      <c r="I13" s="1051"/>
      <c r="J13" s="2047"/>
      <c r="K13" s="2057"/>
      <c r="L13" s="2033"/>
      <c r="M13" s="2033"/>
      <c r="N13" s="2034"/>
      <c r="O13" s="2035"/>
      <c r="P13" s="2034"/>
      <c r="Q13" s="2034"/>
      <c r="R13" s="2034"/>
    </row>
    <row r="14" spans="1:19" ht="18" customHeight="1">
      <c r="A14" s="2080"/>
      <c r="B14" s="2081"/>
      <c r="C14" s="2082" t="s">
        <v>1800</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f>IF(B12="出让",IF(F13="","",ROUNDDOWN(MIN((F13-$D$3)/365,F14),2)),F14)</f>
        <v>39.020000000000003</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1802</v>
      </c>
      <c r="B16" s="3088" t="s">
        <v>3052</v>
      </c>
      <c r="C16" s="3089"/>
      <c r="D16" s="3090"/>
      <c r="E16" s="2089" t="s">
        <v>1803</v>
      </c>
      <c r="F16" s="3091" t="s">
        <v>3054</v>
      </c>
      <c r="G16" s="3092"/>
      <c r="H16" s="3092"/>
      <c r="I16" s="3093"/>
      <c r="J16" s="2034"/>
      <c r="K16" s="2086"/>
      <c r="L16" s="2087"/>
      <c r="M16" s="2087"/>
      <c r="N16" s="2088"/>
      <c r="O16" s="2087"/>
      <c r="P16" s="2088"/>
      <c r="Q16" s="2034"/>
      <c r="R16" s="2034"/>
    </row>
    <row r="17" spans="1:22" ht="18" customHeight="1">
      <c r="A17" s="2090" t="s">
        <v>1804</v>
      </c>
      <c r="B17" s="2040" t="s">
        <v>1805</v>
      </c>
      <c r="C17" s="1058">
        <f>'数据-汇总表'!E3</f>
        <v>1952.76</v>
      </c>
      <c r="D17" s="2091" t="s">
        <v>1806</v>
      </c>
      <c r="E17" s="3094" t="s">
        <v>3053</v>
      </c>
      <c r="F17" s="3095"/>
      <c r="G17" s="3095"/>
      <c r="H17" s="3095"/>
      <c r="I17" s="3096"/>
      <c r="J17" s="2034"/>
      <c r="K17" s="2092"/>
      <c r="L17" s="2087"/>
      <c r="M17" s="2087"/>
      <c r="N17" s="2088"/>
      <c r="O17" s="2087"/>
      <c r="P17" s="2088"/>
      <c r="Q17" s="2034"/>
      <c r="R17" s="2034"/>
      <c r="S17" s="2034"/>
      <c r="T17" s="2034"/>
      <c r="U17" s="2034"/>
      <c r="V17" s="2034"/>
    </row>
    <row r="18" spans="1:22" ht="36" customHeight="1" thickBot="1">
      <c r="A18" s="2093" t="s">
        <v>1807</v>
      </c>
      <c r="B18" s="2043" t="s">
        <v>1808</v>
      </c>
      <c r="C18" s="1448">
        <f>'数据-汇总表'!D3</f>
        <v>0</v>
      </c>
      <c r="D18" s="2094" t="s">
        <v>1806</v>
      </c>
      <c r="E18" s="3097"/>
      <c r="F18" s="3098"/>
      <c r="G18" s="3098"/>
      <c r="H18" s="3098"/>
      <c r="I18" s="3099"/>
      <c r="J18" s="2034"/>
      <c r="K18" s="2092"/>
      <c r="L18" s="2087"/>
      <c r="M18" s="2087"/>
      <c r="N18" s="2088"/>
      <c r="O18" s="2087"/>
      <c r="P18" s="2088"/>
      <c r="Q18" s="2034"/>
      <c r="R18" s="2034"/>
      <c r="S18" s="2034"/>
      <c r="T18" s="2034"/>
      <c r="U18" s="2034"/>
      <c r="V18" s="2034"/>
    </row>
    <row r="19" spans="1:22" ht="37.5" customHeight="1" thickTop="1" thickBot="1">
      <c r="A19" s="374" t="s">
        <v>1809</v>
      </c>
      <c r="B19" s="353" t="s">
        <v>1810</v>
      </c>
      <c r="C19" s="2095" t="s">
        <v>3055</v>
      </c>
      <c r="D19" s="2096" t="s">
        <v>1811</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1812</v>
      </c>
      <c r="B20" s="3084" t="s">
        <v>1813</v>
      </c>
      <c r="C20" s="3085"/>
      <c r="D20" s="3086" t="s">
        <v>1814</v>
      </c>
      <c r="E20" s="3087"/>
      <c r="F20" s="2101" t="s">
        <v>1815</v>
      </c>
      <c r="G20" s="2047"/>
      <c r="H20" s="2047"/>
      <c r="I20" s="2047"/>
      <c r="J20" s="2047"/>
      <c r="K20" s="3083" t="s">
        <v>1816</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1817</v>
      </c>
      <c r="C21" s="2103" t="s">
        <v>3056</v>
      </c>
      <c r="D21" s="2104"/>
      <c r="E21" s="2105" t="s">
        <v>1818</v>
      </c>
      <c r="F21" s="2106"/>
      <c r="G21" s="2047"/>
      <c r="H21" s="2047"/>
      <c r="I21" s="2047"/>
      <c r="J21" s="2047"/>
      <c r="K21" s="308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8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71" t="s">
        <v>1825</v>
      </c>
      <c r="B27" s="2066" t="s">
        <v>1826</v>
      </c>
      <c r="C27" s="2123" t="s">
        <v>3057</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71"/>
      <c r="B28" s="2040" t="s">
        <v>1827</v>
      </c>
      <c r="C28" s="2125" t="s">
        <v>3058</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71"/>
      <c r="B29" s="2040" t="s">
        <v>1828</v>
      </c>
      <c r="C29" s="2128" t="s">
        <v>3055</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72"/>
      <c r="B30" s="2040" t="s">
        <v>1829</v>
      </c>
      <c r="C30" s="3073"/>
      <c r="D30" s="3074"/>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75" t="s">
        <v>1830</v>
      </c>
      <c r="B31" s="2130" t="s">
        <v>3059</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76"/>
      <c r="B32" s="2130" t="s">
        <v>3059</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76"/>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3060</v>
      </c>
      <c r="C34" s="2137" t="s">
        <v>3061</v>
      </c>
      <c r="D34" s="2137" t="s">
        <v>3062</v>
      </c>
      <c r="E34" s="2137" t="s">
        <v>3063</v>
      </c>
      <c r="F34" s="2137" t="s">
        <v>3064</v>
      </c>
      <c r="G34" s="2137" t="s">
        <v>3065</v>
      </c>
      <c r="H34" s="2137" t="s">
        <v>3066</v>
      </c>
      <c r="I34" s="2047"/>
      <c r="J34" s="2047"/>
      <c r="K34" s="1800">
        <f>COUNTIF(B34:H34,"——")</f>
        <v>0</v>
      </c>
      <c r="L34" s="2078" t="s">
        <v>1832</v>
      </c>
      <c r="M34" s="2078" t="s">
        <v>1833</v>
      </c>
      <c r="N34" s="2078" t="s">
        <v>1834</v>
      </c>
      <c r="O34" s="2078" t="s">
        <v>1835</v>
      </c>
      <c r="P34" s="2078" t="s">
        <v>1836</v>
      </c>
      <c r="Q34" s="2078" t="s">
        <v>1837</v>
      </c>
      <c r="R34" s="2078" t="s">
        <v>1838</v>
      </c>
      <c r="S34" s="3070" t="s">
        <v>1839</v>
      </c>
      <c r="T34" s="2138" t="str">
        <f>NUMBERSTRING(7-K34,1)&amp;"通"</f>
        <v>七通</v>
      </c>
      <c r="U34" s="2034"/>
      <c r="V34" s="2034"/>
    </row>
    <row r="35" spans="1:22" ht="18" customHeight="1">
      <c r="A35" s="2139"/>
      <c r="B35" s="3077" t="s">
        <v>1840</v>
      </c>
      <c r="C35" s="3077"/>
      <c r="D35" s="3077"/>
      <c r="E35" s="3077"/>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0"/>
      <c r="T35" s="48" t="str">
        <f>IF(T34="一通",L35,IF(T34="二通",M35,IF(T34="三通",N35,IF(T34="四通",O35,IF(T34="五通",P35,IF(T34="六通",Q35,R35))))))</f>
        <v>通路、通电、通讯、通上水、通下水、通热、燃气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1952.76</v>
      </c>
      <c r="BA5" s="18">
        <f t="shared" si="1"/>
        <v>1952.76</v>
      </c>
      <c r="BB5" s="18">
        <f t="shared" si="1"/>
        <v>1952.76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3070</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3071</v>
      </c>
      <c r="B13" s="1276" t="s">
        <v>3067</v>
      </c>
      <c r="C13" s="1276" t="s">
        <v>3068</v>
      </c>
      <c r="D13" s="2217" t="s">
        <v>3069</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3072</v>
      </c>
      <c r="B14" s="1276" t="s">
        <v>3073</v>
      </c>
      <c r="C14" s="1276" t="s">
        <v>3074</v>
      </c>
      <c r="D14" s="2217"/>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3075</v>
      </c>
      <c r="B15" s="1276" t="s">
        <v>3077</v>
      </c>
      <c r="C15" s="1276" t="s">
        <v>3076</v>
      </c>
      <c r="D15" s="2217"/>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3078</v>
      </c>
      <c r="B16" s="1276" t="s">
        <v>3079</v>
      </c>
      <c r="C16" s="1276" t="s">
        <v>3080</v>
      </c>
      <c r="D16" s="2217"/>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3081</v>
      </c>
      <c r="B17" s="1276" t="s">
        <v>3082</v>
      </c>
      <c r="C17" s="1276" t="s">
        <v>3083</v>
      </c>
      <c r="D17" s="2217"/>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3085</v>
      </c>
      <c r="B18" s="1276" t="s">
        <v>3084</v>
      </c>
      <c r="C18" s="1276" t="s">
        <v>3086</v>
      </c>
      <c r="D18" s="2222"/>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111" t="s">
        <v>1936</v>
      </c>
      <c r="B2" s="3111"/>
      <c r="C2" s="3111"/>
      <c r="D2" s="971" t="s">
        <v>1912</v>
      </c>
      <c r="E2" s="2231" t="s">
        <v>1913</v>
      </c>
      <c r="F2" s="1396"/>
      <c r="G2" s="2232"/>
      <c r="H2" s="2233"/>
      <c r="I2" s="2234" t="s">
        <v>1937</v>
      </c>
      <c r="J2" s="1396"/>
      <c r="K2" s="1396"/>
      <c r="L2" s="1396"/>
      <c r="M2" s="1396"/>
      <c r="N2" s="1431"/>
      <c r="O2" s="1396"/>
      <c r="P2" s="1396"/>
    </row>
    <row r="3" spans="1:16" ht="15.75" thickBot="1">
      <c r="A3" s="3112" t="s">
        <v>1910</v>
      </c>
      <c r="B3" s="3112"/>
      <c r="C3" s="3112"/>
      <c r="D3" s="46">
        <f>'数据-基础表'!AY6</f>
        <v>0</v>
      </c>
      <c r="E3" s="46">
        <f>'数据-基础表'!AZ5</f>
        <v>1952.76</v>
      </c>
      <c r="F3" s="1396"/>
      <c r="G3" s="1403"/>
      <c r="H3" s="1251" t="s">
        <v>1911</v>
      </c>
      <c r="I3" s="55" t="e">
        <f>ROUND('数据-基础表'!B3/'数据-基础表'!A3,2)</f>
        <v>#DIV/0!</v>
      </c>
      <c r="J3" s="1396"/>
      <c r="K3" s="1396"/>
      <c r="L3" s="1396"/>
      <c r="M3" s="1396"/>
      <c r="N3" s="1431"/>
      <c r="O3" s="1396"/>
      <c r="P3" s="1396"/>
    </row>
    <row r="4" spans="1:16" ht="15">
      <c r="A4" s="3113"/>
      <c r="B4" s="3114"/>
      <c r="C4" s="3115"/>
      <c r="D4" s="2235" t="s">
        <v>1912</v>
      </c>
      <c r="E4" s="2236" t="s">
        <v>1913</v>
      </c>
      <c r="F4" s="1396"/>
      <c r="G4" s="2237" t="s">
        <v>1938</v>
      </c>
      <c r="H4" s="1251" t="s">
        <v>1918</v>
      </c>
      <c r="I4" s="55" t="e">
        <f>ROUND(SUMIF('数据-基础表'!I9:AS9,"地上",'数据-基础表'!I5:AS5)/'数据-基础表'!A3,2)</f>
        <v>#DIV/0!</v>
      </c>
      <c r="J4" s="1396"/>
      <c r="K4" s="1396"/>
      <c r="L4" s="1396"/>
      <c r="M4" s="1396"/>
      <c r="N4" s="1431"/>
      <c r="O4" s="1396"/>
      <c r="P4" s="1396"/>
    </row>
    <row r="5" spans="1:16">
      <c r="A5" s="47" t="s">
        <v>1914</v>
      </c>
      <c r="B5" s="3116" t="s">
        <v>1915</v>
      </c>
      <c r="C5" s="3116"/>
      <c r="D5" s="48">
        <f>ROUND($D$3*E5/$E$3,2)</f>
        <v>0</v>
      </c>
      <c r="E5" s="49">
        <f>SUMIF('数据-基础表'!$11:$11,"住宅",'数据-基础表'!$5:$5)</f>
        <v>0</v>
      </c>
      <c r="F5" s="1396"/>
      <c r="G5" s="1403"/>
      <c r="H5" s="1251" t="s">
        <v>1911</v>
      </c>
      <c r="I5" s="55" t="e">
        <f>ROUND(E31/D31,2)</f>
        <v>#DIV/0!</v>
      </c>
      <c r="J5" s="1396"/>
      <c r="K5" s="1396"/>
      <c r="L5" s="1396"/>
      <c r="M5" s="1396"/>
      <c r="N5" s="1396"/>
      <c r="O5" s="1396"/>
      <c r="P5" s="1396"/>
    </row>
    <row r="6" spans="1:16" ht="15" thickBot="1">
      <c r="A6" s="2238"/>
      <c r="B6" s="3116" t="s">
        <v>1916</v>
      </c>
      <c r="C6" s="3116"/>
      <c r="D6" s="48">
        <f>ROUND($D$3*E6/$E$3,2)</f>
        <v>0</v>
      </c>
      <c r="E6" s="49">
        <f>E3-E5</f>
        <v>1952.76</v>
      </c>
      <c r="F6" s="1396"/>
      <c r="G6" s="2239" t="s">
        <v>1917</v>
      </c>
      <c r="H6" s="1403" t="s">
        <v>1918</v>
      </c>
      <c r="I6" s="943" t="e">
        <f>ROUND(F31/D31,2)</f>
        <v>#DIV/0!</v>
      </c>
      <c r="J6" s="1396"/>
      <c r="K6" s="1396"/>
      <c r="L6" s="1396"/>
      <c r="M6" s="1396"/>
      <c r="N6" s="1396"/>
      <c r="O6" s="1396"/>
      <c r="P6" s="1396"/>
    </row>
    <row r="7" spans="1:16" ht="15">
      <c r="A7" s="3108"/>
      <c r="B7" s="3109"/>
      <c r="C7" s="3110"/>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0</v>
      </c>
      <c r="E8" s="51">
        <f>SUMIF('数据-基础表'!BB10:BK10,"地上",'数据-基础表'!BB5:BK5)</f>
        <v>1952.76</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0</v>
      </c>
      <c r="E16" s="53">
        <f>SUM(E8:E15)</f>
        <v>1952.76</v>
      </c>
      <c r="F16" s="1396"/>
      <c r="G16" s="2241"/>
      <c r="H16" s="2244" t="s">
        <v>1940</v>
      </c>
      <c r="I16" s="2245"/>
      <c r="J16" s="1396"/>
      <c r="K16" s="3105" t="s">
        <v>1940</v>
      </c>
      <c r="L16" s="3106"/>
      <c r="M16" s="3106"/>
      <c r="N16" s="3106"/>
      <c r="O16" s="3106"/>
      <c r="P16" s="3107"/>
    </row>
    <row r="17" spans="1:19" ht="15">
      <c r="A17" s="2246" t="s">
        <v>1941</v>
      </c>
      <c r="B17" s="2247" t="s">
        <v>1942</v>
      </c>
      <c r="C17" s="2248" t="s">
        <v>1943</v>
      </c>
      <c r="D17" s="2249" t="s">
        <v>1931</v>
      </c>
      <c r="E17" s="2250" t="s">
        <v>1932</v>
      </c>
      <c r="F17" s="2251"/>
      <c r="G17" s="2252"/>
      <c r="H17" s="2253" t="s">
        <v>1944</v>
      </c>
      <c r="I17" s="2254" t="s">
        <v>1929</v>
      </c>
      <c r="J17" s="1396"/>
      <c r="K17" s="3102" t="s">
        <v>1945</v>
      </c>
      <c r="L17" s="3103"/>
      <c r="M17" s="3104"/>
      <c r="N17" s="3102" t="s">
        <v>1946</v>
      </c>
      <c r="O17" s="3103"/>
      <c r="P17" s="3104"/>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44" t="s">
        <v>3087</v>
      </c>
      <c r="D19" s="48">
        <f>ROUND($D$3*E19/$E$3,2)</f>
        <v>0</v>
      </c>
      <c r="E19" s="56">
        <f t="shared" ref="E19:E26" si="1">SUM(F19:G19)</f>
        <v>1952.76</v>
      </c>
      <c r="F19" s="57">
        <f>'数据-基础表'!I13</f>
        <v>1952.76</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1952.76</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0</v>
      </c>
      <c r="E27" s="1398">
        <f>IF(SUM(E19:E26)='数据-基础表'!BA5,SUM(E19:E26),IF(F27="地上面积有误","面积有误","地下面积有误"))</f>
        <v>1952.76</v>
      </c>
      <c r="F27" s="1397">
        <f>IF(SUM(F19:F26)=E8,SUM(F19:F26),"地上面积有误")</f>
        <v>1952.76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1952.76</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0</v>
      </c>
      <c r="E31" s="730">
        <f>E27+E30</f>
        <v>1952.76</v>
      </c>
      <c r="F31" s="731">
        <f>F27+F30</f>
        <v>1952.76</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3088</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57292</v>
      </c>
      <c r="F6" s="72">
        <f>SUMIF(项目基本情况!D$12:I$12,C6,项目基本情况!D$15:I$15)</f>
        <v>39.020000000000003</v>
      </c>
      <c r="G6" s="73">
        <f>IF(ISERROR(ROUND(POWER(1+H6,D6-F6)*(POWER(1+H6,F6)-1)/(POWER(1+H6,D6)-1),3)),0,ROUND(POWER(1+H6,D6-F6)*(POWER(1+H6,F6)-1)/(POWER(1+H6,D6)-1),3))</f>
        <v>0.92300000000000004</v>
      </c>
      <c r="H6" s="803">
        <v>4.4999999999999998E-2</v>
      </c>
      <c r="I6" s="803">
        <v>5.5E-2</v>
      </c>
      <c r="J6" s="74">
        <v>8.5000000000000006E-2</v>
      </c>
      <c r="K6" s="1255">
        <f>SUMIF('数据-汇总表'!C$19:C$33,A6,'数据-汇总表'!E$19:E$33)</f>
        <v>1952.76</v>
      </c>
      <c r="L6" s="804">
        <v>3000</v>
      </c>
      <c r="M6" s="75">
        <f t="shared" ref="M6:M14" si="0">ROUND(K6*L6/10000,0)</f>
        <v>586</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1">
        <f>租金明细表!I24</f>
        <v>6.26</v>
      </c>
      <c r="V6" s="79">
        <v>0</v>
      </c>
      <c r="W6" s="79">
        <v>0</v>
      </c>
      <c r="X6" s="1265"/>
      <c r="Y6" s="80">
        <v>0.85</v>
      </c>
      <c r="Z6" s="3022">
        <f>ROUND('比较法-办公 (租金)'!C50*(1+AA6)^AF6,1)</f>
        <v>6.3</v>
      </c>
      <c r="AA6" s="74">
        <v>2.5000000000000001E-2</v>
      </c>
      <c r="AB6" s="74">
        <v>0.1</v>
      </c>
      <c r="AC6" s="1265"/>
      <c r="AD6" s="3023">
        <v>0.8</v>
      </c>
      <c r="AE6" s="1266">
        <f ca="1">IF(AN6="",0,SUMIF(INDIRECT("'"&amp;AN6&amp;"'"&amp;"!E:E"),$AE$5,INDIRECT("'"&amp;AN6&amp;"'"&amp;"!F:F")))</f>
        <v>39.020000000000003</v>
      </c>
      <c r="AF6" s="1809">
        <f>年期修正系数!C4</f>
        <v>2.4700000000000002</v>
      </c>
      <c r="AG6" s="147">
        <f ca="1">IF(AF6="",0,AE6-AF6)</f>
        <v>36.550000000000004</v>
      </c>
      <c r="AH6" s="83"/>
      <c r="AI6" s="85">
        <v>365</v>
      </c>
      <c r="AJ6" s="86"/>
      <c r="AK6" s="87">
        <v>0.02</v>
      </c>
      <c r="AL6" s="88">
        <v>2E-3</v>
      </c>
      <c r="AM6" s="89">
        <v>0.02</v>
      </c>
      <c r="AN6" s="2313" t="s">
        <v>3214</v>
      </c>
      <c r="AO6" s="55">
        <f ca="1">SUMIF(INDIRECT("'"&amp;AN6&amp;"'"&amp;"!A:A"),"总价",INDIRECT("'"&amp;AN6&amp;"'"&amp;"!B:B"))</f>
        <v>7524</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0.92300000000000004</v>
      </c>
      <c r="H16" s="99">
        <f>ROUND(SUMPRODUCT(H6:H13,K6:K13)/SUMPRODUCT((H6:H13&gt;0)*(K6:K13)),3)</f>
        <v>4.4999999999999998E-2</v>
      </c>
      <c r="I16" s="100"/>
      <c r="J16" s="100"/>
      <c r="K16" s="101">
        <f>SUM(K6:K15)</f>
        <v>1952.76</v>
      </c>
      <c r="L16" s="102">
        <f>ROUND(M16*10000/SUM(K6:K14),0)</f>
        <v>3001</v>
      </c>
      <c r="M16" s="102">
        <f>SUM(M6:M14)</f>
        <v>586</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2</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v>200</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0.03</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100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4.7500000000000001E-2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7.0000000000000007E-2</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269</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17" t="s">
        <v>2081</v>
      </c>
      <c r="B1" s="3118"/>
      <c r="C1" s="3118"/>
      <c r="D1" s="3118"/>
      <c r="E1" s="3118"/>
      <c r="F1" s="3118"/>
      <c r="G1" s="3118"/>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6" t="s">
        <v>2084</v>
      </c>
      <c r="B3" s="1272" t="s">
        <v>2085</v>
      </c>
      <c r="C3" s="2374" t="s">
        <v>2086</v>
      </c>
      <c r="D3" s="2375"/>
      <c r="E3" s="432" t="s">
        <v>2084</v>
      </c>
      <c r="F3" s="2376" t="s">
        <v>2087</v>
      </c>
      <c r="G3" s="2377" t="s">
        <v>2088</v>
      </c>
      <c r="H3" s="2372"/>
      <c r="I3" s="2372"/>
      <c r="J3" s="2372"/>
      <c r="K3" s="2372"/>
      <c r="L3" s="2372"/>
      <c r="M3" s="2372"/>
      <c r="N3" s="2372"/>
      <c r="O3" s="2372"/>
      <c r="P3" s="2372"/>
      <c r="Q3" s="2372"/>
      <c r="R3" s="2372"/>
    </row>
    <row r="4" spans="1:29" ht="41.25">
      <c r="A4" s="432"/>
      <c r="B4" s="1800" t="s">
        <v>2089</v>
      </c>
      <c r="C4" s="2378" t="s">
        <v>2090</v>
      </c>
      <c r="D4" s="2375"/>
      <c r="E4" s="2379"/>
      <c r="F4" s="42" t="s">
        <v>2091</v>
      </c>
      <c r="G4" s="2380" t="s">
        <v>2092</v>
      </c>
      <c r="H4" s="2372"/>
      <c r="I4" s="2372"/>
      <c r="J4" s="2372"/>
      <c r="K4" s="2372"/>
      <c r="L4" s="2372"/>
      <c r="M4" s="2372"/>
      <c r="N4" s="2372"/>
      <c r="O4" s="2372"/>
      <c r="P4" s="2372"/>
      <c r="Q4" s="2372"/>
      <c r="R4" s="2372"/>
    </row>
    <row r="5" spans="1:29" ht="41.25">
      <c r="A5" s="432"/>
      <c r="B5" s="1800" t="s">
        <v>2093</v>
      </c>
      <c r="C5" s="2378" t="s">
        <v>2094</v>
      </c>
      <c r="D5" s="2375"/>
      <c r="E5" s="2379"/>
      <c r="F5" s="1800" t="s">
        <v>2095</v>
      </c>
      <c r="G5" s="2380" t="s">
        <v>2096</v>
      </c>
      <c r="H5" s="2372"/>
      <c r="I5" s="2372"/>
      <c r="J5" s="2372"/>
      <c r="K5" s="2372"/>
      <c r="L5" s="2372"/>
      <c r="M5" s="2372"/>
      <c r="N5" s="2372"/>
      <c r="O5" s="2372"/>
      <c r="P5" s="2372"/>
      <c r="Q5" s="2372"/>
      <c r="R5" s="2372"/>
    </row>
    <row r="6" spans="1:29" ht="54">
      <c r="A6" s="432"/>
      <c r="B6" s="1800" t="s">
        <v>2097</v>
      </c>
      <c r="C6" s="2380" t="s">
        <v>2092</v>
      </c>
      <c r="D6" s="2375"/>
      <c r="E6" s="2379"/>
      <c r="F6" s="1800" t="s">
        <v>2098</v>
      </c>
      <c r="G6" s="2380" t="s">
        <v>2099</v>
      </c>
      <c r="H6" s="2372"/>
      <c r="I6" s="2372"/>
      <c r="J6" s="2372"/>
      <c r="K6" s="2372"/>
      <c r="L6" s="2372"/>
      <c r="M6" s="2372"/>
      <c r="N6" s="2372"/>
      <c r="O6" s="2372"/>
      <c r="P6" s="2372"/>
      <c r="Q6" s="2372"/>
      <c r="R6" s="2372"/>
    </row>
    <row r="7" spans="1:29" ht="41.25" thickBot="1">
      <c r="A7" s="432"/>
      <c r="B7" s="1800" t="s">
        <v>2095</v>
      </c>
      <c r="C7" s="2380" t="s">
        <v>2096</v>
      </c>
      <c r="D7" s="2381"/>
      <c r="E7" s="2382"/>
      <c r="F7" s="2383" t="s">
        <v>2100</v>
      </c>
      <c r="G7" s="2384" t="s">
        <v>2101</v>
      </c>
      <c r="H7" s="2372"/>
      <c r="I7" s="2372"/>
      <c r="J7" s="2372"/>
      <c r="K7" s="2372"/>
      <c r="L7" s="2372"/>
      <c r="M7" s="2372"/>
      <c r="N7" s="2372"/>
      <c r="O7" s="2372"/>
      <c r="P7" s="2372"/>
      <c r="Q7" s="2372"/>
      <c r="R7" s="2372"/>
    </row>
    <row r="8" spans="1:29" ht="27">
      <c r="A8" s="432"/>
      <c r="B8" s="1800" t="s">
        <v>2098</v>
      </c>
      <c r="C8" s="2380" t="s">
        <v>2099</v>
      </c>
      <c r="D8" s="2381"/>
      <c r="E8" s="2381"/>
      <c r="F8" s="1137"/>
      <c r="G8" s="1137"/>
      <c r="H8" s="2372"/>
      <c r="I8" s="2372"/>
      <c r="J8" s="2372"/>
      <c r="K8" s="2372"/>
      <c r="L8" s="2372"/>
      <c r="M8" s="2372"/>
      <c r="N8" s="2372"/>
      <c r="O8" s="2372"/>
      <c r="P8" s="2372"/>
      <c r="Q8" s="2372"/>
      <c r="R8" s="2372"/>
    </row>
    <row r="9" spans="1:29" ht="27">
      <c r="A9" s="432"/>
      <c r="B9" s="1800" t="s">
        <v>2102</v>
      </c>
      <c r="C9" s="2378" t="s">
        <v>2103</v>
      </c>
      <c r="D9" s="2375"/>
      <c r="E9" s="2381"/>
      <c r="F9" s="1137"/>
      <c r="G9" s="1137"/>
      <c r="H9" s="2372"/>
      <c r="I9" s="2372"/>
      <c r="J9" s="2372"/>
      <c r="K9" s="2372"/>
      <c r="L9" s="2372"/>
      <c r="M9" s="2372"/>
      <c r="N9" s="2372"/>
      <c r="O9" s="2372"/>
      <c r="P9" s="2372"/>
      <c r="Q9" s="2372"/>
      <c r="R9" s="2372"/>
    </row>
    <row r="10" spans="1:29" s="117" customFormat="1" ht="15.75" thickBot="1">
      <c r="A10" s="2385"/>
      <c r="B10" s="2386" t="s">
        <v>2104</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1" t="s">
        <v>2085</v>
      </c>
      <c r="C15" s="2407" t="str">
        <f>C3</f>
        <v>估价对象周边居住用地比例、居住小区规模和社区发展完善程度，综合评价居住社区成熟度一般</v>
      </c>
      <c r="D15" s="2375"/>
      <c r="E15" s="2408" t="s">
        <v>2109</v>
      </c>
      <c r="F15" s="1271" t="s">
        <v>2110</v>
      </c>
      <c r="G15" s="135" t="str">
        <f>G3</f>
        <v>估价对象位于XX开发区，园区建设成熟度XX，产业集聚程度XX</v>
      </c>
    </row>
    <row r="16" spans="1:29" ht="42.75">
      <c r="A16" s="646"/>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6"/>
      <c r="B17" s="2409" t="s">
        <v>2093</v>
      </c>
      <c r="C17" s="2410" t="str">
        <f>C5</f>
        <v>估价对象位于XX商圈，周边办公楼项目较多，入驻率高，办公集聚程度较好</v>
      </c>
      <c r="D17" s="2381"/>
      <c r="E17" s="2411"/>
      <c r="F17" s="2412" t="s">
        <v>2111</v>
      </c>
      <c r="G17" s="1574"/>
    </row>
    <row r="18" spans="1:18" ht="57">
      <c r="A18" s="646"/>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6"/>
      <c r="B19" s="2412" t="s">
        <v>2112</v>
      </c>
      <c r="C19" s="2945" t="s">
        <v>3090</v>
      </c>
      <c r="D19" s="2375"/>
      <c r="E19" s="2411"/>
      <c r="F19" s="1800" t="s">
        <v>2095</v>
      </c>
      <c r="G19" s="136" t="str">
        <f>G5</f>
        <v>估价对象所在区域公共配套设施齐备情况</v>
      </c>
    </row>
    <row r="20" spans="1:18" ht="28.5">
      <c r="A20" s="646"/>
      <c r="B20" s="2412" t="s">
        <v>2113</v>
      </c>
      <c r="C20" s="2410" t="str">
        <f>C9</f>
        <v>区域自然环境：；人文环境；综合评价环境状况一般</v>
      </c>
      <c r="D20" s="2381"/>
      <c r="E20" s="2411"/>
      <c r="F20" s="1800" t="s">
        <v>2114</v>
      </c>
      <c r="G20" s="136" t="str">
        <f>G6</f>
        <v>估价对象所在区域基础设施水平</v>
      </c>
    </row>
    <row r="21" spans="1:18" ht="28.5">
      <c r="A21" s="646"/>
      <c r="B21" s="1800" t="s">
        <v>2095</v>
      </c>
      <c r="C21" s="136" t="str">
        <f>C7</f>
        <v>估价对象所在区域公共配套设施齐备情况</v>
      </c>
      <c r="D21" s="2375"/>
      <c r="E21" s="2411"/>
      <c r="F21" s="2412" t="s">
        <v>2115</v>
      </c>
      <c r="G21" s="2413"/>
    </row>
    <row r="22" spans="1:18" ht="13.5" customHeight="1">
      <c r="A22" s="646"/>
      <c r="B22" s="1800" t="s">
        <v>2098</v>
      </c>
      <c r="C22" s="136" t="str">
        <f>C8</f>
        <v>估价对象所在区域基础设施水平</v>
      </c>
      <c r="D22" s="2375"/>
      <c r="E22" s="2411"/>
      <c r="F22" s="2412" t="s">
        <v>2104</v>
      </c>
      <c r="G22" s="1574"/>
    </row>
    <row r="23" spans="1:18" s="2372" customFormat="1" ht="15.75" thickBot="1">
      <c r="A23" s="646"/>
      <c r="B23" s="2412" t="s">
        <v>2115</v>
      </c>
      <c r="C23" s="2413" t="s">
        <v>3091</v>
      </c>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1952.76</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7504</v>
      </c>
      <c r="C5" s="1748">
        <f ca="1">ROUND(B5*10000/$B$1,0)</f>
        <v>38428</v>
      </c>
      <c r="D5" s="1748" t="e">
        <f ca="1">ROUND(B5*10000/$B$2,0)</f>
        <v>#DIV/0!</v>
      </c>
      <c r="E5" s="1747"/>
      <c r="F5" s="1745"/>
      <c r="G5" s="1745"/>
    </row>
    <row r="6" spans="1:10" ht="16.5">
      <c r="A6" s="1748" t="s">
        <v>1357</v>
      </c>
      <c r="B6" s="1748">
        <f ca="1">SUM(G14:G23)</f>
        <v>7504</v>
      </c>
      <c r="C6" s="1748">
        <f ca="1">ROUND(B6*10000/$B$1,0)</f>
        <v>38428</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1952.76</v>
      </c>
      <c r="C14" s="1746">
        <f>结果表!C118</f>
        <v>0</v>
      </c>
      <c r="D14" s="1746">
        <f ca="1">结果表!H118</f>
        <v>7504</v>
      </c>
      <c r="E14" s="1746">
        <f ca="1">ROUND(D14*10000/B14,0)</f>
        <v>38428</v>
      </c>
      <c r="F14" s="1746" t="e">
        <f ca="1">ROUND(D14*10000/C14,0)</f>
        <v>#DIV/0!</v>
      </c>
      <c r="G14" s="1746">
        <f ca="1">结果表!D122</f>
        <v>7504</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2118</v>
      </c>
      <c r="B1" s="2423"/>
      <c r="C1" s="2424" t="s">
        <v>27</v>
      </c>
      <c r="D1" s="2423"/>
      <c r="E1" s="2423"/>
      <c r="F1" s="2425" t="s">
        <v>2119</v>
      </c>
      <c r="G1" s="2074" t="s">
        <v>3059</v>
      </c>
      <c r="H1" s="2426" t="str">
        <f>IF(G1="现房","——","估价对象范围")</f>
        <v>——</v>
      </c>
      <c r="I1" s="2427" t="s">
        <v>3204</v>
      </c>
    </row>
    <row r="2" spans="1:12" ht="21.75" customHeight="1" thickBot="1">
      <c r="A2" s="3152" t="str">
        <f>项目基本情况!S2</f>
        <v>北京市西城区广安门外大街168号1幢3层1-301等六套办公用房房地产房地产</v>
      </c>
      <c r="B2" s="3153"/>
      <c r="C2" s="3153"/>
      <c r="D2" s="3153"/>
      <c r="E2" s="3153"/>
      <c r="F2" s="3153"/>
      <c r="G2" s="3153"/>
      <c r="H2" s="3153"/>
      <c r="I2" s="3154"/>
    </row>
    <row r="3" spans="1:12" ht="12.75">
      <c r="A3" s="3156" t="s">
        <v>2120</v>
      </c>
      <c r="B3" s="3157"/>
      <c r="C3" s="3157"/>
      <c r="D3" s="3157"/>
      <c r="E3" s="3157"/>
      <c r="F3" s="3157"/>
      <c r="G3" s="3157"/>
      <c r="H3" s="3157"/>
      <c r="I3" s="3157"/>
    </row>
    <row r="4" spans="1:12" ht="14.25">
      <c r="A4" s="2430" t="s">
        <v>2121</v>
      </c>
      <c r="B4" s="2431" t="s">
        <v>2122</v>
      </c>
      <c r="C4" s="2432" t="s">
        <v>3205</v>
      </c>
      <c r="D4" s="2432" t="s">
        <v>3214</v>
      </c>
      <c r="E4" s="3149" t="s">
        <v>2123</v>
      </c>
      <c r="F4" s="3150"/>
      <c r="G4" s="3150"/>
      <c r="H4" s="3150"/>
      <c r="I4" s="3158"/>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32" t="s">
        <v>2124</v>
      </c>
      <c r="B5" s="3070">
        <v>25</v>
      </c>
      <c r="C5" s="3135"/>
      <c r="D5" s="3155"/>
      <c r="E5" s="140" t="s">
        <v>2125</v>
      </c>
      <c r="F5" s="2434"/>
      <c r="G5" s="2434"/>
      <c r="H5" s="2434"/>
      <c r="I5" s="1836"/>
    </row>
    <row r="6" spans="1:12" ht="12.75">
      <c r="A6" s="3132"/>
      <c r="B6" s="3070"/>
      <c r="C6" s="3136"/>
      <c r="D6" s="3155"/>
      <c r="E6" s="140" t="s">
        <v>2126</v>
      </c>
      <c r="F6" s="2434"/>
      <c r="G6" s="2434"/>
      <c r="H6" s="2434"/>
      <c r="I6" s="1836"/>
    </row>
    <row r="7" spans="1:12" ht="12.75">
      <c r="A7" s="3132"/>
      <c r="B7" s="3070"/>
      <c r="C7" s="3137"/>
      <c r="D7" s="3155"/>
      <c r="E7" s="140" t="s">
        <v>2127</v>
      </c>
      <c r="F7" s="2434"/>
      <c r="G7" s="2434"/>
      <c r="H7" s="2434"/>
      <c r="I7" s="1836"/>
    </row>
    <row r="8" spans="1:12" ht="12.75">
      <c r="A8" s="3132" t="s">
        <v>2128</v>
      </c>
      <c r="B8" s="3070">
        <v>15</v>
      </c>
      <c r="C8" s="3135"/>
      <c r="D8" s="3155"/>
      <c r="E8" s="140" t="s">
        <v>2129</v>
      </c>
      <c r="F8" s="2434"/>
      <c r="G8" s="2434"/>
      <c r="H8" s="2434"/>
      <c r="I8" s="1836"/>
    </row>
    <row r="9" spans="1:12" ht="12.75">
      <c r="A9" s="3132"/>
      <c r="B9" s="3070"/>
      <c r="C9" s="3137"/>
      <c r="D9" s="3155"/>
      <c r="E9" s="140" t="s">
        <v>2130</v>
      </c>
      <c r="F9" s="2434"/>
      <c r="G9" s="2434"/>
      <c r="H9" s="2434"/>
      <c r="I9" s="1836"/>
    </row>
    <row r="10" spans="1:12" ht="12.75">
      <c r="A10" s="3132" t="s">
        <v>2131</v>
      </c>
      <c r="B10" s="3070">
        <v>15</v>
      </c>
      <c r="C10" s="3135"/>
      <c r="D10" s="3155"/>
      <c r="E10" s="140" t="s">
        <v>2132</v>
      </c>
      <c r="F10" s="2434"/>
      <c r="G10" s="2434"/>
      <c r="H10" s="2434"/>
      <c r="I10" s="1836"/>
    </row>
    <row r="11" spans="1:12" ht="12.75">
      <c r="A11" s="3132"/>
      <c r="B11" s="3070"/>
      <c r="C11" s="3137"/>
      <c r="D11" s="3155"/>
      <c r="E11" s="140" t="s">
        <v>2133</v>
      </c>
      <c r="F11" s="2434"/>
      <c r="G11" s="2434"/>
      <c r="H11" s="2434"/>
      <c r="I11" s="1836"/>
    </row>
    <row r="12" spans="1:12" ht="12.75">
      <c r="A12" s="3132" t="s">
        <v>2134</v>
      </c>
      <c r="B12" s="3070">
        <v>15</v>
      </c>
      <c r="C12" s="3135"/>
      <c r="D12" s="3155"/>
      <c r="E12" s="140" t="s">
        <v>2135</v>
      </c>
      <c r="F12" s="2434"/>
      <c r="G12" s="2434"/>
      <c r="H12" s="2434"/>
      <c r="I12" s="1836"/>
    </row>
    <row r="13" spans="1:12" ht="12.75">
      <c r="A13" s="3132"/>
      <c r="B13" s="3070"/>
      <c r="C13" s="3137"/>
      <c r="D13" s="3155"/>
      <c r="E13" s="140" t="s">
        <v>2136</v>
      </c>
      <c r="F13" s="2434"/>
      <c r="G13" s="2434"/>
      <c r="H13" s="2434"/>
      <c r="I13" s="1836"/>
    </row>
    <row r="14" spans="1:12" ht="12.75">
      <c r="A14" s="3132" t="s">
        <v>2137</v>
      </c>
      <c r="B14" s="3070">
        <v>30</v>
      </c>
      <c r="C14" s="3135">
        <v>0.5</v>
      </c>
      <c r="D14" s="3155">
        <f>1-C14</f>
        <v>0.5</v>
      </c>
      <c r="E14" s="140" t="s">
        <v>2138</v>
      </c>
      <c r="F14" s="2434"/>
      <c r="G14" s="2434"/>
      <c r="H14" s="2434"/>
      <c r="I14" s="1836"/>
    </row>
    <row r="15" spans="1:12" ht="12.75">
      <c r="A15" s="3132"/>
      <c r="B15" s="3070"/>
      <c r="C15" s="3136"/>
      <c r="D15" s="3155"/>
      <c r="E15" s="140" t="s">
        <v>2139</v>
      </c>
      <c r="F15" s="2434"/>
      <c r="G15" s="2434"/>
      <c r="H15" s="2434"/>
      <c r="I15" s="1836"/>
    </row>
    <row r="16" spans="1:12" ht="12.75">
      <c r="A16" s="3132"/>
      <c r="B16" s="3070"/>
      <c r="C16" s="3137"/>
      <c r="D16" s="3155"/>
      <c r="E16" s="140" t="s">
        <v>2140</v>
      </c>
      <c r="F16" s="2434"/>
      <c r="G16" s="2434"/>
      <c r="H16" s="2434"/>
      <c r="I16" s="1836"/>
    </row>
    <row r="17" spans="1:35" ht="15">
      <c r="A17" s="2435" t="s">
        <v>2141</v>
      </c>
      <c r="B17" s="64"/>
      <c r="C17" s="141">
        <f>SUM(C5:C16)</f>
        <v>0.5</v>
      </c>
      <c r="D17" s="141">
        <f>SUM(D5:D16)</f>
        <v>0.5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1952.76</v>
      </c>
      <c r="M18" s="2433">
        <f>IF(C1="",'数据-汇总表'!E3,SUMIF(项目类型,C1,'数据-汇总表'!E17:E26))</f>
        <v>1952.76</v>
      </c>
    </row>
    <row r="19" spans="1:35" ht="15">
      <c r="A19" s="2439" t="s">
        <v>2146</v>
      </c>
      <c r="B19" s="2440" t="s">
        <v>2147</v>
      </c>
      <c r="C19" s="143">
        <f ca="1">SUMIF(INDIRECT("'"&amp;C4&amp;"'"&amp;"!A:A"),结果表!B19,INDIRECT("'"&amp;C4&amp;"'"&amp;"!B:B"))</f>
        <v>7483</v>
      </c>
      <c r="D19" s="144">
        <f ca="1">SUMIF(INDIRECT("'"&amp;D4&amp;"'"&amp;"!A:A"),结果表!B19,INDIRECT("'"&amp;D4&amp;"'"&amp;"!B:B"))</f>
        <v>7524</v>
      </c>
      <c r="E19" s="2439" t="s">
        <v>2148</v>
      </c>
      <c r="F19" s="2440" t="s">
        <v>2147</v>
      </c>
      <c r="G19" s="145">
        <f ca="1">ROUND(C19*$C$18+D19*$D$18,0)</f>
        <v>7504</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1" t="s">
        <v>2151</v>
      </c>
      <c r="C20" s="146">
        <f ca="1">SUMIF(INDIRECT("'"&amp;C4&amp;"'"&amp;"!A:A"),结果表!B20,INDIRECT("'"&amp;C4&amp;"'"&amp;"!B:B"))</f>
        <v>38319</v>
      </c>
      <c r="D20" s="147">
        <f ca="1">SUMIF(INDIRECT("'"&amp;D4&amp;"'"&amp;"!A:A"),结果表!B20,INDIRECT("'"&amp;D4&amp;"'"&amp;"!B:B"))</f>
        <v>38529</v>
      </c>
      <c r="E20" s="2442"/>
      <c r="F20" s="1251" t="s">
        <v>2151</v>
      </c>
      <c r="G20" s="148">
        <f ca="1">ROUND(C20*$C$18+D20*$D$18,0)</f>
        <v>38424</v>
      </c>
      <c r="H20" s="984" t="s">
        <v>2152</v>
      </c>
      <c r="I20" s="138"/>
    </row>
    <row r="21" spans="1:35" ht="15" customHeight="1" thickBot="1">
      <c r="A21" s="1004"/>
      <c r="B21" s="2443" t="s">
        <v>2153</v>
      </c>
      <c r="C21" s="790" t="e">
        <f ca="1">ROUND(C19*10000/L19,0)</f>
        <v>#DIV/0!</v>
      </c>
      <c r="D21" s="791" t="e">
        <f ca="1">ROUND(D19*10000/L19,0)</f>
        <v>#DIV/0!</v>
      </c>
      <c r="E21" s="1004"/>
      <c r="F21" s="2443" t="s">
        <v>2153</v>
      </c>
      <c r="G21" s="149" t="e">
        <f ca="1">ROUND(G19*10000/L19,0)</f>
        <v>#DIV/0!</v>
      </c>
      <c r="H21" s="2444" t="s">
        <v>2152</v>
      </c>
      <c r="I21" s="138"/>
    </row>
    <row r="22" spans="1:35" ht="15" thickBot="1">
      <c r="A22" s="2285" t="s">
        <v>2154</v>
      </c>
      <c r="B22" s="2445"/>
      <c r="C22" s="2446"/>
      <c r="D22" s="792">
        <f ca="1">IF(C19&lt;D19,D19/C19-1,C19/D19-1)</f>
        <v>5.4790859281037552E-3</v>
      </c>
      <c r="E22" s="138"/>
      <c r="F22" s="138"/>
      <c r="G22" s="138"/>
      <c r="H22" s="138"/>
      <c r="I22" s="138"/>
    </row>
    <row r="23" spans="1:35" ht="13.5" thickBot="1">
      <c r="A23" s="2423"/>
      <c r="B23" s="2423"/>
      <c r="C23" s="2423"/>
      <c r="D23" s="2423"/>
      <c r="E23" s="138"/>
      <c r="F23" s="138"/>
      <c r="G23" s="138"/>
      <c r="H23" s="138"/>
      <c r="I23" s="138"/>
    </row>
    <row r="24" spans="1:35" ht="14.25">
      <c r="A24" s="3126" t="s">
        <v>2155</v>
      </c>
      <c r="B24" s="2440" t="s">
        <v>2147</v>
      </c>
      <c r="C24" s="145">
        <f>IF(B30=0,0,D30)</f>
        <v>0</v>
      </c>
      <c r="D24" s="2447"/>
      <c r="E24" s="138"/>
      <c r="F24" s="138"/>
      <c r="G24" s="138"/>
      <c r="H24" s="138"/>
      <c r="I24" s="138"/>
    </row>
    <row r="25" spans="1:35" ht="14.25">
      <c r="A25" s="3127"/>
      <c r="B25" s="1251"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2161</v>
      </c>
      <c r="B32" s="2453"/>
      <c r="C32" s="154">
        <f ca="1">IF(D32="总价",G19-C24,G20-C25)</f>
        <v>7504</v>
      </c>
      <c r="D32" s="2454" t="s">
        <v>2162</v>
      </c>
      <c r="E32" s="138"/>
      <c r="F32" s="138"/>
      <c r="G32" s="138"/>
      <c r="H32" s="138"/>
      <c r="I32" s="138"/>
    </row>
    <row r="33" spans="1:15" ht="15">
      <c r="A33" s="961" t="s">
        <v>2163</v>
      </c>
      <c r="B33" s="2455"/>
      <c r="C33" s="2456" t="s">
        <v>3212</v>
      </c>
      <c r="D33" s="2457" t="s">
        <v>3089</v>
      </c>
      <c r="E33" s="2458" t="s">
        <v>2164</v>
      </c>
      <c r="F33" s="2459" t="str">
        <f>IF(D32="楼面单价","取值（单价）","取值（总价）")</f>
        <v>取值（总价）</v>
      </c>
      <c r="G33" s="138"/>
      <c r="H33" s="138"/>
      <c r="I33" s="138"/>
    </row>
    <row r="34" spans="1:15" ht="15">
      <c r="A34" s="2460"/>
      <c r="B34" s="2461" t="s">
        <v>2165</v>
      </c>
      <c r="C34" s="158">
        <f ca="1">IF(C33="自定义",F34,C32-C35)</f>
        <v>6288</v>
      </c>
      <c r="D34" s="1059">
        <f ca="1">IF(C33="自定义",ROUND(C34/C32,3),IF(C33="收益比率",SUMIF(INDIRECT("'"&amp;D33&amp;"'"&amp;"!b:b"),"土地收益比率",INDIRECT("'"&amp;D33&amp;"'"&amp;"!c:c")),SUMIF(INDIRECT("'"&amp;D33&amp;"'"&amp;"!b:b"),"土地成本比率",INDIRECT("'"&amp;D33&amp;"'"&amp;"!c:c"))))</f>
        <v>0.83799999999999997</v>
      </c>
      <c r="E34" s="2462" t="s">
        <v>2166</v>
      </c>
      <c r="F34" s="1741"/>
      <c r="G34" s="138"/>
      <c r="H34" s="138"/>
      <c r="I34" s="138"/>
    </row>
    <row r="35" spans="1:15" ht="15.75" thickBot="1">
      <c r="A35" s="2463"/>
      <c r="B35" s="2464" t="s">
        <v>2167</v>
      </c>
      <c r="C35" s="1445">
        <f ca="1">IF(C33="自定义",F35,ROUND(C32*D35,0))</f>
        <v>1216</v>
      </c>
      <c r="D35" s="1446">
        <f ca="1">IF(C33="自定义",ROUND(C35/C32,3),IF(C33="收益比率",SUMIF(INDIRECT("'"&amp;D33&amp;"'"&amp;"!b:b"),"建筑物收益比率",INDIRECT("'"&amp;D33&amp;"'"&amp;"!c:c")),SUMIF(INDIRECT("'"&amp;D33&amp;"'"&amp;"!b:b"),"建筑物成本比率",INDIRECT("'"&amp;D33&amp;"'"&amp;"!c:c"))))</f>
        <v>0.16200000000000001</v>
      </c>
      <c r="E35" s="2465" t="s">
        <v>2168</v>
      </c>
      <c r="F35" s="164"/>
      <c r="G35" s="138"/>
      <c r="H35" s="138"/>
      <c r="I35" s="138"/>
    </row>
    <row r="36" spans="1:15" ht="15.75" hidden="1" customHeight="1" thickBot="1">
      <c r="A36" s="3144" t="s">
        <v>2169</v>
      </c>
      <c r="B36" s="2466" t="s">
        <v>2170</v>
      </c>
      <c r="C36" s="155"/>
      <c r="D36" s="2467"/>
      <c r="E36" s="2468"/>
      <c r="F36" s="2469"/>
      <c r="G36" s="138"/>
      <c r="H36" s="138"/>
      <c r="I36" s="138"/>
    </row>
    <row r="37" spans="1:15" ht="15.75" hidden="1" customHeight="1" thickBot="1">
      <c r="A37" s="3145"/>
      <c r="B37" s="2271" t="s">
        <v>2171</v>
      </c>
      <c r="C37" s="157"/>
      <c r="D37" s="1396"/>
      <c r="E37" s="1396"/>
      <c r="F37" s="2469"/>
      <c r="G37" s="138"/>
      <c r="H37" s="138"/>
      <c r="I37" s="138"/>
    </row>
    <row r="38" spans="1:15" ht="15.75" hidden="1" customHeight="1" thickBot="1">
      <c r="A38" s="3146"/>
      <c r="B38" s="2470" t="s">
        <v>2172</v>
      </c>
      <c r="C38" s="728"/>
      <c r="D38" s="2471" t="s">
        <v>2173</v>
      </c>
      <c r="E38" s="1396"/>
      <c r="F38" s="2469"/>
      <c r="G38" s="138"/>
      <c r="H38" s="138"/>
      <c r="I38" s="138"/>
    </row>
    <row r="39" spans="1:15" ht="15" hidden="1" customHeight="1">
      <c r="A39" s="2442" t="s">
        <v>2174</v>
      </c>
      <c r="B39" s="2472" t="s">
        <v>2175</v>
      </c>
      <c r="C39" s="2473" t="s">
        <v>2176</v>
      </c>
      <c r="D39" s="2473" t="s">
        <v>2177</v>
      </c>
      <c r="E39" s="2474" t="s">
        <v>2178</v>
      </c>
      <c r="F39" s="2469"/>
      <c r="G39" s="138"/>
      <c r="H39" s="138"/>
      <c r="I39" s="138"/>
    </row>
    <row r="40" spans="1:15" ht="14.25" hidden="1" customHeight="1">
      <c r="A40" s="2475" t="s">
        <v>2179</v>
      </c>
      <c r="B40" s="159"/>
      <c r="C40" s="160"/>
      <c r="D40" s="160"/>
      <c r="E40" s="161"/>
      <c r="F40" s="2469"/>
      <c r="G40" s="138"/>
      <c r="H40" s="138"/>
      <c r="I40" s="138"/>
    </row>
    <row r="41" spans="1:15" ht="14.25" hidden="1" customHeight="1">
      <c r="A41" s="2475" t="s">
        <v>2180</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2181</v>
      </c>
      <c r="B44" s="2480"/>
      <c r="C44" s="2480"/>
      <c r="D44" s="2481"/>
      <c r="E44" s="2481"/>
      <c r="F44" s="2482"/>
      <c r="G44" s="2482"/>
      <c r="H44" s="2482"/>
      <c r="I44" s="2482"/>
      <c r="J44" s="2483" t="s">
        <v>2182</v>
      </c>
      <c r="K44" s="2484"/>
      <c r="L44" s="2484"/>
      <c r="M44" s="2484"/>
      <c r="N44" s="2484"/>
      <c r="O44" s="2484"/>
    </row>
    <row r="45" spans="1:15" ht="14.25" hidden="1" customHeight="1" thickBot="1">
      <c r="A45" s="3123" t="s">
        <v>2183</v>
      </c>
      <c r="B45" s="3124"/>
      <c r="C45" s="3125"/>
      <c r="D45" s="165">
        <f ca="1">ROUND(H101*F45,0)</f>
        <v>7504</v>
      </c>
      <c r="E45" s="166" t="s">
        <v>2184</v>
      </c>
      <c r="F45" s="167">
        <v>1</v>
      </c>
      <c r="G45" s="168" t="s">
        <v>2185</v>
      </c>
      <c r="H45" s="138"/>
      <c r="I45" s="138"/>
      <c r="J45" s="3183" t="s">
        <v>2186</v>
      </c>
      <c r="K45" s="3183"/>
      <c r="L45" s="3183"/>
      <c r="M45" s="3183"/>
      <c r="N45" s="3183"/>
      <c r="O45" s="3183"/>
    </row>
    <row r="46" spans="1:15" ht="14.25" hidden="1" customHeight="1">
      <c r="A46" s="3120" t="s">
        <v>2187</v>
      </c>
      <c r="B46" s="3121"/>
      <c r="C46" s="3121"/>
      <c r="D46" s="3121"/>
      <c r="E46" s="3121"/>
      <c r="F46" s="3121"/>
      <c r="G46" s="3122"/>
      <c r="H46" s="2485"/>
      <c r="I46" s="169"/>
      <c r="J46" s="1814">
        <v>1</v>
      </c>
      <c r="K46" s="3183" t="s">
        <v>2188</v>
      </c>
      <c r="L46" s="3183"/>
      <c r="M46" s="3203"/>
      <c r="N46" s="3203"/>
      <c r="O46" s="3203"/>
    </row>
    <row r="47" spans="1:15" ht="12" hidden="1" customHeight="1">
      <c r="A47" s="170" t="s">
        <v>2189</v>
      </c>
      <c r="B47" s="171"/>
      <c r="C47" s="172"/>
      <c r="D47" s="173" t="s">
        <v>2190</v>
      </c>
      <c r="E47" s="24" t="s">
        <v>2191</v>
      </c>
      <c r="F47" s="174" t="s">
        <v>2192</v>
      </c>
      <c r="G47" s="175" t="s">
        <v>2193</v>
      </c>
      <c r="H47" s="2485"/>
      <c r="I47" s="169"/>
      <c r="J47" s="1814">
        <v>2</v>
      </c>
      <c r="K47" s="3183" t="s">
        <v>2194</v>
      </c>
      <c r="L47" s="3183"/>
      <c r="M47" s="3204">
        <f>'数据-取费表'!B2</f>
        <v>43047</v>
      </c>
      <c r="N47" s="3204"/>
      <c r="O47" s="3204"/>
    </row>
    <row r="48" spans="1:15" ht="25.5" hidden="1" customHeight="1">
      <c r="A48" s="3151" t="s">
        <v>2195</v>
      </c>
      <c r="B48" s="3134"/>
      <c r="C48" s="3134"/>
      <c r="D48" s="140">
        <f>IF(H48="情况1",0,IF(H48="情况2",D52,IF(H48="情况3",D53,IF(H48="情况4",D54))))</f>
        <v>0</v>
      </c>
      <c r="E48" s="1803" t="str">
        <f>IF(H48="情况4","(销售额-原购置价)×税（费）率","销售额×税（费）率")</f>
        <v>销售额×税（费）率</v>
      </c>
      <c r="F48" s="176" t="str">
        <f>IF(H48="情况1","免征",'数据-取费表'!B41)</f>
        <v>免征</v>
      </c>
      <c r="G48" s="2486" t="s">
        <v>2196</v>
      </c>
      <c r="H48" s="2487" t="s">
        <v>2197</v>
      </c>
      <c r="I48" s="2485"/>
      <c r="J48" s="1814">
        <v>3</v>
      </c>
      <c r="K48" s="3183" t="s">
        <v>2198</v>
      </c>
      <c r="L48" s="3183"/>
      <c r="M48" s="3205">
        <f ca="1">H101</f>
        <v>7504</v>
      </c>
      <c r="N48" s="3205"/>
      <c r="O48" s="3205"/>
    </row>
    <row r="49" spans="1:35" ht="25.5" hidden="1" customHeight="1">
      <c r="A49" s="177" t="s">
        <v>2199</v>
      </c>
      <c r="B49" s="3119" t="s">
        <v>2200</v>
      </c>
      <c r="C49" s="3119"/>
      <c r="D49" s="178">
        <v>0</v>
      </c>
      <c r="E49" s="23" t="s">
        <v>2201</v>
      </c>
      <c r="F49" s="28" t="s">
        <v>34</v>
      </c>
      <c r="G49" s="3189"/>
      <c r="H49" s="138"/>
      <c r="I49" s="2488"/>
      <c r="J49" s="1814">
        <v>4</v>
      </c>
      <c r="K49" s="3183" t="str">
        <f>IF(项目基本情况!E8="房地产抵押价值","房地产抵押价值","抵押担保权已注销时的房地产抵押价值")</f>
        <v>房地产抵押价值</v>
      </c>
      <c r="L49" s="3183"/>
      <c r="M49" s="3205">
        <f ca="1">IF(项目基本情况!E8="房地产抵押价值",H107,H109)</f>
        <v>7504</v>
      </c>
      <c r="N49" s="3205"/>
      <c r="O49" s="3205"/>
    </row>
    <row r="50" spans="1:35" ht="25.5" hidden="1" customHeight="1">
      <c r="A50" s="179"/>
      <c r="B50" s="3119" t="s">
        <v>2202</v>
      </c>
      <c r="C50" s="3119"/>
      <c r="D50" s="180"/>
      <c r="E50" s="31"/>
      <c r="F50" s="181"/>
      <c r="G50" s="3190"/>
      <c r="H50" s="138"/>
      <c r="I50" s="2488"/>
      <c r="J50" s="3183" t="s">
        <v>2203</v>
      </c>
      <c r="K50" s="3183"/>
      <c r="L50" s="3183"/>
      <c r="M50" s="3183"/>
      <c r="N50" s="3183"/>
      <c r="O50" s="3183"/>
    </row>
    <row r="51" spans="1:35" ht="12" hidden="1" customHeight="1">
      <c r="A51" s="182"/>
      <c r="B51" s="3119" t="s">
        <v>2204</v>
      </c>
      <c r="C51" s="3119"/>
      <c r="D51" s="183"/>
      <c r="E51" s="30"/>
      <c r="F51" s="181"/>
      <c r="G51" s="3191"/>
      <c r="H51" s="138"/>
      <c r="I51" s="2488"/>
      <c r="J51" s="2489" t="s">
        <v>2205</v>
      </c>
      <c r="K51" s="3183" t="s">
        <v>2206</v>
      </c>
      <c r="L51" s="3183"/>
      <c r="M51" s="2489" t="s">
        <v>2207</v>
      </c>
      <c r="N51" s="2489" t="s">
        <v>2208</v>
      </c>
      <c r="O51" s="2489" t="s">
        <v>2209</v>
      </c>
    </row>
    <row r="52" spans="1:35" ht="24" hidden="1" customHeight="1">
      <c r="A52" s="184" t="s">
        <v>2210</v>
      </c>
      <c r="B52" s="3119" t="s">
        <v>2211</v>
      </c>
      <c r="C52" s="3119"/>
      <c r="D52" s="183">
        <f ca="1">ROUND(D45*'数据-取费表'!B41/(1+'数据-取费表'!C42),0)</f>
        <v>400</v>
      </c>
      <c r="E52" s="11" t="s">
        <v>2212</v>
      </c>
      <c r="F52" s="185">
        <f>'数据-取费表'!B41</f>
        <v>5.6000000000000001E-2</v>
      </c>
      <c r="G52" s="2490"/>
      <c r="H52" s="138"/>
      <c r="I52" s="2488"/>
      <c r="J52" s="1814">
        <v>1</v>
      </c>
      <c r="K52" s="3184" t="s">
        <v>2213</v>
      </c>
      <c r="L52" s="3184"/>
      <c r="M52" s="1756">
        <f>D48</f>
        <v>0</v>
      </c>
      <c r="N52" s="1814" t="str">
        <f>E48</f>
        <v>销售额×税（费）率</v>
      </c>
      <c r="O52" s="1757" t="str">
        <f>F48</f>
        <v>免征</v>
      </c>
    </row>
    <row r="53" spans="1:35" ht="12" hidden="1" customHeight="1">
      <c r="A53" s="184" t="s">
        <v>2214</v>
      </c>
      <c r="B53" s="3142" t="s">
        <v>2215</v>
      </c>
      <c r="C53" s="3143"/>
      <c r="D53" s="183">
        <f ca="1">ROUND(D45*'数据-取费表'!B41/(1+'数据-取费表'!C42),0)</f>
        <v>400</v>
      </c>
      <c r="E53" s="11" t="s">
        <v>2212</v>
      </c>
      <c r="F53" s="185">
        <f>'数据-取费表'!B41</f>
        <v>5.6000000000000001E-2</v>
      </c>
      <c r="G53" s="2490"/>
      <c r="H53" s="138"/>
      <c r="I53" s="2488"/>
      <c r="J53" s="1814">
        <v>2</v>
      </c>
      <c r="K53" s="3184" t="s">
        <v>2216</v>
      </c>
      <c r="L53" s="3184"/>
      <c r="M53" s="1756">
        <f t="shared" ref="M53:O54" ca="1" si="0">D55</f>
        <v>4</v>
      </c>
      <c r="N53" s="1814" t="str">
        <f t="shared" si="0"/>
        <v>销售额×税（费）率</v>
      </c>
      <c r="O53" s="1757">
        <f t="shared" si="0"/>
        <v>5.0000000000000001E-4</v>
      </c>
    </row>
    <row r="54" spans="1:35" ht="12" hidden="1" customHeight="1">
      <c r="A54" s="184" t="s">
        <v>2217</v>
      </c>
      <c r="B54" s="3142" t="s">
        <v>2218</v>
      </c>
      <c r="C54" s="3143"/>
      <c r="D54" s="183">
        <f ca="1">C68</f>
        <v>400</v>
      </c>
      <c r="E54" s="30" t="s">
        <v>2219</v>
      </c>
      <c r="F54" s="185">
        <f>'数据-取费表'!B41</f>
        <v>5.6000000000000001E-2</v>
      </c>
      <c r="G54" s="2490"/>
      <c r="H54" s="2491"/>
      <c r="I54" s="2488"/>
      <c r="J54" s="1814">
        <v>3</v>
      </c>
      <c r="K54" s="3184" t="s">
        <v>2220</v>
      </c>
      <c r="L54" s="3184"/>
      <c r="M54" s="1756">
        <f t="shared" ca="1" si="0"/>
        <v>4247</v>
      </c>
      <c r="N54" s="1814" t="str">
        <f t="shared" si="0"/>
        <v>增值额×税（费）率</v>
      </c>
      <c r="O54" s="1758" t="str">
        <f t="shared" si="0"/>
        <v>——</v>
      </c>
    </row>
    <row r="55" spans="1:35" ht="24" hidden="1" customHeight="1">
      <c r="A55" s="3133" t="s">
        <v>2221</v>
      </c>
      <c r="B55" s="3134"/>
      <c r="C55" s="3134"/>
      <c r="D55" s="186">
        <f ca="1">IF(H55="个人住宅",0,ROUND(D45*I55,0))</f>
        <v>4</v>
      </c>
      <c r="E55" s="11" t="s">
        <v>2222</v>
      </c>
      <c r="F55" s="185">
        <f>IF(H55="正常",I55,"免征")</f>
        <v>5.0000000000000001E-4</v>
      </c>
      <c r="G55" s="2490"/>
      <c r="H55" s="2487" t="s">
        <v>2223</v>
      </c>
      <c r="I55" s="187">
        <f>'数据-取费表'!B49</f>
        <v>5.0000000000000001E-4</v>
      </c>
      <c r="J55" s="1814" t="str">
        <f>IF(H59="非个人房产","",4)</f>
        <v/>
      </c>
      <c r="K55" s="3184" t="str">
        <f>IF(H59="非个人房产","——","个人所得税")</f>
        <v>——</v>
      </c>
      <c r="L55" s="3184"/>
      <c r="M55" s="1759" t="str">
        <f>D59</f>
        <v>——</v>
      </c>
      <c r="N55" s="1812" t="str">
        <f>E59</f>
        <v>——</v>
      </c>
      <c r="O55" s="1760" t="str">
        <f>F59</f>
        <v>——</v>
      </c>
    </row>
    <row r="56" spans="1:35" ht="24.75" hidden="1" customHeight="1">
      <c r="A56" s="3133" t="s">
        <v>2224</v>
      </c>
      <c r="B56" s="3134"/>
      <c r="C56" s="3134"/>
      <c r="D56" s="186">
        <f ca="1">IF(H56="个人住宅",D57,D58)</f>
        <v>4247</v>
      </c>
      <c r="E56" s="11" t="s">
        <v>2225</v>
      </c>
      <c r="F56" s="185" t="str">
        <f>IF(H56="正常",F58,"免征")</f>
        <v>——</v>
      </c>
      <c r="G56" s="2492" t="s">
        <v>2226</v>
      </c>
      <c r="H56" s="2493" t="s">
        <v>2223</v>
      </c>
      <c r="I56" s="2494"/>
      <c r="J56" s="1814" t="str">
        <f>IF(项目基本情况!K6="上海银行",IF(J55="",4,J55+1),"")</f>
        <v/>
      </c>
      <c r="K56" s="3207" t="str">
        <f>IF(项目基本情况!K6="上海银行","其他处置费用","")</f>
        <v/>
      </c>
      <c r="L56" s="3208"/>
      <c r="M56" s="1756" t="str">
        <f>IF(项目基本情况!K6="上海银行",M69,"")</f>
        <v/>
      </c>
      <c r="N56" s="3210" t="str">
        <f>IF(项目基本情况!K6="上海银行","包含处置中涉及的律师、诉讼、拍卖、评估等费用","")</f>
        <v/>
      </c>
      <c r="O56" s="3211"/>
    </row>
    <row r="57" spans="1:35" ht="12.75" hidden="1" customHeight="1">
      <c r="A57" s="184" t="s">
        <v>2199</v>
      </c>
      <c r="B57" s="3149" t="s">
        <v>2227</v>
      </c>
      <c r="C57" s="3158"/>
      <c r="D57" s="188">
        <v>0</v>
      </c>
      <c r="E57" s="23" t="s">
        <v>2201</v>
      </c>
      <c r="F57" s="156"/>
      <c r="G57" s="2490"/>
      <c r="H57" s="2494"/>
      <c r="I57" s="2494"/>
      <c r="J57" s="3184">
        <f>IF(AND(J55="",J56=""),4,IF(项目基本情况!K6="上海银行",结果表!J56+1,结果表!J55+1))</f>
        <v>4</v>
      </c>
      <c r="K57" s="3184" t="s">
        <v>2228</v>
      </c>
      <c r="L57" s="2495" t="s">
        <v>2229</v>
      </c>
      <c r="M57" s="1761"/>
      <c r="N57" s="1762">
        <f ca="1">SUMIF(M52:M56,"&lt;9e307")</f>
        <v>4251</v>
      </c>
      <c r="O57" s="2496"/>
      <c r="P57" s="1755">
        <f ca="1">N57/M49</f>
        <v>0.56649786780383793</v>
      </c>
    </row>
    <row r="58" spans="1:35" ht="24.75" hidden="1" customHeight="1">
      <c r="A58" s="184" t="s">
        <v>2210</v>
      </c>
      <c r="B58" s="3149" t="s">
        <v>2230</v>
      </c>
      <c r="C58" s="3150"/>
      <c r="D58" s="186">
        <f ca="1">IF(H58="转让取得",C81,C97)</f>
        <v>4247</v>
      </c>
      <c r="E58" s="11" t="s">
        <v>2225</v>
      </c>
      <c r="F58" s="24" t="s">
        <v>34</v>
      </c>
      <c r="G58" s="2490"/>
      <c r="H58" s="2493" t="s">
        <v>2231</v>
      </c>
      <c r="I58" s="2494"/>
      <c r="J58" s="3184"/>
      <c r="K58" s="3184"/>
      <c r="L58" s="2495" t="s">
        <v>2232</v>
      </c>
      <c r="M58" s="1763"/>
      <c r="N58" s="2497" t="str">
        <f ca="1">NUMBERSTRING(INT(N57*10000),2)&amp;"元整"</f>
        <v>肆仟贰佰伍拾壹万元整</v>
      </c>
      <c r="O58" s="2498"/>
    </row>
    <row r="59" spans="1:35" ht="24.75" hidden="1" customHeight="1" thickBot="1">
      <c r="A59" s="3187" t="s">
        <v>2233</v>
      </c>
      <c r="B59" s="3188"/>
      <c r="C59" s="3188"/>
      <c r="D59" s="189" t="str">
        <f>IF(H59="非个人房产","——",IF(H59="个人住宅",0,ROUND(D45*I59,0)))</f>
        <v>——</v>
      </c>
      <c r="E59" s="190" t="str">
        <f>IF(H59="非个人房产","——","销售额×税（费）率")</f>
        <v>——</v>
      </c>
      <c r="F59" s="191" t="str">
        <f>IF(H59="非个人房产","——",IF(H59="个人住宅","免征",I59))</f>
        <v>——</v>
      </c>
      <c r="G59" s="2499" t="s">
        <v>2226</v>
      </c>
      <c r="H59" s="2493" t="s">
        <v>2234</v>
      </c>
      <c r="I59" s="192">
        <v>0.01</v>
      </c>
      <c r="J59" s="3185">
        <f>J57+1</f>
        <v>5</v>
      </c>
      <c r="K59" s="3184" t="s">
        <v>2235</v>
      </c>
      <c r="L59" s="1814" t="s">
        <v>2229</v>
      </c>
      <c r="M59" s="1764"/>
      <c r="N59" s="1765">
        <f ca="1">M49-N57</f>
        <v>3253</v>
      </c>
      <c r="O59" s="2500"/>
    </row>
    <row r="60" spans="1:35" ht="12" hidden="1" customHeight="1">
      <c r="A60" s="2501"/>
      <c r="B60" s="2423"/>
      <c r="C60" s="2423"/>
      <c r="D60" s="2423"/>
      <c r="E60" s="2170"/>
      <c r="F60" s="2494"/>
      <c r="G60" s="2494"/>
      <c r="H60" s="2502"/>
      <c r="I60" s="138"/>
      <c r="J60" s="3186"/>
      <c r="K60" s="3184"/>
      <c r="L60" s="2495" t="s">
        <v>2232</v>
      </c>
      <c r="M60" s="1763"/>
      <c r="N60" s="2497" t="str">
        <f ca="1">NUMBERSTRING(INT(N59*10000),2)&amp;"元整"</f>
        <v>叁仟贰佰伍拾叁万元整</v>
      </c>
      <c r="O60" s="2498"/>
    </row>
    <row r="61" spans="1:35" ht="13.5" hidden="1" customHeight="1" thickBot="1">
      <c r="A61" s="3131" t="s">
        <v>2236</v>
      </c>
      <c r="B61" s="3131"/>
      <c r="C61" s="3131"/>
      <c r="D61" s="3131"/>
      <c r="E61" s="3131"/>
      <c r="F61" s="2494"/>
      <c r="G61" s="2494"/>
      <c r="H61" s="2502"/>
      <c r="I61" s="138"/>
      <c r="J61" s="1814">
        <f>J59+1</f>
        <v>6</v>
      </c>
      <c r="K61" s="3184" t="s">
        <v>2237</v>
      </c>
      <c r="L61" s="3184"/>
      <c r="M61" s="1766"/>
      <c r="N61" s="1767">
        <f ca="1">ROUND(N59*10000/'数据-汇总表'!E3,0)</f>
        <v>16658</v>
      </c>
      <c r="O61" s="2503"/>
    </row>
    <row r="62" spans="1:35" ht="12.75" hidden="1" customHeight="1">
      <c r="A62" s="3147" t="s">
        <v>2238</v>
      </c>
      <c r="B62" s="3148"/>
      <c r="C62" s="1806"/>
      <c r="D62" s="1806" t="s">
        <v>2239</v>
      </c>
      <c r="E62" s="193" t="s">
        <v>2240</v>
      </c>
      <c r="F62" s="2494"/>
      <c r="G62" s="2494"/>
      <c r="H62" s="2502"/>
      <c r="I62" s="138"/>
    </row>
    <row r="63" spans="1:35" ht="12.75" hidden="1" customHeight="1">
      <c r="A63" s="204" t="s">
        <v>775</v>
      </c>
      <c r="B63" s="194" t="s">
        <v>2241</v>
      </c>
      <c r="C63" s="195">
        <f ca="1">ROUND((C64+C65)/(1+'数据-取费表'!C42),0)</f>
        <v>7147</v>
      </c>
      <c r="D63" s="196"/>
      <c r="E63" s="197"/>
      <c r="F63" s="2494"/>
      <c r="G63" s="2494"/>
      <c r="H63" s="2502"/>
      <c r="I63" s="138"/>
      <c r="J63" s="3209" t="s">
        <v>2242</v>
      </c>
      <c r="K63" s="2504" t="s">
        <v>2243</v>
      </c>
      <c r="L63" s="1754">
        <f ca="1">IF(M49&gt;10000,M49*0.5%,IF(AND(M49&gt;1000,M49&lt;=10000),M49*1%,IF(AND(M49&gt;100,M49&lt;=1000),M49*3%,IF(AND(M49&gt;10,M49&lt;=100),M49*5%,M49*8%))))</f>
        <v>75.040000000000006</v>
      </c>
      <c r="M63" s="24">
        <f ca="1">ROUND(L63,1)</f>
        <v>75</v>
      </c>
      <c r="Z63" s="2428"/>
      <c r="AI63" s="2429"/>
    </row>
    <row r="64" spans="1:35" ht="14.25" hidden="1" customHeight="1">
      <c r="A64" s="198" t="s">
        <v>770</v>
      </c>
      <c r="B64" s="199" t="s">
        <v>2244</v>
      </c>
      <c r="C64" s="200">
        <f ca="1">D45</f>
        <v>7504</v>
      </c>
      <c r="D64" s="201" t="s">
        <v>32</v>
      </c>
      <c r="E64" s="202"/>
      <c r="F64" s="2494"/>
      <c r="G64" s="2494"/>
      <c r="H64" s="2502"/>
      <c r="I64" s="138"/>
      <c r="J64" s="3209"/>
      <c r="K64" s="2504" t="s">
        <v>2245</v>
      </c>
      <c r="L64" s="1754">
        <f ca="1">IF(M49&gt;2000,M49*0.5%,IF(AND(M49&gt;1000,M49&lt;=2000),M49*0.6%,IF(AND(M49&gt;500,M49&lt;=1000),M49*0.7%,IF(AND(M49&gt;200,M49&lt;=500),M49*0.8%,IF(AND(M49&gt;100,M49&lt;=200),M49*0.9%,IF(AND(M49&gt;50,M49&lt;=100),M49*1%,IF(AND(M49&gt;20,M49&lt;=50),M49*1.5%,IF(AND(M49&gt;10,M49&lt;=20),M49*2%,IF(AND(M49&gt;1,M49&lt;=10),M49*2.5%)))))))))</f>
        <v>37.520000000000003</v>
      </c>
      <c r="M64" s="24">
        <f t="shared" ref="M64:M65" ca="1" si="1">ROUND(L64,1)</f>
        <v>37.5</v>
      </c>
      <c r="N64" s="138" t="s">
        <v>2246</v>
      </c>
      <c r="Z64" s="2428"/>
      <c r="AI64" s="2429"/>
    </row>
    <row r="65" spans="1:35" ht="14.25" hidden="1" customHeight="1">
      <c r="A65" s="198" t="s">
        <v>771</v>
      </c>
      <c r="B65" s="199" t="s">
        <v>2247</v>
      </c>
      <c r="C65" s="203"/>
      <c r="D65" s="201"/>
      <c r="E65" s="202"/>
      <c r="F65" s="2494"/>
      <c r="G65" s="2494"/>
      <c r="H65" s="2502"/>
      <c r="I65" s="138"/>
      <c r="J65" s="3209"/>
      <c r="K65" s="2504" t="s">
        <v>2248</v>
      </c>
      <c r="L65" s="1754">
        <f ca="1">IF(M49&gt;1000,M49*0.1%,IF(AND(M49&gt;500,M49&lt;=1000),M49*0.5%,IF(AND(M49&gt;50,M49&lt;=500),M49*1%,IF(AND(M49&gt;1,M49&lt;=50),M49*1.5%))))</f>
        <v>7.5040000000000004</v>
      </c>
      <c r="M65" s="24">
        <f t="shared" ca="1" si="1"/>
        <v>7.5</v>
      </c>
      <c r="N65" s="138" t="s">
        <v>2246</v>
      </c>
      <c r="Z65" s="2428"/>
      <c r="AI65" s="2429"/>
    </row>
    <row r="66" spans="1:35" ht="14.25" hidden="1" customHeight="1">
      <c r="A66" s="204" t="s">
        <v>772</v>
      </c>
      <c r="B66" s="205" t="s">
        <v>2249</v>
      </c>
      <c r="C66" s="206"/>
      <c r="D66" s="207" t="s">
        <v>32</v>
      </c>
      <c r="E66" s="1778" t="s">
        <v>1372</v>
      </c>
      <c r="F66" s="2494"/>
      <c r="G66" s="2494"/>
      <c r="H66" s="2502"/>
      <c r="I66" s="138"/>
      <c r="J66" s="3209"/>
      <c r="K66" s="2504" t="s">
        <v>2250</v>
      </c>
      <c r="L66" s="1754">
        <f ca="1">M49*0.5%</f>
        <v>37.520000000000003</v>
      </c>
      <c r="M66" s="24">
        <f ca="1">IF(L66&gt;0.5,0.5,ROUND(L66,0))</f>
        <v>0.5</v>
      </c>
      <c r="N66" s="138" t="s">
        <v>2251</v>
      </c>
      <c r="Z66" s="2428"/>
      <c r="AI66" s="2429"/>
    </row>
    <row r="67" spans="1:35" ht="14.25" hidden="1" customHeight="1">
      <c r="A67" s="204" t="s">
        <v>773</v>
      </c>
      <c r="B67" s="205" t="s">
        <v>2252</v>
      </c>
      <c r="C67" s="208">
        <f ca="1">C63-C66</f>
        <v>7147</v>
      </c>
      <c r="D67" s="201" t="s">
        <v>32</v>
      </c>
      <c r="E67" s="202"/>
      <c r="F67" s="2494"/>
      <c r="G67" s="2494"/>
      <c r="H67" s="2502"/>
      <c r="I67" s="138"/>
      <c r="J67" s="3209"/>
      <c r="K67" s="2504" t="s">
        <v>2253</v>
      </c>
      <c r="L67" s="1754">
        <f ca="1">IF(M49&gt;=10000,(8.25+(M49-10000)*0.01%),IF(AND(M49&gt;=8000,M49&lt;10000),(7.85+(M49-8000)*0.02%),IF(AND(M49&gt;=5000,M49&lt;8000),(6.65+(M49-5000)*0.04%),IF(AND(M49&gt;=2000,M49&lt;5000),(4.25+(PM49-2000)*0.08%),IF(AND(M49&gt;=1000,M49&lt;2000),(2.75+(M49-1000)*0.15%),IF(AND(M49&gt;=100,M49&lt;1000),(0.5+(M49-100)*0.25%),IF(AND(M49&gt;0,M49&lt;100),M49*0.5%)))))))</f>
        <v>7.6516000000000002</v>
      </c>
      <c r="M67" s="24">
        <f ca="1">ROUND(L67*0.9,1)</f>
        <v>6.9</v>
      </c>
      <c r="Z67" s="2428"/>
      <c r="AI67" s="2429"/>
    </row>
    <row r="68" spans="1:35" ht="14.25" hidden="1" customHeight="1" thickBot="1">
      <c r="A68" s="209" t="s">
        <v>774</v>
      </c>
      <c r="B68" s="210" t="s">
        <v>2254</v>
      </c>
      <c r="C68" s="211">
        <f ca="1">IF(C67&lt;=0,0,ROUND(C67*D68,0))</f>
        <v>400</v>
      </c>
      <c r="D68" s="212">
        <f>'数据-取费表'!B41</f>
        <v>5.6000000000000001E-2</v>
      </c>
      <c r="E68" s="213"/>
      <c r="F68" s="2494"/>
      <c r="G68" s="2494"/>
      <c r="H68" s="2502"/>
      <c r="I68" s="138"/>
      <c r="J68" s="3209"/>
      <c r="K68" s="2504" t="s">
        <v>2255</v>
      </c>
      <c r="L68" s="1754">
        <f ca="1">IF(M49&gt;10000,M49*0.5%,IF(AND(M49&gt;5000,M49&lt;=10000),M49*1%,IF(AND(M49&gt;1000,M49&lt;=5000),M49*2%,IF(AND(M49&gt;200,M49&lt;=1000),M49*3%,M49*5%))))</f>
        <v>75.040000000000006</v>
      </c>
      <c r="M68" s="24">
        <f ca="1">ROUND(L68,1)</f>
        <v>75</v>
      </c>
      <c r="Z68" s="2428"/>
      <c r="AI68" s="2429"/>
    </row>
    <row r="69" spans="1:35" s="2451" customFormat="1" ht="16.5" hidden="1" customHeight="1">
      <c r="A69" s="2505"/>
      <c r="B69" s="2506"/>
      <c r="C69" s="2507"/>
      <c r="D69" s="2508"/>
      <c r="E69" s="2509"/>
      <c r="F69" s="2170"/>
      <c r="G69" s="2170"/>
      <c r="H69" s="2169"/>
      <c r="I69" s="2423"/>
      <c r="J69" s="3209"/>
      <c r="K69" s="2504" t="s">
        <v>2256</v>
      </c>
      <c r="L69" s="2510"/>
      <c r="M69" s="24">
        <f ca="1">ROUND(SUM(M63:M68),0)</f>
        <v>202</v>
      </c>
      <c r="N69" s="1755">
        <f ca="1">M69/M49</f>
        <v>2.6918976545842216E-2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68" t="s">
        <v>2257</v>
      </c>
      <c r="B70" s="3169"/>
      <c r="C70" s="3169"/>
      <c r="D70" s="3169"/>
      <c r="E70" s="3169"/>
      <c r="F70" s="3169"/>
      <c r="G70" s="3169"/>
      <c r="H70" s="316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47" t="s">
        <v>2238</v>
      </c>
      <c r="B71" s="3148"/>
      <c r="C71" s="1806"/>
      <c r="D71" s="1806" t="s">
        <v>2239</v>
      </c>
      <c r="E71" s="214" t="s">
        <v>2240</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2258</v>
      </c>
      <c r="C72" s="208">
        <f ca="1">ROUND(D45/(1+'数据-取费表'!C42),0)</f>
        <v>7147</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2259</v>
      </c>
      <c r="C73" s="208">
        <f ca="1">C74+C78</f>
        <v>43</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2260</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2261</v>
      </c>
      <c r="C75" s="219"/>
      <c r="D75" s="201" t="s">
        <v>32</v>
      </c>
      <c r="E75" s="220" t="s">
        <v>2262</v>
      </c>
      <c r="F75" s="2516" t="s">
        <v>2263</v>
      </c>
      <c r="G75" s="220" t="s">
        <v>2264</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2265</v>
      </c>
      <c r="C76" s="201">
        <f>IF(F75="购房发票",ROUND(C75*H75*D76,0),0)</f>
        <v>0</v>
      </c>
      <c r="D76" s="223">
        <v>0.05</v>
      </c>
      <c r="E76" s="3142" t="s">
        <v>2266</v>
      </c>
      <c r="F76" s="3119"/>
      <c r="G76" s="3119"/>
      <c r="H76" s="316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8" t="s">
        <v>2269</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2270</v>
      </c>
      <c r="C78" s="226">
        <f ca="1">ROUND(D45*D78/(1+'数据-取费表'!C42),0)</f>
        <v>43</v>
      </c>
      <c r="D78" s="227">
        <f>'数据-取费表'!B43</f>
        <v>6.000000000000001E-3</v>
      </c>
      <c r="E78" s="3128" t="s">
        <v>2271</v>
      </c>
      <c r="F78" s="3129"/>
      <c r="G78" s="3129"/>
      <c r="H78" s="313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2272</v>
      </c>
      <c r="C79" s="208">
        <f ca="1">C72-C73</f>
        <v>7104</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2273</v>
      </c>
      <c r="C80" s="228">
        <f ca="1">IF(C79&lt;=0,0,C79/C73)</f>
        <v>165.2093023255814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2274</v>
      </c>
      <c r="C81" s="229">
        <f ca="1">ROUND(IF(C79&lt;=0,0,IF(C80&gt;=200%,C79*60%-C73*35%,IF(C80&gt;=100%,C79*50%-C73*15%,IF(C80&gt;=50%,C79*40%-C73*5%,IF(C80&lt;50%,C79*30%,0))))),0)</f>
        <v>4247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68" t="s">
        <v>2275</v>
      </c>
      <c r="B83" s="3169"/>
      <c r="C83" s="3169"/>
      <c r="D83" s="3169"/>
      <c r="E83" s="3169"/>
      <c r="F83" s="3169"/>
      <c r="G83" s="3169"/>
      <c r="H83" s="316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47" t="s">
        <v>2238</v>
      </c>
      <c r="B84" s="3148"/>
      <c r="C84" s="1806"/>
      <c r="D84" s="1806" t="s">
        <v>2239</v>
      </c>
      <c r="E84" s="214" t="s">
        <v>2240</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2258</v>
      </c>
      <c r="C85" s="208">
        <f ca="1">ROUND(D45/(1+'数据-取费表'!C42),0)</f>
        <v>7147</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2259</v>
      </c>
      <c r="C86" s="208">
        <f ca="1">IF(H88="仅含出让金",C87+C90+C91+C92+C93+C94,C87+C91+C92+C93+C94)</f>
        <v>43</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2276</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2277</v>
      </c>
      <c r="C88" s="237"/>
      <c r="D88" s="227"/>
      <c r="E88" s="238" t="s">
        <v>2278</v>
      </c>
      <c r="F88" s="1802"/>
      <c r="G88" s="239"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2267</v>
      </c>
      <c r="C89" s="226">
        <f>ROUND(C88*D89,0)</f>
        <v>0</v>
      </c>
      <c r="D89" s="227">
        <f>'数据-取费表'!B48+'数据-取费表'!B49</f>
        <v>3.0499999999999999E-2</v>
      </c>
      <c r="E89" s="238" t="s">
        <v>2280</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2281</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2282</v>
      </c>
      <c r="B91" s="199" t="s">
        <v>2283</v>
      </c>
      <c r="C91" s="226">
        <f>IF(H91="——",成本法!C33,I91)</f>
        <v>0</v>
      </c>
      <c r="D91" s="227"/>
      <c r="E91" s="3128" t="s">
        <v>2284</v>
      </c>
      <c r="F91" s="3129"/>
      <c r="G91" s="3129"/>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2286</v>
      </c>
      <c r="B92" s="199" t="s">
        <v>2287</v>
      </c>
      <c r="C92" s="226">
        <f>ROUND((C87+C90+C91)*D92,0)</f>
        <v>0</v>
      </c>
      <c r="D92" s="227">
        <v>0.1</v>
      </c>
      <c r="E92" s="3128" t="s">
        <v>2288</v>
      </c>
      <c r="F92" s="3129"/>
      <c r="G92" s="3129"/>
      <c r="H92" s="313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2289</v>
      </c>
      <c r="B93" s="199" t="s">
        <v>2270</v>
      </c>
      <c r="C93" s="226">
        <f ca="1">ROUND(D45*D93/(1+'数据-取费表'!C42),0)</f>
        <v>43</v>
      </c>
      <c r="D93" s="227">
        <f>'数据-取费表'!B43</f>
        <v>6.000000000000001E-3</v>
      </c>
      <c r="E93" s="3128" t="s">
        <v>2271</v>
      </c>
      <c r="F93" s="3129"/>
      <c r="G93" s="3129"/>
      <c r="H93" s="313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2290</v>
      </c>
      <c r="B94" s="199" t="s">
        <v>2291</v>
      </c>
      <c r="C94" s="237">
        <f>ROUND((C87+C90+C91)*D94,0)</f>
        <v>0</v>
      </c>
      <c r="D94" s="227">
        <v>0.2</v>
      </c>
      <c r="E94" s="3139" t="s">
        <v>2292</v>
      </c>
      <c r="F94" s="3140"/>
      <c r="G94" s="3140"/>
      <c r="H94" s="3141"/>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2272</v>
      </c>
      <c r="C95" s="208">
        <f ca="1">ROUND(C85-C86,0)</f>
        <v>7104</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2273</v>
      </c>
      <c r="C96" s="228">
        <f ca="1">IF(C95&lt;=0,0,C95/C86)</f>
        <v>165.2093023255814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2274</v>
      </c>
      <c r="C97" s="229">
        <f ca="1">ROUND(IF(C95&lt;=0,0,IF(C96&gt;=200%,C95*60%-C86*35%,IF(C96&gt;=100%,C95*50%-C86*15%,IF(C96&gt;=50%,C95*40%-C86*5%,IF(C96&lt;50%,C95*30%,0))))),0)</f>
        <v>4247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2293</v>
      </c>
      <c r="B99" s="2423"/>
      <c r="C99" s="2423"/>
      <c r="D99" s="2423"/>
      <c r="E99" s="2170"/>
      <c r="F99" s="2170"/>
      <c r="G99" s="2170"/>
      <c r="H99" s="2169"/>
      <c r="I99" s="138"/>
    </row>
    <row r="100" spans="1:35" ht="18.75" hidden="1" customHeight="1">
      <c r="A100" s="3113" t="s">
        <v>2294</v>
      </c>
      <c r="B100" s="3114"/>
      <c r="C100" s="3114"/>
      <c r="D100" s="3130"/>
      <c r="E100" s="3114" t="s">
        <v>2295</v>
      </c>
      <c r="F100" s="3114"/>
      <c r="G100" s="3114"/>
      <c r="H100" s="3130"/>
      <c r="I100" s="138"/>
    </row>
    <row r="101" spans="1:35" ht="18.75" hidden="1" customHeight="1">
      <c r="A101" s="3192" t="s">
        <v>2296</v>
      </c>
      <c r="B101" s="3193"/>
      <c r="C101" s="737" t="str">
        <f>C4</f>
        <v>比较法-办公</v>
      </c>
      <c r="D101" s="738" t="str">
        <f>D4</f>
        <v>收益法 (元)</v>
      </c>
      <c r="E101" s="3206" t="s">
        <v>2297</v>
      </c>
      <c r="F101" s="3160"/>
      <c r="G101" s="2525" t="s">
        <v>2298</v>
      </c>
      <c r="H101" s="1049">
        <f ca="1">H118</f>
        <v>7504</v>
      </c>
      <c r="I101" s="138"/>
    </row>
    <row r="102" spans="1:35" ht="18.75" hidden="1" customHeight="1">
      <c r="A102" s="3162" t="s">
        <v>2299</v>
      </c>
      <c r="B102" s="2525" t="s">
        <v>2298</v>
      </c>
      <c r="C102" s="737">
        <f ca="1">C19</f>
        <v>7483</v>
      </c>
      <c r="D102" s="738">
        <f ca="1">D19</f>
        <v>7524</v>
      </c>
      <c r="E102" s="3206"/>
      <c r="F102" s="3160"/>
      <c r="G102" s="2525" t="s">
        <v>2300</v>
      </c>
      <c r="H102" s="372">
        <f ca="1">I118</f>
        <v>38428</v>
      </c>
      <c r="I102" s="138"/>
    </row>
    <row r="103" spans="1:35" ht="42.75" hidden="1" customHeight="1">
      <c r="A103" s="3162"/>
      <c r="B103" s="2525" t="s">
        <v>2300</v>
      </c>
      <c r="C103" s="739">
        <f ca="1">C20</f>
        <v>38319</v>
      </c>
      <c r="D103" s="740">
        <f ca="1">D20</f>
        <v>38529</v>
      </c>
      <c r="E103" s="3201" t="s">
        <v>2301</v>
      </c>
      <c r="F103" s="3202"/>
      <c r="G103" s="2526" t="s">
        <v>2302</v>
      </c>
      <c r="H103" s="1049">
        <f>IF(D36="正常操作",H104+H105+H106,H105+H106)</f>
        <v>0</v>
      </c>
      <c r="I103" s="138"/>
    </row>
    <row r="104" spans="1:35" ht="18.75" hidden="1" customHeight="1">
      <c r="A104" s="3162" t="s">
        <v>2303</v>
      </c>
      <c r="B104" s="2527" t="s">
        <v>2298</v>
      </c>
      <c r="C104" s="741">
        <f ca="1">H118</f>
        <v>7504</v>
      </c>
      <c r="D104" s="742"/>
      <c r="E104" s="2271" t="s">
        <v>2304</v>
      </c>
      <c r="F104" s="2262"/>
      <c r="G104" s="2526" t="s">
        <v>2302</v>
      </c>
      <c r="H104" s="1050">
        <f>IF(D36="同一抵押权人同一抵押物续贷",C36&amp;"（未扣减，详见特别提示）",C36)</f>
        <v>0</v>
      </c>
      <c r="I104" s="138"/>
    </row>
    <row r="105" spans="1:35" ht="18.75" hidden="1" customHeight="1" thickBot="1">
      <c r="A105" s="3163"/>
      <c r="B105" s="2528" t="s">
        <v>2300</v>
      </c>
      <c r="C105" s="743">
        <f ca="1">I118</f>
        <v>38428</v>
      </c>
      <c r="D105" s="744"/>
      <c r="E105" s="2271" t="s">
        <v>2305</v>
      </c>
      <c r="F105" s="2262"/>
      <c r="G105" s="2526" t="s">
        <v>2302</v>
      </c>
      <c r="H105" s="1050">
        <f>C37</f>
        <v>0</v>
      </c>
      <c r="I105" s="138"/>
    </row>
    <row r="106" spans="1:35" ht="18.75" hidden="1" customHeight="1">
      <c r="A106" s="2423" t="s">
        <v>2306</v>
      </c>
      <c r="B106" s="2423"/>
      <c r="C106" s="2423"/>
      <c r="D106" s="2423"/>
      <c r="E106" s="2529" t="s">
        <v>2307</v>
      </c>
      <c r="F106" s="2262"/>
      <c r="G106" s="2526" t="s">
        <v>2302</v>
      </c>
      <c r="H106" s="1050">
        <f>C38</f>
        <v>0</v>
      </c>
      <c r="I106" s="138"/>
    </row>
    <row r="107" spans="1:35" ht="18.75" hidden="1" customHeight="1">
      <c r="A107" s="138"/>
      <c r="B107" s="138"/>
      <c r="C107" s="138"/>
      <c r="D107" s="138"/>
      <c r="E107" s="3159" t="str">
        <f>IF(项目基本情况!E8="已注销","——","3.房地产抵押价值")</f>
        <v>3.房地产抵押价值</v>
      </c>
      <c r="F107" s="3160"/>
      <c r="G107" s="2525" t="s">
        <v>2298</v>
      </c>
      <c r="H107" s="1049">
        <f ca="1">IF(E107="——","——",H101-H103)</f>
        <v>7504</v>
      </c>
      <c r="I107" s="138"/>
    </row>
    <row r="108" spans="1:35" ht="18.75" hidden="1" customHeight="1">
      <c r="A108" s="138"/>
      <c r="B108" s="138"/>
      <c r="C108" s="138"/>
      <c r="D108" s="138"/>
      <c r="E108" s="3159"/>
      <c r="F108" s="3160"/>
      <c r="G108" s="2525" t="s">
        <v>2300</v>
      </c>
      <c r="H108" s="372">
        <f ca="1">ROUND(H107*10000/'数据-汇总表'!E3,0)</f>
        <v>38428</v>
      </c>
      <c r="I108" s="138"/>
    </row>
    <row r="109" spans="1:35" ht="18.75" hidden="1"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60"/>
      <c r="G109" s="2525" t="s">
        <v>2298</v>
      </c>
      <c r="H109" s="349" t="str">
        <f>IF(E109="——","——",H101-H105-H106)</f>
        <v>——</v>
      </c>
      <c r="I109" s="138"/>
    </row>
    <row r="110" spans="1:35" ht="18.75" hidden="1" customHeight="1">
      <c r="A110" s="138"/>
      <c r="B110" s="138"/>
      <c r="C110" s="138"/>
      <c r="D110" s="138"/>
      <c r="E110" s="3159"/>
      <c r="F110" s="3160"/>
      <c r="G110" s="2525" t="s">
        <v>2300</v>
      </c>
      <c r="H110" s="372" t="str">
        <f>IF(H109="——","——",ROUND(H109*10000/'数据-汇总表'!E3,0))</f>
        <v>——</v>
      </c>
      <c r="I110" s="138"/>
    </row>
    <row r="111" spans="1:35" ht="18.75" hidden="1" customHeight="1">
      <c r="A111" s="138"/>
      <c r="B111" s="138"/>
      <c r="C111" s="138"/>
      <c r="D111" s="138"/>
      <c r="E111" s="3194" t="str">
        <f>IF(项目基本情况!E9="抵押净值",IF(OR(项目基本情况!E8="已注销",项目基本情况!E8="房地产抵押价值"),"4.抵押净值","5.抵押净值"),"——")</f>
        <v>——</v>
      </c>
      <c r="F111" s="3195"/>
      <c r="G111" s="2525" t="s">
        <v>2298</v>
      </c>
      <c r="H111" s="1049" t="str">
        <f>IF(E111="——","——",N59)</f>
        <v>——</v>
      </c>
      <c r="I111" s="138"/>
    </row>
    <row r="112" spans="1:35" ht="18.75" hidden="1" customHeight="1" thickBot="1">
      <c r="A112" s="138"/>
      <c r="B112" s="138"/>
      <c r="C112" s="138"/>
      <c r="D112" s="138"/>
      <c r="E112" s="3196"/>
      <c r="F112" s="3197"/>
      <c r="G112" s="2530" t="s">
        <v>2300</v>
      </c>
      <c r="H112" s="791" t="str">
        <f>IF(E111="——","——",N61)</f>
        <v>——</v>
      </c>
      <c r="I112" s="138"/>
    </row>
    <row r="113" spans="1:11" ht="18.75" hidden="1" customHeight="1">
      <c r="A113" s="138"/>
      <c r="B113" s="138"/>
      <c r="C113" s="138"/>
      <c r="D113" s="138"/>
      <c r="E113" s="3164" t="s">
        <v>2306</v>
      </c>
      <c r="F113" s="3164"/>
      <c r="G113" s="3164"/>
      <c r="H113" s="3164"/>
      <c r="I113" s="138"/>
    </row>
    <row r="114" spans="1:11" ht="3.75" hidden="1" customHeight="1">
      <c r="A114" s="2423"/>
      <c r="B114" s="2423"/>
      <c r="C114" s="2423"/>
      <c r="D114" s="2423"/>
      <c r="E114" s="2501"/>
      <c r="F114" s="2501"/>
      <c r="G114" s="2501"/>
      <c r="H114" s="2501"/>
      <c r="I114" s="2423"/>
    </row>
    <row r="115" spans="1:11" ht="18.75" hidden="1" customHeight="1">
      <c r="A115" s="3177" t="s">
        <v>2308</v>
      </c>
      <c r="B115" s="3178"/>
      <c r="C115" s="3178"/>
      <c r="D115" s="3178"/>
      <c r="E115" s="3178"/>
      <c r="F115" s="3178"/>
      <c r="G115" s="3178"/>
      <c r="H115" s="3178"/>
      <c r="I115" s="3179"/>
    </row>
    <row r="116" spans="1:11" ht="27" customHeight="1">
      <c r="A116" s="3070" t="s">
        <v>2309</v>
      </c>
      <c r="B116" s="3165" t="s">
        <v>2310</v>
      </c>
      <c r="C116" s="3165" t="s">
        <v>2311</v>
      </c>
      <c r="D116" s="3181" t="s">
        <v>2312</v>
      </c>
      <c r="E116" s="3182"/>
      <c r="F116" s="3173" t="s">
        <v>2313</v>
      </c>
      <c r="G116" s="3173"/>
      <c r="H116" s="3070" t="s">
        <v>2314</v>
      </c>
      <c r="I116" s="3070"/>
    </row>
    <row r="117" spans="1:11" ht="18.75" customHeight="1">
      <c r="A117" s="3070"/>
      <c r="B117" s="3166"/>
      <c r="C117" s="3166"/>
      <c r="D117" s="1800" t="s">
        <v>2315</v>
      </c>
      <c r="E117" s="1800" t="s">
        <v>2316</v>
      </c>
      <c r="F117" s="1800" t="s">
        <v>2315</v>
      </c>
      <c r="G117" s="1800" t="s">
        <v>2317</v>
      </c>
      <c r="H117" s="1800" t="s">
        <v>2315</v>
      </c>
      <c r="I117" s="1800" t="s">
        <v>2317</v>
      </c>
    </row>
    <row r="118" spans="1:11" ht="24.75" customHeight="1">
      <c r="A118" s="2531" t="str">
        <f>项目基本情况!S2</f>
        <v>北京市西城区广安门外大街168号1幢3层1-301等六套办公用房房地产房地产</v>
      </c>
      <c r="B118" s="1800">
        <f>M18</f>
        <v>1952.76</v>
      </c>
      <c r="C118" s="1800">
        <f>M19</f>
        <v>0</v>
      </c>
      <c r="D118" s="1800">
        <f ca="1">ROUND(IF(D32="总价",C34,E118*B118/10000),0)</f>
        <v>6288</v>
      </c>
      <c r="E118" s="1800">
        <f ca="1">ROUND(IF(C33="自定义",IF(D32="楼面单价",C34,D118*10000/B118),I118-G118),0)</f>
        <v>32201</v>
      </c>
      <c r="F118" s="1800">
        <f ca="1">ROUND(IF(D32="总价",C35,G118*B118/10000),0)</f>
        <v>1216</v>
      </c>
      <c r="G118" s="1800">
        <f ca="1">ROUND(IF(D32="楼面单价",C35,F118*10000/B118),0)</f>
        <v>6227</v>
      </c>
      <c r="H118" s="1800">
        <f ca="1">ROUND(IF(D32="总价",C32,I118*B118/10000),0)</f>
        <v>7504</v>
      </c>
      <c r="I118" s="1800">
        <f ca="1">ROUND(IF(D32="楼面单价",C32,H118*10000/B118),0)</f>
        <v>38428</v>
      </c>
    </row>
    <row r="119" spans="1:11" ht="18.75" customHeight="1">
      <c r="A119" s="3070" t="s">
        <v>2318</v>
      </c>
      <c r="B119" s="3070"/>
      <c r="C119" s="3070"/>
      <c r="D119" s="3170" t="str">
        <f ca="1">NUMBERSTRING(INT(D118*10000),2)&amp;"元整"</f>
        <v>陆仟贰佰捌拾捌万元整</v>
      </c>
      <c r="E119" s="3172"/>
      <c r="F119" s="3170" t="str">
        <f ca="1">NUMBERSTRING(INT(F118*10000),2)&amp;"元整"</f>
        <v>壹仟贰佰壹拾陆万元整</v>
      </c>
      <c r="G119" s="3172"/>
      <c r="H119" s="3170" t="str">
        <f ca="1">NUMBERSTRING(INT(H118*10000),2)&amp;"元整"</f>
        <v>柒仟伍佰零肆万元整</v>
      </c>
      <c r="I119" s="3172"/>
    </row>
    <row r="120" spans="1:11" ht="18.75" customHeight="1">
      <c r="A120" s="3198" t="str">
        <f>IF(项目基本情况!B9="房地产市场价值","",MID(E103,3,LEN(E103)-2))</f>
        <v>估价师知悉的法定优先受偿款</v>
      </c>
      <c r="B120" s="3199"/>
      <c r="C120" s="3200"/>
      <c r="D120" s="3198">
        <f>H103</f>
        <v>0</v>
      </c>
      <c r="E120" s="3199"/>
      <c r="F120" s="3199"/>
      <c r="G120" s="3199"/>
      <c r="H120" s="3199"/>
      <c r="I120" s="3200"/>
      <c r="K120" s="2428" t="str">
        <f>IF(D120=0,"故，本次评估不存在"&amp;A120,"故，本次评估"&amp;A120&amp;"为人民币"&amp;D120&amp;"万元整。")</f>
        <v>故，本次评估不存在估价师知悉的法定优先受偿款</v>
      </c>
    </row>
    <row r="121" spans="1:11" ht="18.75" customHeight="1">
      <c r="A121" s="3174" t="s">
        <v>2318</v>
      </c>
      <c r="B121" s="3175"/>
      <c r="C121" s="3176"/>
      <c r="D121" s="3170" t="str">
        <f>IF(D120=0,"零元整",NUMBERSTRING(INT(D120*10000),2)&amp;"元整")</f>
        <v>零元整</v>
      </c>
      <c r="E121" s="3171"/>
      <c r="F121" s="3171"/>
      <c r="G121" s="3171"/>
      <c r="H121" s="3171"/>
      <c r="I121" s="3172"/>
    </row>
    <row r="122" spans="1:11" ht="18.75" customHeight="1">
      <c r="A122" s="3161" t="str">
        <f>IF(项目基本情况!B9="房地产市场价值","",MID(E107,3,LEN(E107)-2))</f>
        <v>房地产抵押价值</v>
      </c>
      <c r="B122" s="3161"/>
      <c r="C122" s="3161"/>
      <c r="D122" s="3198">
        <f ca="1">H107</f>
        <v>7504</v>
      </c>
      <c r="E122" s="3199"/>
      <c r="F122" s="3199"/>
      <c r="G122" s="3199"/>
      <c r="H122" s="3199"/>
      <c r="I122" s="3200"/>
    </row>
    <row r="123" spans="1:11" ht="18.75" customHeight="1">
      <c r="A123" s="3070" t="s">
        <v>2318</v>
      </c>
      <c r="B123" s="3070"/>
      <c r="C123" s="3070"/>
      <c r="D123" s="3170" t="str">
        <f ca="1">NUMBERSTRING(INT(D122*10000),2)&amp;"元整"</f>
        <v>柒仟伍佰零肆万元整</v>
      </c>
      <c r="E123" s="3171"/>
      <c r="F123" s="3171"/>
      <c r="G123" s="3171"/>
      <c r="H123" s="3171"/>
      <c r="I123" s="3172"/>
    </row>
    <row r="124" spans="1:11" ht="18.75" customHeight="1">
      <c r="A124" s="3161" t="str">
        <f>IF(项目基本情况!B9="房地产市场价值","",MID(E109,3,LEN(E109)-2))</f>
        <v/>
      </c>
      <c r="B124" s="3161"/>
      <c r="C124" s="3161"/>
      <c r="D124" s="3198" t="str">
        <f>H109</f>
        <v>——</v>
      </c>
      <c r="E124" s="3199"/>
      <c r="F124" s="3199"/>
      <c r="G124" s="3199"/>
      <c r="H124" s="3199"/>
      <c r="I124" s="3200"/>
    </row>
    <row r="125" spans="1:11" ht="18.75" customHeight="1">
      <c r="A125" s="3070" t="s">
        <v>2318</v>
      </c>
      <c r="B125" s="3070"/>
      <c r="C125" s="3070"/>
      <c r="D125" s="3170" t="e">
        <f>NUMBERSTRING(INT(D124*10000),2)&amp;"元整"</f>
        <v>#VALUE!</v>
      </c>
      <c r="E125" s="3171"/>
      <c r="F125" s="3171"/>
      <c r="G125" s="3171"/>
      <c r="H125" s="3171"/>
      <c r="I125" s="3172"/>
    </row>
    <row r="126" spans="1:11" ht="18.75" customHeight="1">
      <c r="A126" s="3161" t="str">
        <f>IF(项目基本情况!B9="房地产市场价值","",MID(E111,3,LEN(E111)-2))</f>
        <v/>
      </c>
      <c r="B126" s="3161"/>
      <c r="C126" s="3161"/>
      <c r="D126" s="3198" t="str">
        <f>H111</f>
        <v>——</v>
      </c>
      <c r="E126" s="3199"/>
      <c r="F126" s="3199"/>
      <c r="G126" s="3199"/>
      <c r="H126" s="3199"/>
      <c r="I126" s="3200"/>
    </row>
    <row r="127" spans="1:11" ht="18.75" customHeight="1">
      <c r="A127" s="3070" t="s">
        <v>2318</v>
      </c>
      <c r="B127" s="3070"/>
      <c r="C127" s="3070"/>
      <c r="D127" s="3170" t="e">
        <f>NUMBERSTRING(INT(D126*10000),2)&amp;"元整"</f>
        <v>#VALUE!</v>
      </c>
      <c r="E127" s="3171"/>
      <c r="F127" s="3171"/>
      <c r="G127" s="3171"/>
      <c r="H127" s="3171"/>
      <c r="I127" s="3172"/>
    </row>
    <row r="128" spans="1:11" ht="21.75" customHeight="1">
      <c r="A128" s="3180" t="s">
        <v>2319</v>
      </c>
      <c r="B128" s="3180"/>
      <c r="C128" s="3180"/>
      <c r="D128" s="3180"/>
      <c r="E128" s="3180"/>
      <c r="F128" s="3180"/>
      <c r="G128" s="3180"/>
      <c r="H128" s="3180"/>
      <c r="I128" s="3180"/>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2322</v>
      </c>
      <c r="G135" s="2549"/>
      <c r="H135" s="2549"/>
      <c r="I135" s="2550" t="s">
        <v>2323</v>
      </c>
    </row>
    <row r="136" spans="1:35" ht="21.75" customHeight="1">
      <c r="A136" s="796"/>
      <c r="B136" s="2551"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2325</v>
      </c>
    </row>
    <row r="139" spans="1:35" ht="21.75" customHeight="1">
      <c r="A139" s="796"/>
      <c r="B139" s="2551" t="s">
        <v>2326</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2325</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42"/>
      <c r="C1" s="243"/>
      <c r="D1" s="243"/>
      <c r="E1" s="243"/>
      <c r="F1" s="243"/>
      <c r="G1" s="1383">
        <f>MATCH(B1,'数据-取费表'!A6:A16,0)+5</f>
        <v>7</v>
      </c>
    </row>
    <row r="2" spans="1:9" s="245" customFormat="1" ht="18" customHeight="1">
      <c r="A2" s="246" t="s">
        <v>2328</v>
      </c>
      <c r="B2" s="247">
        <f ca="1">IF(D2="——",C52,C52-E2)</f>
        <v>1086</v>
      </c>
      <c r="C2" s="244" t="s">
        <v>2329</v>
      </c>
      <c r="D2" s="2554" t="s">
        <v>70</v>
      </c>
      <c r="E2" s="1444" t="e">
        <f ca="1">SUMIF(INDIRECT("'"&amp;G2&amp;"'"&amp;"!A:A"),"承租人权益价值",INDIRECT("'"&amp;G2&amp;"'"&amp;"!c:c"))</f>
        <v>#REF!</v>
      </c>
      <c r="F2" s="2555" t="s">
        <v>2329</v>
      </c>
      <c r="G2" s="2556"/>
    </row>
    <row r="3" spans="1:9" s="245" customFormat="1" ht="18" customHeight="1" thickBot="1">
      <c r="A3" s="248" t="s">
        <v>2330</v>
      </c>
      <c r="B3" s="249">
        <f ca="1">ROUND(B2*10000/(IF(B1="",'数据-汇总表'!E3,INDIRECT("'数据-取费表'!k"&amp;$G$1))),0)</f>
        <v>5561</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200</v>
      </c>
      <c r="D5" s="256" t="s">
        <v>2335</v>
      </c>
      <c r="E5" s="257" t="s">
        <v>2336</v>
      </c>
      <c r="F5" s="257" t="s">
        <v>2337</v>
      </c>
      <c r="G5" s="258"/>
    </row>
    <row r="6" spans="1:9" s="259" customFormat="1" ht="13.5" customHeight="1">
      <c r="A6" s="953" t="s">
        <v>2338</v>
      </c>
      <c r="B6" s="260" t="s">
        <v>2339</v>
      </c>
      <c r="C6" s="261"/>
      <c r="D6" s="262"/>
      <c r="E6" s="263"/>
      <c r="F6" s="263"/>
      <c r="G6" s="264"/>
    </row>
    <row r="7" spans="1:9" s="259" customFormat="1" ht="13.5" customHeight="1">
      <c r="A7" s="953" t="s">
        <v>2340</v>
      </c>
      <c r="B7" s="260" t="s">
        <v>2341</v>
      </c>
      <c r="C7" s="265">
        <f>ROUND(C6*F7,0)</f>
        <v>0</v>
      </c>
      <c r="D7" s="265"/>
      <c r="E7" s="263"/>
      <c r="F7" s="266">
        <f>'数据-取费表'!B48+'数据-取费表'!B49</f>
        <v>3.0499999999999999E-2</v>
      </c>
      <c r="G7" s="264"/>
    </row>
    <row r="8" spans="1:9" s="268" customFormat="1">
      <c r="A8" s="953" t="s">
        <v>2342</v>
      </c>
      <c r="B8" s="260" t="s">
        <v>2343</v>
      </c>
      <c r="C8" s="265">
        <f>IF(G8="已包含在土地购买价格中","0",IF(B1="",'数据-取费表'!B29,IF(G9="全部缴纳",C9+C10,H9)))</f>
        <v>200</v>
      </c>
      <c r="D8" s="267"/>
      <c r="E8" s="265"/>
      <c r="F8" s="266"/>
      <c r="G8" s="2557"/>
    </row>
    <row r="9" spans="1:9" s="259" customFormat="1" ht="13.5" customHeight="1">
      <c r="A9" s="954" t="s">
        <v>800</v>
      </c>
      <c r="B9" s="269" t="s">
        <v>2344</v>
      </c>
      <c r="C9" s="270">
        <f ca="1">ROUND(D9*E9/10000,0)</f>
        <v>0</v>
      </c>
      <c r="D9" s="1036">
        <f ca="1">IF(B1="",'数据-汇总表'!E5,IF(INDIRECT("'数据-取费表'!c"&amp;$G$1)="住宅",INDIRECT("'数据-取费表'!k"&amp;$G$1),0))</f>
        <v>0</v>
      </c>
      <c r="E9" s="270">
        <f>'数据-取费表'!B27</f>
        <v>0</v>
      </c>
      <c r="F9" s="266"/>
      <c r="G9" s="2558"/>
      <c r="H9" s="1394"/>
      <c r="I9" s="2559" t="s">
        <v>2345</v>
      </c>
    </row>
    <row r="10" spans="1:9" s="259" customFormat="1" ht="13.5" customHeight="1">
      <c r="A10" s="954" t="s">
        <v>801</v>
      </c>
      <c r="B10" s="269" t="s">
        <v>2346</v>
      </c>
      <c r="C10" s="270">
        <f ca="1">ROUND(D10*E10/10000,0)</f>
        <v>0</v>
      </c>
      <c r="D10" s="1036">
        <f ca="1">IF(B1="",'数据-汇总表'!E6,IF(INDIRECT("'数据-取费表'!c"&amp;$G$1)="住宅",INDIRECT("'数据-取费表'!s"&amp;$G$1),INDIRECT("'数据-取费表'!k"&amp;$G$1)+INDIRECT("'数据-取费表'!s"&amp;$G$1)))</f>
        <v>1952.76</v>
      </c>
      <c r="E10" s="270">
        <f>'数据-取费表'!B28</f>
        <v>0</v>
      </c>
      <c r="F10" s="266"/>
      <c r="G10" s="271"/>
    </row>
    <row r="11" spans="1:9" s="259" customFormat="1" ht="13.5" hidden="1" customHeight="1">
      <c r="A11" s="272" t="s">
        <v>7</v>
      </c>
      <c r="B11" s="260" t="s">
        <v>2347</v>
      </c>
      <c r="C11" s="256"/>
      <c r="D11" s="1038"/>
      <c r="E11" s="263"/>
      <c r="F11" s="263"/>
      <c r="G11" s="264"/>
    </row>
    <row r="12" spans="1:9" s="259" customFormat="1" ht="13.5" hidden="1" customHeight="1">
      <c r="A12" s="272" t="s">
        <v>8</v>
      </c>
      <c r="B12" s="260" t="s">
        <v>2348</v>
      </c>
      <c r="C12" s="256">
        <v>0</v>
      </c>
      <c r="D12" s="1038"/>
      <c r="E12" s="273"/>
      <c r="F12" s="266">
        <v>3.0499999999999999E-2</v>
      </c>
      <c r="G12" s="264"/>
    </row>
    <row r="13" spans="1:9" s="259" customFormat="1" ht="13.5" hidden="1" customHeight="1">
      <c r="A13" s="272" t="s">
        <v>9</v>
      </c>
      <c r="B13" s="260" t="s">
        <v>2349</v>
      </c>
      <c r="C13" s="256"/>
      <c r="D13" s="1038"/>
      <c r="E13" s="263"/>
      <c r="F13" s="263"/>
      <c r="G13" s="264"/>
    </row>
    <row r="14" spans="1:9" s="259" customFormat="1" ht="13.5" hidden="1" customHeight="1">
      <c r="A14" s="272" t="s">
        <v>10</v>
      </c>
      <c r="B14" s="260" t="s">
        <v>2350</v>
      </c>
      <c r="C14" s="256"/>
      <c r="D14" s="1038"/>
      <c r="E14" s="263"/>
      <c r="F14" s="263"/>
      <c r="G14" s="264" t="s">
        <v>2351</v>
      </c>
    </row>
    <row r="15" spans="1:9" s="259" customFormat="1" ht="13.5" hidden="1" customHeight="1">
      <c r="A15" s="272" t="s">
        <v>11</v>
      </c>
      <c r="B15" s="260" t="s">
        <v>2352</v>
      </c>
      <c r="C15" s="265"/>
      <c r="D15" s="1038"/>
      <c r="E15" s="263"/>
      <c r="F15" s="263"/>
      <c r="G15" s="264" t="s">
        <v>2353</v>
      </c>
    </row>
    <row r="16" spans="1:9" s="259" customFormat="1" ht="13.5" hidden="1" customHeight="1">
      <c r="A16" s="272" t="s">
        <v>12</v>
      </c>
      <c r="B16" s="260" t="s">
        <v>2350</v>
      </c>
      <c r="C16" s="265"/>
      <c r="D16" s="1038"/>
      <c r="E16" s="263"/>
      <c r="F16" s="263"/>
      <c r="G16" s="264"/>
    </row>
    <row r="17" spans="1:7" s="259" customFormat="1" ht="13.5" hidden="1" customHeight="1">
      <c r="A17" s="272" t="s">
        <v>13</v>
      </c>
      <c r="B17" s="260" t="s">
        <v>2354</v>
      </c>
      <c r="C17" s="274"/>
      <c r="D17" s="1039"/>
      <c r="E17" s="274"/>
      <c r="F17" s="274"/>
      <c r="G17" s="264" t="s">
        <v>2353</v>
      </c>
    </row>
    <row r="18" spans="1:7" s="259" customFormat="1" ht="13.5" hidden="1" customHeight="1">
      <c r="A18" s="272" t="s">
        <v>14</v>
      </c>
      <c r="B18" s="260" t="s">
        <v>2355</v>
      </c>
      <c r="C18" s="265">
        <v>0</v>
      </c>
      <c r="D18" s="1038"/>
      <c r="E18" s="263"/>
      <c r="F18" s="266">
        <v>3.0499999999999999E-2</v>
      </c>
      <c r="G18" s="264" t="s">
        <v>2356</v>
      </c>
    </row>
    <row r="19" spans="1:7" s="268" customFormat="1" ht="13.5" customHeight="1">
      <c r="A19" s="300" t="s">
        <v>2357</v>
      </c>
      <c r="B19" s="255" t="s">
        <v>2358</v>
      </c>
      <c r="C19" s="256">
        <f ca="1">IF(G19="已包含在土地取得成本中","0",ROUND(D19*E19/10000,0))</f>
        <v>39</v>
      </c>
      <c r="D19" s="1040">
        <f ca="1">D9+D10</f>
        <v>1952.76</v>
      </c>
      <c r="E19" s="256">
        <f>'数据-取费表'!B31</f>
        <v>200</v>
      </c>
      <c r="F19" s="276"/>
      <c r="G19" s="2557"/>
    </row>
    <row r="20" spans="1:7" s="259" customFormat="1" ht="13.5" customHeight="1">
      <c r="A20" s="300" t="s">
        <v>2359</v>
      </c>
      <c r="B20" s="255" t="s">
        <v>2360</v>
      </c>
      <c r="C20" s="277">
        <f ca="1">ROUND((C5+C19)*F20,0)</f>
        <v>5</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8">
        <f ca="1">ROUND(SUM(C23:C25),0)</f>
        <v>23</v>
      </c>
      <c r="D22" s="280">
        <f ca="1">C26</f>
        <v>1E-3</v>
      </c>
      <c r="E22" s="281" t="s">
        <v>2364</v>
      </c>
      <c r="F22" s="282">
        <f ca="1">'数据-取费表'!B40</f>
        <v>4.7500000000000001E-2</v>
      </c>
      <c r="G22" s="279" t="str">
        <f>IF('数据-取费表'!B22&lt;=1,"单利计息","复利计息")</f>
        <v>复利计息</v>
      </c>
    </row>
    <row r="23" spans="1:7" s="259" customFormat="1" ht="13.5" customHeight="1">
      <c r="A23" s="955" t="s">
        <v>2368</v>
      </c>
      <c r="B23" s="260" t="s">
        <v>2369</v>
      </c>
      <c r="C23" s="1359">
        <f ca="1">ROUND(IF('数据-取费表'!B22&lt;=1,C5*F22*'数据-取费表'!B23,C5*(POWER((1+F22),'数据-取费表'!B23)-1)),0)</f>
        <v>19</v>
      </c>
      <c r="D23" s="283"/>
      <c r="E23" s="283"/>
      <c r="F23" s="284"/>
      <c r="G23" s="285" t="s">
        <v>2370</v>
      </c>
    </row>
    <row r="24" spans="1:7" s="259" customFormat="1" ht="13.5" customHeight="1">
      <c r="A24" s="955" t="s">
        <v>2371</v>
      </c>
      <c r="B24" s="260" t="s">
        <v>2372</v>
      </c>
      <c r="C24" s="1359">
        <f ca="1">ROUND(IF('数据-取费表'!B22&lt;=1,C19*F22*('数据-取费表'!B19/2+'数据-取费表'!B21),C19*(POWER((1+F22),('数据-取费表'!B19/2+'数据-取费表'!B21))-1)),0)</f>
        <v>4</v>
      </c>
      <c r="D24" s="283"/>
      <c r="E24" s="283"/>
      <c r="F24" s="284"/>
      <c r="G24" s="285" t="s">
        <v>2373</v>
      </c>
    </row>
    <row r="25" spans="1:7" s="259" customFormat="1" ht="24">
      <c r="A25" s="955" t="s">
        <v>2374</v>
      </c>
      <c r="B25" s="260" t="s">
        <v>2375</v>
      </c>
      <c r="C25" s="1359">
        <f ca="1">ROUND(IF('数据-取费表'!B22&lt;=1,C20*F22*'数据-取费表'!B23/2,C20*(POWER((1+F22),'数据-取费表'!B23/2)-1)),0)</f>
        <v>0</v>
      </c>
      <c r="D25" s="283"/>
      <c r="E25" s="286"/>
      <c r="F25" s="284"/>
      <c r="G25" s="287" t="s">
        <v>2376</v>
      </c>
    </row>
    <row r="26" spans="1:7" s="259" customFormat="1">
      <c r="A26" s="955" t="s">
        <v>795</v>
      </c>
      <c r="B26" s="260" t="s">
        <v>2377</v>
      </c>
      <c r="C26" s="283">
        <f ca="1">ROUND(IF('数据-取费表'!B22&lt;=1,F21*F22*'数据-取费表'!B23/2,F21*(POWER((1+F22),'数据-取费表'!B23/2)-1)),4)</f>
        <v>1E-3</v>
      </c>
      <c r="D26" s="283"/>
      <c r="E26" s="286"/>
      <c r="F26" s="284"/>
      <c r="G26" s="288"/>
    </row>
    <row r="27" spans="1:7" s="259" customFormat="1" ht="24.75">
      <c r="A27" s="300" t="s">
        <v>2378</v>
      </c>
      <c r="B27" s="289" t="s">
        <v>2379</v>
      </c>
      <c r="C27" s="290">
        <f ca="1">C28</f>
        <v>49</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ROUND((C5+C19+C20)*F27*'数据-取费表'!B21/'数据-取费表'!B20,0)</f>
        <v>49</v>
      </c>
      <c r="D28" s="280"/>
      <c r="E28" s="281"/>
      <c r="F28" s="291"/>
      <c r="G28" s="292"/>
    </row>
    <row r="29" spans="1:7" s="259" customFormat="1" ht="13.5" customHeight="1">
      <c r="A29" s="955" t="s">
        <v>792</v>
      </c>
      <c r="B29" s="293" t="s">
        <v>2383</v>
      </c>
      <c r="C29" s="283">
        <f ca="1">ROUND(C21*F27*'数据-取费表'!B21/'数据-取费表'!B20,4)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343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633</v>
      </c>
      <c r="D33" s="277"/>
      <c r="E33" s="257"/>
      <c r="F33" s="286"/>
      <c r="G33" s="279"/>
    </row>
    <row r="34" spans="1:7" s="303" customFormat="1" ht="13.5" customHeight="1">
      <c r="A34" s="955" t="s">
        <v>791</v>
      </c>
      <c r="B34" s="260" t="s">
        <v>2391</v>
      </c>
      <c r="C34" s="265">
        <f ca="1">IF(B1="",IF(F34=100%,'数据-取费表'!M16,'数据-取费表'!O16),IF(F34=100%,INDIRECT("'数据-取费表'!m"&amp;$G$1)+INDIRECT("'数据-取费表'!t"&amp;$G$1),INDIRECT("'数据-取费表'!o"&amp;$G$1)+INDIRECT("'数据-取费表'!aq"&amp;$G$1)))</f>
        <v>586</v>
      </c>
      <c r="D34" s="262"/>
      <c r="E34" s="265"/>
      <c r="F34" s="302">
        <f ca="1">IF('数据-取费表'!B24=0,1,IF(B1="",'数据-取费表'!N16,INDIRECT("'数据-取费表'!n"&amp;$G$1)))</f>
        <v>1</v>
      </c>
      <c r="G34" s="264" t="s">
        <v>2392</v>
      </c>
    </row>
    <row r="35" spans="1:7" ht="13.5" customHeight="1">
      <c r="A35" s="955" t="s">
        <v>796</v>
      </c>
      <c r="B35" s="260" t="s">
        <v>2393</v>
      </c>
      <c r="C35" s="265">
        <f ca="1">ROUND(C34*F35,0)</f>
        <v>18</v>
      </c>
      <c r="D35" s="265"/>
      <c r="E35" s="265"/>
      <c r="F35" s="304">
        <f>'数据-取费表'!B33</f>
        <v>0.03</v>
      </c>
      <c r="G35" s="264" t="s">
        <v>2394</v>
      </c>
    </row>
    <row r="36" spans="1:7" ht="24">
      <c r="A36" s="955"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2396</v>
      </c>
    </row>
    <row r="37" spans="1:7" s="303" customFormat="1" ht="13.5" customHeight="1">
      <c r="A37" s="955" t="s">
        <v>798</v>
      </c>
      <c r="B37" s="260" t="s">
        <v>2397</v>
      </c>
      <c r="C37" s="294">
        <f ca="1">ROUND(E37*D37*F34/10000,0)</f>
        <v>20</v>
      </c>
      <c r="D37" s="262">
        <f ca="1">D19</f>
        <v>1952.76</v>
      </c>
      <c r="E37" s="294">
        <f>'数据-取费表'!B35</f>
        <v>100</v>
      </c>
      <c r="F37" s="304"/>
      <c r="G37" s="306" t="s">
        <v>2398</v>
      </c>
    </row>
    <row r="38" spans="1:7" ht="13.5" customHeight="1">
      <c r="A38" s="955" t="s">
        <v>799</v>
      </c>
      <c r="B38" s="260" t="s">
        <v>2399</v>
      </c>
      <c r="C38" s="265">
        <f ca="1">ROUND(C34*F38,0)</f>
        <v>9</v>
      </c>
      <c r="D38" s="265"/>
      <c r="E38" s="265"/>
      <c r="F38" s="304">
        <f>'数据-取费表'!B36</f>
        <v>1.4999999999999999E-2</v>
      </c>
      <c r="G38" s="264" t="s">
        <v>2394</v>
      </c>
    </row>
    <row r="39" spans="1:7" s="259" customFormat="1" ht="13.5" customHeight="1">
      <c r="A39" s="300" t="s">
        <v>2400</v>
      </c>
      <c r="B39" s="255" t="s">
        <v>2401</v>
      </c>
      <c r="C39" s="277">
        <f ca="1">ROUND(C33*F20,0)</f>
        <v>13</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31</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ROUND(IF('数据-取费表'!B22&lt;=1,C33*F22*'数据-取费表'!B21/2,C33*(POWER((1+F22),'数据-取费表'!B21/2)-1)),0)</f>
        <v>30</v>
      </c>
      <c r="D42" s="283"/>
      <c r="E42" s="283"/>
      <c r="F42" s="284"/>
      <c r="G42" s="3212" t="s">
        <v>2410</v>
      </c>
    </row>
    <row r="43" spans="1:7" ht="13.5" customHeight="1">
      <c r="A43" s="955" t="s">
        <v>792</v>
      </c>
      <c r="B43" s="260" t="s">
        <v>2411</v>
      </c>
      <c r="C43" s="283">
        <f ca="1">ROUND(IF('数据-取费表'!B22&lt;=1,C39*F22*'数据-取费表'!B21/2,C39*(POWER((1+F22),'数据-取费表'!B21/2)-1)),0)</f>
        <v>1</v>
      </c>
      <c r="D43" s="283"/>
      <c r="E43" s="283"/>
      <c r="F43" s="284"/>
      <c r="G43" s="3213"/>
    </row>
    <row r="44" spans="1:7" ht="13.5" customHeight="1">
      <c r="A44" s="955" t="s">
        <v>793</v>
      </c>
      <c r="B44" s="260" t="s">
        <v>2412</v>
      </c>
      <c r="C44" s="283">
        <f ca="1">ROUND(IF('数据-取费表'!B22&lt;=1,C40*F22*'数据-取费表'!B21/2,C40*(POWER((1+F22),'数据-取费表'!B21/2)-1)),4)</f>
        <v>1E-3</v>
      </c>
      <c r="D44" s="283"/>
      <c r="E44" s="283"/>
      <c r="F44" s="284"/>
      <c r="G44" s="3214"/>
    </row>
    <row r="45" spans="1:7" s="259" customFormat="1" ht="13.5" customHeight="1">
      <c r="A45" s="300" t="s">
        <v>2413</v>
      </c>
      <c r="B45" s="289" t="s">
        <v>2379</v>
      </c>
      <c r="C45" s="290">
        <f ca="1">C46</f>
        <v>129</v>
      </c>
      <c r="D45" s="280">
        <f ca="1">C47</f>
        <v>4.0000000000000001E-3</v>
      </c>
      <c r="E45" s="281" t="s">
        <v>2405</v>
      </c>
      <c r="F45" s="291"/>
      <c r="G45" s="292" t="s">
        <v>2414</v>
      </c>
    </row>
    <row r="46" spans="1:7" s="259" customFormat="1" ht="13.5" customHeight="1">
      <c r="A46" s="955" t="s">
        <v>791</v>
      </c>
      <c r="B46" s="293" t="s">
        <v>2415</v>
      </c>
      <c r="C46" s="294">
        <f ca="1">ROUND((C33+C39)*F27,0)</f>
        <v>129</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1733">
        <f>ROUND(F30/(1+'数据-取费表'!C42),4)</f>
        <v>5.33E-2</v>
      </c>
      <c r="D48" s="281" t="s">
        <v>2405</v>
      </c>
      <c r="E48" s="277"/>
      <c r="F48" s="282"/>
      <c r="G48" s="279" t="s">
        <v>2418</v>
      </c>
    </row>
    <row r="49" spans="1:7" ht="16.5" customHeight="1">
      <c r="A49" s="300" t="s">
        <v>2384</v>
      </c>
      <c r="B49" s="255" t="s">
        <v>2419</v>
      </c>
      <c r="C49" s="277">
        <f ca="1">ROUND((C33+C39+C41+C45)/(1-C40-D41-D45-C48),0)</f>
        <v>874</v>
      </c>
      <c r="D49" s="277"/>
      <c r="E49" s="277"/>
      <c r="F49" s="309"/>
      <c r="G49" s="279" t="s">
        <v>2420</v>
      </c>
    </row>
    <row r="50" spans="1:7" s="303" customFormat="1" ht="24">
      <c r="A50" s="300" t="s">
        <v>2421</v>
      </c>
      <c r="B50" s="255" t="s">
        <v>2422</v>
      </c>
      <c r="C50" s="277"/>
      <c r="D50" s="277"/>
      <c r="E50" s="277"/>
      <c r="F50" s="309">
        <f>IF('数据-取费表'!B24=0,'数据-取费表'!N16,1)</f>
        <v>0.85</v>
      </c>
      <c r="G50" s="292" t="s">
        <v>2423</v>
      </c>
    </row>
    <row r="51" spans="1:7" ht="16.5" customHeight="1">
      <c r="A51" s="300" t="s">
        <v>2424</v>
      </c>
      <c r="B51" s="255" t="s">
        <v>2425</v>
      </c>
      <c r="C51" s="277">
        <f ca="1">ROUND(C49*F50,0)</f>
        <v>743</v>
      </c>
      <c r="D51" s="277"/>
      <c r="E51" s="277"/>
      <c r="F51" s="309"/>
      <c r="G51" s="279" t="s">
        <v>2426</v>
      </c>
    </row>
    <row r="52" spans="1:7" s="253" customFormat="1" ht="16.5" thickBot="1">
      <c r="A52" s="310" t="s">
        <v>2427</v>
      </c>
      <c r="B52" s="311"/>
      <c r="C52" s="312">
        <f ca="1">C31+C51</f>
        <v>1086</v>
      </c>
      <c r="D52" s="311"/>
      <c r="E52" s="311"/>
      <c r="F52" s="311"/>
      <c r="G52" s="313"/>
    </row>
    <row r="55" spans="1:7" ht="15">
      <c r="B55" s="315" t="s">
        <v>2428</v>
      </c>
      <c r="C55" s="316"/>
    </row>
    <row r="56" spans="1:7">
      <c r="B56" s="318" t="s">
        <v>1514</v>
      </c>
      <c r="C56" s="320">
        <f ca="1">1-C57</f>
        <v>0.31599999999999995</v>
      </c>
    </row>
    <row r="57" spans="1:7">
      <c r="B57" s="318" t="s">
        <v>1515</v>
      </c>
      <c r="C57" s="319">
        <f ca="1">ROUND(C51/C52,3)</f>
        <v>0.68400000000000005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6" t="str">
        <f>项目基本情况!B1</f>
        <v>北京市西城区广安门外大街168号1幢3层1-301等六套办公用房房地产房地产抵押价值预评估</v>
      </c>
      <c r="C37" s="3026"/>
      <c r="D37" s="3026"/>
      <c r="E37" s="3026"/>
      <c r="F37" s="3026"/>
      <c r="G37" s="3026"/>
      <c r="H37" s="3026"/>
      <c r="I37" s="3026"/>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42"/>
      <c r="C1" s="2560" t="s">
        <v>2429</v>
      </c>
      <c r="D1" s="243"/>
      <c r="E1" s="243"/>
      <c r="F1" s="243"/>
      <c r="G1" s="1383">
        <f>MATCH(B1,'数据-取费表'!A6:A16,0)+5</f>
        <v>7</v>
      </c>
      <c r="H1" s="1286" t="str">
        <f>IF(ISERROR(FIND("住宅",B1)),"非住宅","住宅")</f>
        <v>非住宅</v>
      </c>
    </row>
    <row r="2" spans="1:8" s="245" customFormat="1" ht="18" customHeight="1">
      <c r="A2" s="246" t="s">
        <v>2328</v>
      </c>
      <c r="B2" s="247">
        <f ca="1">ROUND(IF(D2="——",C52/10000,C52/10000-E2),0)</f>
        <v>797</v>
      </c>
      <c r="C2" s="244" t="s">
        <v>2329</v>
      </c>
      <c r="D2" s="2554" t="s">
        <v>70</v>
      </c>
      <c r="E2" s="1444" t="e">
        <f ca="1">SUMIF(INDIRECT("'"&amp;G2&amp;"'"&amp;"!A:A"),"承租人权益价值",INDIRECT("'"&amp;G2&amp;"'"&amp;"!c:c"))</f>
        <v>#REF!</v>
      </c>
      <c r="F2" s="2555" t="s">
        <v>2329</v>
      </c>
      <c r="G2" s="2556"/>
    </row>
    <row r="3" spans="1:8" s="245" customFormat="1" ht="18" customHeight="1" thickBot="1">
      <c r="A3" s="248" t="s">
        <v>2330</v>
      </c>
      <c r="B3" s="249">
        <f ca="1">ROUND(B2*10000/(IF(B1="",'数据-汇总表'!E3,INDIRECT("'数据-取费表'!k"&amp;$G$1))),0)</f>
        <v>4081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0</v>
      </c>
      <c r="D5" s="256" t="s">
        <v>2335</v>
      </c>
      <c r="E5" s="257" t="s">
        <v>2336</v>
      </c>
      <c r="F5" s="257" t="s">
        <v>2337</v>
      </c>
      <c r="G5" s="258"/>
    </row>
    <row r="6" spans="1:8" s="259" customFormat="1" ht="13.5" customHeight="1">
      <c r="A6" s="953" t="s">
        <v>2338</v>
      </c>
      <c r="B6" s="260" t="s">
        <v>2339</v>
      </c>
      <c r="C6" s="261"/>
      <c r="D6" s="262"/>
      <c r="E6" s="263"/>
      <c r="F6" s="263"/>
      <c r="G6" s="264"/>
    </row>
    <row r="7" spans="1:8" s="259" customFormat="1" ht="13.5" customHeight="1">
      <c r="A7" s="953" t="s">
        <v>2340</v>
      </c>
      <c r="B7" s="260" t="s">
        <v>2341</v>
      </c>
      <c r="C7" s="265">
        <f>ROUND(C6*F7,0)</f>
        <v>0</v>
      </c>
      <c r="D7" s="265"/>
      <c r="E7" s="263"/>
      <c r="F7" s="266">
        <f>'数据-取费表'!B48+'数据-取费表'!B49</f>
        <v>3.0499999999999999E-2</v>
      </c>
      <c r="G7" s="264"/>
    </row>
    <row r="8" spans="1:8" s="268" customFormat="1">
      <c r="A8" s="953" t="s">
        <v>2342</v>
      </c>
      <c r="B8" s="260" t="s">
        <v>2343</v>
      </c>
      <c r="C8" s="265">
        <f ca="1">IF(G8="已包含在土地购买价格中",0,C9+C10)</f>
        <v>0</v>
      </c>
      <c r="D8" s="267"/>
      <c r="E8" s="265"/>
      <c r="F8" s="266"/>
      <c r="G8" s="2557"/>
    </row>
    <row r="9" spans="1:8" s="259" customFormat="1" ht="13.5" customHeight="1">
      <c r="A9" s="954" t="s">
        <v>800</v>
      </c>
      <c r="B9" s="269" t="s">
        <v>2344</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2346</v>
      </c>
      <c r="C10" s="270">
        <f ca="1">ROUND(D10*E10,0)</f>
        <v>0</v>
      </c>
      <c r="D10" s="1036">
        <f ca="1">IF(B1="",'数据-汇总表'!E6,IF(INDIRECT("'数据-取费表'!c"&amp;$G$1)="住宅",INDIRECT("'数据-取费表'!s"&amp;$G$1),INDIRECT("'数据-取费表'!k"&amp;$G$1)+INDIRECT("'数据-取费表'!s"&amp;$G$1)))</f>
        <v>1952.76</v>
      </c>
      <c r="E10" s="270">
        <f>'数据-取费表'!B28</f>
        <v>0</v>
      </c>
      <c r="F10" s="266"/>
      <c r="G10" s="271"/>
    </row>
    <row r="11" spans="1:8" s="259" customFormat="1" ht="13.5" hidden="1" customHeight="1">
      <c r="A11" s="272" t="s">
        <v>7</v>
      </c>
      <c r="B11" s="260" t="s">
        <v>2347</v>
      </c>
      <c r="C11" s="256"/>
      <c r="D11" s="1038"/>
      <c r="E11" s="263"/>
      <c r="F11" s="263"/>
      <c r="G11" s="264"/>
    </row>
    <row r="12" spans="1:8" s="259" customFormat="1" ht="13.5" hidden="1" customHeight="1">
      <c r="A12" s="272" t="s">
        <v>8</v>
      </c>
      <c r="B12" s="260" t="s">
        <v>2430</v>
      </c>
      <c r="C12" s="256">
        <v>0</v>
      </c>
      <c r="D12" s="1038"/>
      <c r="E12" s="273"/>
      <c r="F12" s="266">
        <v>3.0499999999999999E-2</v>
      </c>
      <c r="G12" s="264"/>
    </row>
    <row r="13" spans="1:8" s="259" customFormat="1" ht="13.5" hidden="1" customHeight="1">
      <c r="A13" s="272" t="s">
        <v>9</v>
      </c>
      <c r="B13" s="260" t="s">
        <v>2431</v>
      </c>
      <c r="C13" s="256"/>
      <c r="D13" s="1038"/>
      <c r="E13" s="263"/>
      <c r="F13" s="263"/>
      <c r="G13" s="264"/>
    </row>
    <row r="14" spans="1:8" s="259" customFormat="1" ht="13.5" hidden="1" customHeight="1">
      <c r="A14" s="272" t="s">
        <v>10</v>
      </c>
      <c r="B14" s="260" t="s">
        <v>2343</v>
      </c>
      <c r="C14" s="256"/>
      <c r="D14" s="1038"/>
      <c r="E14" s="263"/>
      <c r="F14" s="263"/>
      <c r="G14" s="264" t="s">
        <v>2432</v>
      </c>
    </row>
    <row r="15" spans="1:8" s="259" customFormat="1" ht="13.5" hidden="1" customHeight="1">
      <c r="A15" s="272" t="s">
        <v>11</v>
      </c>
      <c r="B15" s="260" t="s">
        <v>2433</v>
      </c>
      <c r="C15" s="265"/>
      <c r="D15" s="1038"/>
      <c r="E15" s="263"/>
      <c r="F15" s="263"/>
      <c r="G15" s="264" t="s">
        <v>2434</v>
      </c>
    </row>
    <row r="16" spans="1:8" s="259" customFormat="1" ht="13.5" hidden="1" customHeight="1">
      <c r="A16" s="272" t="s">
        <v>12</v>
      </c>
      <c r="B16" s="260" t="s">
        <v>2343</v>
      </c>
      <c r="C16" s="265"/>
      <c r="D16" s="1038"/>
      <c r="E16" s="263"/>
      <c r="F16" s="263"/>
      <c r="G16" s="264"/>
    </row>
    <row r="17" spans="1:7" s="259" customFormat="1" ht="13.5" hidden="1" customHeight="1">
      <c r="A17" s="272" t="s">
        <v>13</v>
      </c>
      <c r="B17" s="260" t="s">
        <v>2435</v>
      </c>
      <c r="C17" s="274"/>
      <c r="D17" s="1039"/>
      <c r="E17" s="274"/>
      <c r="F17" s="274"/>
      <c r="G17" s="264" t="s">
        <v>2434</v>
      </c>
    </row>
    <row r="18" spans="1:7" s="259" customFormat="1" ht="13.5" hidden="1" customHeight="1">
      <c r="A18" s="272" t="s">
        <v>14</v>
      </c>
      <c r="B18" s="260" t="s">
        <v>2436</v>
      </c>
      <c r="C18" s="265">
        <v>0</v>
      </c>
      <c r="D18" s="1038"/>
      <c r="E18" s="263"/>
      <c r="F18" s="266">
        <v>3.0499999999999999E-2</v>
      </c>
      <c r="G18" s="264" t="s">
        <v>2437</v>
      </c>
    </row>
    <row r="19" spans="1:7" s="268" customFormat="1" ht="13.5" customHeight="1">
      <c r="A19" s="300" t="s">
        <v>2438</v>
      </c>
      <c r="B19" s="255" t="s">
        <v>2439</v>
      </c>
      <c r="C19" s="256">
        <f ca="1">IF(G19="已包含在土地取得成本中","0",ROUND(D19*E19,0))</f>
        <v>390552</v>
      </c>
      <c r="D19" s="1040">
        <f ca="1">D9+D10</f>
        <v>1952.76</v>
      </c>
      <c r="E19" s="256">
        <f>'数据-取费表'!B31</f>
        <v>200</v>
      </c>
      <c r="F19" s="276"/>
      <c r="G19" s="2557"/>
    </row>
    <row r="20" spans="1:7" s="259" customFormat="1" ht="13.5" customHeight="1">
      <c r="A20" s="300" t="s">
        <v>2440</v>
      </c>
      <c r="B20" s="255" t="s">
        <v>2441</v>
      </c>
      <c r="C20" s="277">
        <f ca="1">ROUND((C5+C19)*F20,0)</f>
        <v>7811</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84">
        <f ca="1">ROUND(SUM(C23:C25),0)</f>
        <v>38355</v>
      </c>
      <c r="D22" s="280">
        <f ca="1">C26</f>
        <v>1E-3</v>
      </c>
      <c r="E22" s="281" t="s">
        <v>2445</v>
      </c>
      <c r="F22" s="282">
        <f ca="1">'数据-取费表'!B40</f>
        <v>4.7500000000000001E-2</v>
      </c>
      <c r="G22" s="279" t="str">
        <f>IF('数据-取费表'!B22&lt;=1,"单利计息","复利计息")</f>
        <v>复利计息</v>
      </c>
    </row>
    <row r="23" spans="1:7" s="259" customFormat="1" ht="13.5" customHeight="1">
      <c r="A23" s="955" t="s">
        <v>2338</v>
      </c>
      <c r="B23" s="260" t="s">
        <v>2449</v>
      </c>
      <c r="C23" s="1385">
        <f ca="1">ROUND(IF('数据-取费表'!B22&lt;=1,C5*F22*'数据-取费表'!B22,C5*(POWER((1+F22),'数据-取费表'!B22)-1)),0)</f>
        <v>0</v>
      </c>
      <c r="D23" s="283"/>
      <c r="E23" s="283"/>
      <c r="F23" s="284"/>
      <c r="G23" s="285" t="s">
        <v>2450</v>
      </c>
    </row>
    <row r="24" spans="1:7" s="259" customFormat="1" ht="13.5" customHeight="1">
      <c r="A24" s="955" t="s">
        <v>2340</v>
      </c>
      <c r="B24" s="260" t="s">
        <v>2451</v>
      </c>
      <c r="C24" s="1385">
        <f ca="1">ROUND(IF('数据-取费表'!B22&lt;=1,C19*F22*('数据-取费表'!B19/2+'数据-取费表'!B20),C19*(POWER((1+F22),('数据-取费表'!B19/2+'数据-取费表'!B20))-1)),0)</f>
        <v>37984</v>
      </c>
      <c r="D24" s="283"/>
      <c r="E24" s="283"/>
      <c r="F24" s="284"/>
      <c r="G24" s="285" t="s">
        <v>2452</v>
      </c>
    </row>
    <row r="25" spans="1:7" s="259" customFormat="1" ht="24">
      <c r="A25" s="955" t="s">
        <v>2342</v>
      </c>
      <c r="B25" s="260" t="s">
        <v>2453</v>
      </c>
      <c r="C25" s="1385">
        <f ca="1">ROUND(IF('数据-取费表'!B22&lt;=1,C20*F22*'数据-取费表'!B22/2,C20*(POWER((1+F22),'数据-取费表'!B22/2)-1)),0)</f>
        <v>371</v>
      </c>
      <c r="D25" s="283"/>
      <c r="E25" s="286"/>
      <c r="F25" s="284"/>
      <c r="G25" s="287" t="s">
        <v>2454</v>
      </c>
    </row>
    <row r="26" spans="1:7" s="259" customFormat="1">
      <c r="A26" s="955" t="s">
        <v>795</v>
      </c>
      <c r="B26" s="260" t="s">
        <v>2377</v>
      </c>
      <c r="C26" s="283">
        <f ca="1">ROUND(IF('数据-取费表'!B22&lt;=1,F21*F22*'数据-取费表'!B22/2,F21*(POWER((1+F22),'数据-取费表'!B22/2)-1)),4)</f>
        <v>1E-3</v>
      </c>
      <c r="D26" s="283"/>
      <c r="E26" s="286"/>
      <c r="F26" s="284"/>
      <c r="G26" s="288"/>
    </row>
    <row r="27" spans="1:7" s="259" customFormat="1" ht="24.75">
      <c r="A27" s="300" t="s">
        <v>2378</v>
      </c>
      <c r="B27" s="289" t="s">
        <v>2379</v>
      </c>
      <c r="C27" s="290">
        <f ca="1">C28</f>
        <v>79673</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ROUND((C5+C19+C20)*F27,0)</f>
        <v>79673</v>
      </c>
      <c r="D28" s="280"/>
      <c r="E28" s="281"/>
      <c r="F28" s="291"/>
      <c r="G28" s="292"/>
    </row>
    <row r="29" spans="1:7" s="259" customFormat="1" ht="13.5" customHeight="1">
      <c r="A29" s="955" t="s">
        <v>792</v>
      </c>
      <c r="B29" s="293" t="s">
        <v>2383</v>
      </c>
      <c r="C29" s="283">
        <f ca="1">ROUND(C21*F27,4)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560259</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6317178</v>
      </c>
      <c r="D33" s="277"/>
      <c r="E33" s="257"/>
      <c r="F33" s="286"/>
      <c r="G33" s="279"/>
    </row>
    <row r="34" spans="1:7" s="303" customFormat="1" ht="13.5" customHeight="1">
      <c r="A34" s="955" t="s">
        <v>791</v>
      </c>
      <c r="B34" s="260" t="s">
        <v>2391</v>
      </c>
      <c r="C34" s="265">
        <f ca="1">ROUND(IF(B1="",SUMPRODUCT('数据-取费表'!K6:K14,'数据-取费表'!L6:L14),INDIRECT("'数据-取费表'!l"&amp;$G$1)*INDIRECT("'数据-取费表'!k"&amp;$G$1)+'数据-取费表'!L14*INDIRECT("'数据-取费表'!S"&amp;$G$1)),0)</f>
        <v>5858280</v>
      </c>
      <c r="D34" s="262"/>
      <c r="E34" s="265"/>
      <c r="F34" s="302"/>
      <c r="G34" s="264"/>
    </row>
    <row r="35" spans="1:7" ht="13.5" customHeight="1">
      <c r="A35" s="955" t="s">
        <v>796</v>
      </c>
      <c r="B35" s="260" t="s">
        <v>2393</v>
      </c>
      <c r="C35" s="265">
        <f ca="1">ROUND(C34*F35,0)</f>
        <v>175748</v>
      </c>
      <c r="D35" s="265"/>
      <c r="E35" s="265"/>
      <c r="F35" s="304">
        <f>'数据-取费表'!B33</f>
        <v>0.03</v>
      </c>
      <c r="G35" s="264" t="s">
        <v>2394</v>
      </c>
    </row>
    <row r="36" spans="1:7" ht="24">
      <c r="A36" s="955" t="s">
        <v>797</v>
      </c>
      <c r="B36" s="260" t="s">
        <v>2395</v>
      </c>
      <c r="C36" s="265">
        <f ca="1">ROUND(IF(B1="",SUM('数据-取费表'!AP6:AP13)*F36,IF(INDIRECT("'数据-取费表'!c"&amp;$G$1)="住宅",INDIRECT("'数据-取费表'!k"&amp;$G$1)*INDIRECT("'数据-取费表'!l"&amp;$G$1)*F36,0)),0)</f>
        <v>0</v>
      </c>
      <c r="D36" s="265"/>
      <c r="E36" s="265"/>
      <c r="F36" s="304">
        <f>'数据-取费表'!B34</f>
        <v>0.03</v>
      </c>
      <c r="G36" s="305" t="s">
        <v>2396</v>
      </c>
    </row>
    <row r="37" spans="1:7" s="303" customFormat="1" ht="13.5" customHeight="1">
      <c r="A37" s="955" t="s">
        <v>798</v>
      </c>
      <c r="B37" s="260" t="s">
        <v>2397</v>
      </c>
      <c r="C37" s="294">
        <f ca="1">ROUND(E37*D37,0)</f>
        <v>195276</v>
      </c>
      <c r="D37" s="262">
        <f ca="1">D19</f>
        <v>1952.76</v>
      </c>
      <c r="E37" s="294">
        <f>'数据-取费表'!B35</f>
        <v>100</v>
      </c>
      <c r="F37" s="304"/>
      <c r="G37" s="306"/>
    </row>
    <row r="38" spans="1:7" ht="13.5" customHeight="1">
      <c r="A38" s="955" t="s">
        <v>799</v>
      </c>
      <c r="B38" s="260" t="s">
        <v>2399</v>
      </c>
      <c r="C38" s="265">
        <f ca="1">ROUND(C34*F38,0)</f>
        <v>87874</v>
      </c>
      <c r="D38" s="265"/>
      <c r="E38" s="265"/>
      <c r="F38" s="304">
        <f>'数据-取费表'!B36</f>
        <v>1.4999999999999999E-2</v>
      </c>
      <c r="G38" s="264" t="s">
        <v>2394</v>
      </c>
    </row>
    <row r="39" spans="1:7" s="259" customFormat="1" ht="13.5" customHeight="1">
      <c r="A39" s="300" t="s">
        <v>2400</v>
      </c>
      <c r="B39" s="255" t="s">
        <v>2401</v>
      </c>
      <c r="C39" s="277">
        <f ca="1">ROUND(C33*F20,0)</f>
        <v>126344</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306067</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ROUND(IF('数据-取费表'!B22&lt;=1,C33*F22*'数据-取费表'!B20/2,C33*(POWER((1+F22),'数据-取费表'!B20/2)-1)),0)</f>
        <v>300066</v>
      </c>
      <c r="D42" s="283"/>
      <c r="E42" s="283"/>
      <c r="F42" s="284"/>
      <c r="G42" s="3212" t="s">
        <v>2457</v>
      </c>
    </row>
    <row r="43" spans="1:7" ht="13.5" customHeight="1">
      <c r="A43" s="955" t="s">
        <v>792</v>
      </c>
      <c r="B43" s="260" t="s">
        <v>2411</v>
      </c>
      <c r="C43" s="283">
        <f ca="1">ROUND(IF('数据-取费表'!B22&lt;=1,C39*F22*'数据-取费表'!B20/2,C39*(POWER((1+F22),'数据-取费表'!B20/2)-1)),0)</f>
        <v>6001</v>
      </c>
      <c r="D43" s="283"/>
      <c r="E43" s="283"/>
      <c r="F43" s="284"/>
      <c r="G43" s="3213"/>
    </row>
    <row r="44" spans="1:7" ht="13.5" customHeight="1">
      <c r="A44" s="955" t="s">
        <v>793</v>
      </c>
      <c r="B44" s="260" t="s">
        <v>2412</v>
      </c>
      <c r="C44" s="283">
        <f ca="1">ROUND(IF('数据-取费表'!B22&lt;=1,C40*F22*'数据-取费表'!B20/2,C40*(POWER((1+F22),'数据-取费表'!B20/2)-1)),4)</f>
        <v>1E-3</v>
      </c>
      <c r="D44" s="283"/>
      <c r="E44" s="283"/>
      <c r="F44" s="284"/>
      <c r="G44" s="3214"/>
    </row>
    <row r="45" spans="1:7" s="259" customFormat="1" ht="13.5" customHeight="1">
      <c r="A45" s="300" t="s">
        <v>2413</v>
      </c>
      <c r="B45" s="289" t="s">
        <v>2379</v>
      </c>
      <c r="C45" s="290">
        <f ca="1">C46</f>
        <v>1288704</v>
      </c>
      <c r="D45" s="280">
        <f ca="1">C47</f>
        <v>4.0000000000000001E-3</v>
      </c>
      <c r="E45" s="281" t="s">
        <v>2405</v>
      </c>
      <c r="F45" s="291"/>
      <c r="G45" s="292" t="s">
        <v>2414</v>
      </c>
    </row>
    <row r="46" spans="1:7" s="259" customFormat="1" ht="13.5" customHeight="1">
      <c r="A46" s="955" t="s">
        <v>791</v>
      </c>
      <c r="B46" s="293" t="s">
        <v>2415</v>
      </c>
      <c r="C46" s="294">
        <f ca="1">ROUND((C33+C39)*F27,0)</f>
        <v>1288704</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307">
        <f>ROUND(F30/(1+'数据-取费表'!C42),4)</f>
        <v>5.33E-2</v>
      </c>
      <c r="D48" s="281" t="s">
        <v>2405</v>
      </c>
      <c r="E48" s="277"/>
      <c r="F48" s="282"/>
      <c r="G48" s="279" t="s">
        <v>2418</v>
      </c>
    </row>
    <row r="49" spans="1:7" ht="16.5" customHeight="1">
      <c r="A49" s="300" t="s">
        <v>2384</v>
      </c>
      <c r="B49" s="255" t="s">
        <v>2458</v>
      </c>
      <c r="C49" s="277">
        <f ca="1">ROUND((C33+C39+C41+C45)/(1-C40-D41-D45-C48),0)</f>
        <v>8721160</v>
      </c>
      <c r="D49" s="277"/>
      <c r="E49" s="277"/>
      <c r="F49" s="309"/>
      <c r="G49" s="279" t="s">
        <v>2420</v>
      </c>
    </row>
    <row r="50" spans="1:7" s="303" customFormat="1">
      <c r="A50" s="300" t="s">
        <v>2421</v>
      </c>
      <c r="B50" s="255" t="s">
        <v>2422</v>
      </c>
      <c r="C50" s="277"/>
      <c r="D50" s="277"/>
      <c r="E50" s="277"/>
      <c r="F50" s="309">
        <f>IF('数据-取费表'!B24=0,'数据-取费表'!N16,1)</f>
        <v>0.85</v>
      </c>
      <c r="G50" s="292"/>
    </row>
    <row r="51" spans="1:7" ht="16.5" customHeight="1">
      <c r="A51" s="300" t="s">
        <v>2424</v>
      </c>
      <c r="B51" s="255" t="s">
        <v>2459</v>
      </c>
      <c r="C51" s="277">
        <f ca="1">ROUND(C49*F50,0)</f>
        <v>7412986</v>
      </c>
      <c r="D51" s="277"/>
      <c r="E51" s="277"/>
      <c r="F51" s="309"/>
      <c r="G51" s="279" t="s">
        <v>2426</v>
      </c>
    </row>
    <row r="52" spans="1:7" s="253" customFormat="1" ht="16.5" thickBot="1">
      <c r="A52" s="310" t="s">
        <v>2427</v>
      </c>
      <c r="B52" s="311"/>
      <c r="C52" s="312">
        <f ca="1">C31+C51</f>
        <v>7973245</v>
      </c>
      <c r="D52" s="311"/>
      <c r="E52" s="311"/>
      <c r="F52" s="311"/>
      <c r="G52" s="313"/>
    </row>
    <row r="55" spans="1:7" ht="15">
      <c r="B55" s="315" t="s">
        <v>2428</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2460</v>
      </c>
      <c r="B1" s="1586"/>
      <c r="C1" s="1587"/>
      <c r="D1" s="1585"/>
      <c r="E1" s="321"/>
      <c r="F1" s="321"/>
      <c r="G1" s="1586"/>
      <c r="H1" s="321"/>
      <c r="I1" s="321"/>
      <c r="J1" s="321"/>
      <c r="K1" s="321">
        <f>MATCH(C1,'数据-取费表'!A6:A16,0)+5</f>
        <v>7</v>
      </c>
    </row>
    <row r="2" spans="1:33" ht="18" customHeight="1">
      <c r="A2" s="246" t="s">
        <v>2328</v>
      </c>
      <c r="B2" s="249">
        <f ca="1">C32</f>
        <v>238</v>
      </c>
      <c r="C2" s="321" t="s">
        <v>2461</v>
      </c>
      <c r="D2" s="321"/>
      <c r="E2" s="321"/>
      <c r="F2" s="321"/>
      <c r="G2" s="321"/>
      <c r="H2" s="321"/>
      <c r="I2" s="321"/>
      <c r="J2" s="321"/>
      <c r="K2" s="321"/>
    </row>
    <row r="3" spans="1:33" ht="18" customHeight="1" thickBot="1">
      <c r="A3" s="248" t="s">
        <v>2330</v>
      </c>
      <c r="B3" s="249">
        <f ca="1">ROUND(B2*10000/IF(C1="",'数据-汇总表'!E3,INDIRECT("'数据-取费表'!K"&amp;$K$1)),0)</f>
        <v>1219</v>
      </c>
      <c r="C3" s="321" t="s">
        <v>2462</v>
      </c>
      <c r="D3" s="321"/>
      <c r="E3" s="321"/>
      <c r="F3" s="321"/>
      <c r="G3" s="321"/>
      <c r="H3" s="321"/>
      <c r="I3" s="321"/>
      <c r="J3" s="321"/>
      <c r="K3" s="321"/>
    </row>
    <row r="4" spans="1:33" s="960" customFormat="1" ht="16.5" customHeight="1">
      <c r="A4" s="957" t="s">
        <v>2463</v>
      </c>
      <c r="B4" s="958"/>
      <c r="C4" s="1000">
        <f>SUM(C8:K8)</f>
        <v>0</v>
      </c>
      <c r="D4" s="958"/>
      <c r="E4" s="958"/>
      <c r="F4" s="958"/>
      <c r="G4" s="958"/>
      <c r="H4" s="958"/>
      <c r="I4" s="958"/>
      <c r="J4" s="958"/>
      <c r="K4" s="959"/>
    </row>
    <row r="5" spans="1:33" s="964" customFormat="1" ht="24.75">
      <c r="A5" s="961" t="s">
        <v>2464</v>
      </c>
      <c r="B5" s="962" t="s">
        <v>2465</v>
      </c>
      <c r="C5" s="2561" t="s">
        <v>2466</v>
      </c>
      <c r="D5" s="2561" t="s">
        <v>2467</v>
      </c>
      <c r="E5" s="2561" t="s">
        <v>2468</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2472</v>
      </c>
      <c r="B8" s="178" t="s">
        <v>2473</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2482</v>
      </c>
      <c r="C12" s="24">
        <f ca="1">ROUND(C11*F12,0)</f>
        <v>0</v>
      </c>
      <c r="D12" s="977"/>
      <c r="E12" s="376"/>
      <c r="F12" s="980">
        <f>'数据-取费表'!B33</f>
        <v>0.03</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0.03</v>
      </c>
      <c r="G13" s="8" t="s">
        <v>2485</v>
      </c>
      <c r="H13" s="972"/>
      <c r="I13" s="972"/>
      <c r="J13" s="972"/>
      <c r="K13" s="973"/>
    </row>
    <row r="14" spans="1:33" s="981" customFormat="1" ht="13.5" customHeight="1">
      <c r="A14" s="975" t="s">
        <v>1338</v>
      </c>
      <c r="B14" s="976" t="s">
        <v>2486</v>
      </c>
      <c r="C14" s="24">
        <f ca="1">ROUND(D14*E14*F11/10000,0)</f>
        <v>0</v>
      </c>
      <c r="D14" s="1037">
        <f ca="1">IF(C1="",'数据-汇总表'!E3,INDIRECT("'数据-取费表'!K"&amp;$K$1)+INDIRECT("'数据-取费表'!S"&amp;$K$1))</f>
        <v>1952.76</v>
      </c>
      <c r="E14" s="24">
        <f>'数据-取费表'!B35</f>
        <v>100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0</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1952.76</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-200</v>
      </c>
      <c r="D18" s="1037"/>
      <c r="E18" s="24"/>
      <c r="F18" s="980"/>
      <c r="G18" s="2563"/>
      <c r="H18" s="1582"/>
      <c r="I18" s="2564"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0</v>
      </c>
      <c r="D20" s="1037">
        <f ca="1">IF(C1="",'数据-汇总表'!E6,IF(INDIRECT("'数据-取费表'!c"&amp;$K$1)="住宅",INDIRECT("'数据-取费表'!s"&amp;$K$1),INDIRECT("'数据-取费表'!k"&amp;$K$1)+INDIRECT("'数据-取费表'!s"&amp;$K$1)))</f>
        <v>1952.76</v>
      </c>
      <c r="E20" s="24">
        <f>'数据-取费表'!B28</f>
        <v>0</v>
      </c>
      <c r="F20" s="980"/>
      <c r="G20" s="15"/>
      <c r="H20" s="985"/>
      <c r="I20" s="985"/>
      <c r="J20" s="985"/>
      <c r="K20" s="986"/>
    </row>
    <row r="21" spans="1:33" s="979" customFormat="1" ht="13.5" customHeight="1">
      <c r="A21" s="965" t="s">
        <v>802</v>
      </c>
      <c r="B21" s="989" t="s">
        <v>2497</v>
      </c>
      <c r="C21" s="990">
        <f ca="1">C16+C17+C18</f>
        <v>-200</v>
      </c>
      <c r="D21" s="991"/>
      <c r="E21" s="326"/>
      <c r="F21" s="326"/>
      <c r="G21" s="140" t="s">
        <v>2498</v>
      </c>
      <c r="H21" s="983"/>
      <c r="I21" s="983"/>
      <c r="J21" s="983"/>
      <c r="K21" s="984"/>
    </row>
    <row r="22" spans="1:33" s="979" customFormat="1" ht="13.5" customHeight="1">
      <c r="A22" s="965" t="s">
        <v>2470</v>
      </c>
      <c r="B22" s="989" t="s">
        <v>2499</v>
      </c>
      <c r="C22" s="990">
        <f ca="1">ROUND(C21*F22,0)</f>
        <v>-4</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0</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2509</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2510</v>
      </c>
      <c r="B28" s="2566" t="s">
        <v>2511</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2512</v>
      </c>
      <c r="C29" s="329">
        <f ca="1">ROUND((1+C24)*F28*'数据-取费表'!B24/'数据-取费表'!B20,4)</f>
        <v>0</v>
      </c>
      <c r="D29" s="329"/>
      <c r="E29" s="330"/>
      <c r="F29" s="335"/>
      <c r="G29" s="140" t="s">
        <v>2513</v>
      </c>
      <c r="H29" s="983"/>
      <c r="I29" s="983"/>
      <c r="J29" s="983"/>
      <c r="K29" s="984"/>
    </row>
    <row r="30" spans="1:33" s="336" customFormat="1" ht="13.5" customHeight="1">
      <c r="A30" s="975" t="s">
        <v>804</v>
      </c>
      <c r="B30" s="998" t="s">
        <v>2514</v>
      </c>
      <c r="C30" s="337">
        <f ca="1">ROUND((C21+C22+C23)*F28,0)</f>
        <v>-41</v>
      </c>
      <c r="D30" s="329"/>
      <c r="E30" s="330"/>
      <c r="F30" s="335"/>
      <c r="G30" s="140"/>
      <c r="H30" s="983"/>
      <c r="I30" s="983"/>
      <c r="J30" s="983"/>
      <c r="K30" s="984"/>
    </row>
    <row r="31" spans="1:33" s="979" customFormat="1" ht="13.5" customHeight="1" thickBot="1">
      <c r="A31" s="2567" t="s">
        <v>2515</v>
      </c>
      <c r="B31" s="1009" t="s">
        <v>2516</v>
      </c>
      <c r="C31" s="1010">
        <f>ROUND(C4*F31/(1+'数据-取费表'!C42),0)</f>
        <v>0</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238</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K105" sqref="K10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3206</v>
      </c>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f>IF(C2="——",ROUND(C50*D3/10000,0),ROUND(C50*D3/10000,0)-D2)</f>
        <v>7483</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f>IF(C2="——",C50,ROUND(B2*10000/D3,0))</f>
        <v>38319</v>
      </c>
      <c r="C3" s="401" t="s">
        <v>2645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37" t="s">
        <v>2652</v>
      </c>
      <c r="Q4" s="3238"/>
      <c r="R4" s="3243" t="s">
        <v>2648</v>
      </c>
      <c r="S4" s="3244"/>
      <c r="T4" s="3243" t="s">
        <v>2649</v>
      </c>
      <c r="U4" s="3244"/>
      <c r="V4" s="3249" t="s">
        <v>2650</v>
      </c>
      <c r="W4" s="3249"/>
      <c r="X4" s="2677"/>
      <c r="Y4" s="3243" t="s">
        <v>2652</v>
      </c>
      <c r="Z4" s="3244"/>
      <c r="AA4" s="3262" t="s">
        <v>2648</v>
      </c>
      <c r="AB4" s="3262" t="s">
        <v>2649</v>
      </c>
      <c r="AC4" s="3230" t="s">
        <v>2650</v>
      </c>
    </row>
    <row r="5" spans="1:29" ht="15">
      <c r="A5" s="405"/>
      <c r="B5" s="406"/>
      <c r="C5" s="3259" t="s">
        <v>2543</v>
      </c>
      <c r="D5" s="3254"/>
      <c r="E5" s="3265" t="s">
        <v>3122</v>
      </c>
      <c r="F5" s="3266"/>
      <c r="G5" s="3253" t="s">
        <v>3123</v>
      </c>
      <c r="H5" s="3254"/>
      <c r="I5" s="3253" t="s">
        <v>3124</v>
      </c>
      <c r="J5" s="3254"/>
      <c r="K5" s="611"/>
      <c r="L5" s="1134"/>
      <c r="M5" s="1135"/>
      <c r="N5" s="1135"/>
      <c r="O5" s="1135"/>
      <c r="P5" s="3239"/>
      <c r="Q5" s="3240"/>
      <c r="R5" s="3245"/>
      <c r="S5" s="3246"/>
      <c r="T5" s="3245"/>
      <c r="U5" s="3246"/>
      <c r="V5" s="3250"/>
      <c r="W5" s="3250"/>
      <c r="X5" s="1818"/>
      <c r="Y5" s="3245"/>
      <c r="Z5" s="3246"/>
      <c r="AA5" s="3263"/>
      <c r="AB5" s="3263"/>
      <c r="AC5" s="3231"/>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241"/>
      <c r="Q6" s="3242"/>
      <c r="R6" s="3245"/>
      <c r="S6" s="3246"/>
      <c r="T6" s="3247"/>
      <c r="U6" s="3248"/>
      <c r="V6" s="3250"/>
      <c r="W6" s="3250"/>
      <c r="X6" s="1818"/>
      <c r="Y6" s="3247"/>
      <c r="Z6" s="3248"/>
      <c r="AA6" s="3264"/>
      <c r="AB6" s="3264"/>
      <c r="AC6" s="3232"/>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5" t="s">
        <v>2550</v>
      </c>
      <c r="Q7" s="3258"/>
      <c r="R7" s="771" t="s">
        <v>17</v>
      </c>
      <c r="S7" s="772">
        <f t="shared" ref="S7:S15" si="0">F7</f>
        <v>100</v>
      </c>
      <c r="T7" s="771" t="s">
        <v>17</v>
      </c>
      <c r="U7" s="772">
        <f t="shared" ref="U7:U15" si="1">H7</f>
        <v>100</v>
      </c>
      <c r="V7" s="771" t="s">
        <v>17</v>
      </c>
      <c r="W7" s="772">
        <f t="shared" ref="W7:W15" si="2">J7</f>
        <v>100</v>
      </c>
      <c r="X7" s="773"/>
      <c r="Y7" s="3257" t="s">
        <v>2550</v>
      </c>
      <c r="Z7" s="3256"/>
      <c r="AA7" s="774">
        <f>D7/F7</f>
        <v>1</v>
      </c>
      <c r="AB7" s="774">
        <f>D7/H7</f>
        <v>1</v>
      </c>
      <c r="AC7" s="2678">
        <f>D7/J7</f>
        <v>1</v>
      </c>
    </row>
    <row r="8" spans="1:29" s="117" customFormat="1" ht="15.75" thickBot="1">
      <c r="A8" s="409" t="s">
        <v>2551</v>
      </c>
      <c r="B8" s="410"/>
      <c r="C8" s="415" t="s">
        <v>2653</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5" t="s">
        <v>2553</v>
      </c>
      <c r="Q8" s="3256"/>
      <c r="R8" s="771" t="s">
        <v>17</v>
      </c>
      <c r="S8" s="772">
        <f t="shared" si="0"/>
        <v>100</v>
      </c>
      <c r="T8" s="771" t="s">
        <v>17</v>
      </c>
      <c r="U8" s="772">
        <f t="shared" si="1"/>
        <v>100</v>
      </c>
      <c r="V8" s="771" t="s">
        <v>17</v>
      </c>
      <c r="W8" s="772">
        <f t="shared" si="2"/>
        <v>100</v>
      </c>
      <c r="X8" s="773"/>
      <c r="Y8" s="3257" t="s">
        <v>2553</v>
      </c>
      <c r="Z8" s="3256"/>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5"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2678">
        <f t="shared" si="5"/>
        <v>1</v>
      </c>
    </row>
    <row r="10" spans="1:29" s="428" customFormat="1" ht="27">
      <c r="A10" s="422"/>
      <c r="B10" s="423"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15"/>
      <c r="Q10" s="1800" t="str">
        <f t="shared" si="6"/>
        <v>土地使用年限（年）</v>
      </c>
      <c r="R10" s="771" t="s">
        <v>17</v>
      </c>
      <c r="S10" s="772">
        <f t="shared" si="0"/>
        <v>100</v>
      </c>
      <c r="T10" s="771" t="s">
        <v>17</v>
      </c>
      <c r="U10" s="772">
        <f t="shared" si="1"/>
        <v>100</v>
      </c>
      <c r="V10" s="771" t="s">
        <v>17</v>
      </c>
      <c r="W10" s="772">
        <f t="shared" si="2"/>
        <v>101</v>
      </c>
      <c r="X10" s="773"/>
      <c r="Y10" s="3070"/>
      <c r="Z10" s="55" t="str">
        <f t="shared" si="7"/>
        <v>土地使用年限（年）</v>
      </c>
      <c r="AA10" s="774">
        <f t="shared" si="3"/>
        <v>1</v>
      </c>
      <c r="AB10" s="774">
        <f t="shared" si="4"/>
        <v>1</v>
      </c>
      <c r="AC10" s="2678">
        <f t="shared" si="5"/>
        <v>0.99009900990099009</v>
      </c>
    </row>
    <row r="11" spans="1:29" ht="15">
      <c r="A11" s="429"/>
      <c r="B11" s="423"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5"/>
      <c r="Q11" s="1800" t="str">
        <f t="shared" si="6"/>
        <v>容积率</v>
      </c>
      <c r="R11" s="771" t="s">
        <v>17</v>
      </c>
      <c r="S11" s="772">
        <f t="shared" si="0"/>
        <v>100</v>
      </c>
      <c r="T11" s="771" t="s">
        <v>17</v>
      </c>
      <c r="U11" s="772">
        <f t="shared" si="1"/>
        <v>100</v>
      </c>
      <c r="V11" s="771" t="s">
        <v>17</v>
      </c>
      <c r="W11" s="772">
        <f t="shared" si="2"/>
        <v>100</v>
      </c>
      <c r="X11" s="773"/>
      <c r="Y11" s="3070"/>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5"/>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5"/>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5"/>
      <c r="Q14" s="1800">
        <f t="shared" si="6"/>
        <v>111</v>
      </c>
      <c r="R14" s="771" t="s">
        <v>17</v>
      </c>
      <c r="S14" s="772">
        <f t="shared" si="0"/>
        <v>100</v>
      </c>
      <c r="T14" s="771" t="s">
        <v>17</v>
      </c>
      <c r="U14" s="772">
        <f t="shared" si="1"/>
        <v>100</v>
      </c>
      <c r="V14" s="771" t="s">
        <v>17</v>
      </c>
      <c r="W14" s="772">
        <f t="shared" si="2"/>
        <v>100</v>
      </c>
      <c r="X14" s="773"/>
      <c r="Y14" s="3070"/>
      <c r="Z14" s="55">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21" t="s">
        <v>2561</v>
      </c>
      <c r="Q15" s="1815" t="str">
        <f t="shared" si="6"/>
        <v>办公集聚程度</v>
      </c>
      <c r="R15" s="775" t="s">
        <v>17</v>
      </c>
      <c r="S15" s="776">
        <f t="shared" si="0"/>
        <v>100</v>
      </c>
      <c r="T15" s="775" t="s">
        <v>17</v>
      </c>
      <c r="U15" s="776">
        <f t="shared" si="1"/>
        <v>100</v>
      </c>
      <c r="V15" s="775" t="s">
        <v>17</v>
      </c>
      <c r="W15" s="776">
        <f t="shared" si="2"/>
        <v>100</v>
      </c>
      <c r="X15" s="1818"/>
      <c r="Y15" s="3223" t="s">
        <v>2561</v>
      </c>
      <c r="Z15" s="1819" t="str">
        <f t="shared" si="7"/>
        <v>办公集聚程度</v>
      </c>
      <c r="AA15" s="1816">
        <f t="shared" si="3"/>
        <v>1</v>
      </c>
      <c r="AB15" s="1816">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22"/>
      <c r="Q16" s="1815"/>
      <c r="R16" s="775"/>
      <c r="S16" s="776"/>
      <c r="T16" s="775"/>
      <c r="U16" s="776"/>
      <c r="V16" s="775"/>
      <c r="W16" s="776"/>
      <c r="X16" s="1818"/>
      <c r="Y16" s="3224"/>
      <c r="Z16" s="1819"/>
      <c r="AA16" s="1816">
        <v>1</v>
      </c>
      <c r="AB16" s="1816">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98</v>
      </c>
      <c r="G17" s="453"/>
      <c r="H17" s="456">
        <f>SUMIF(79:79,G18,80:80)-SUMIF(79:79,C18,80:80)+100</f>
        <v>100</v>
      </c>
      <c r="I17" s="453"/>
      <c r="J17" s="456">
        <f>SUMIF(79:79,I18,80:80)-SUMIF(79:79,C18,80:80)+100</f>
        <v>98</v>
      </c>
      <c r="K17" s="615">
        <v>2</v>
      </c>
      <c r="L17" s="1144"/>
      <c r="M17" s="1135"/>
      <c r="N17" s="1135"/>
      <c r="O17" s="1135"/>
      <c r="P17" s="3222"/>
      <c r="Q17" s="1815" t="str">
        <f>B17</f>
        <v>交通便捷度</v>
      </c>
      <c r="R17" s="775" t="s">
        <v>17</v>
      </c>
      <c r="S17" s="776">
        <f>F17</f>
        <v>98</v>
      </c>
      <c r="T17" s="775" t="s">
        <v>17</v>
      </c>
      <c r="U17" s="776">
        <f>H17</f>
        <v>100</v>
      </c>
      <c r="V17" s="775" t="s">
        <v>17</v>
      </c>
      <c r="W17" s="776">
        <f>J17</f>
        <v>98</v>
      </c>
      <c r="X17" s="1818"/>
      <c r="Y17" s="3224"/>
      <c r="Z17" s="1819" t="str">
        <f>Q17</f>
        <v>交通便捷度</v>
      </c>
      <c r="AA17" s="1816">
        <f t="shared" si="3"/>
        <v>1.0204081632653061</v>
      </c>
      <c r="AB17" s="1816">
        <f t="shared" si="4"/>
        <v>1</v>
      </c>
      <c r="AC17" s="2681">
        <f t="shared" si="5"/>
        <v>1.0204081632653061</v>
      </c>
    </row>
    <row r="18" spans="1:29" ht="15">
      <c r="A18" s="429"/>
      <c r="B18" s="633"/>
      <c r="C18" s="2683" t="s">
        <v>3128</v>
      </c>
      <c r="D18" s="451"/>
      <c r="E18" s="2616" t="s">
        <v>3127</v>
      </c>
      <c r="F18" s="451"/>
      <c r="G18" s="2617" t="s">
        <v>3128</v>
      </c>
      <c r="H18" s="449"/>
      <c r="I18" s="2617" t="s">
        <v>3127</v>
      </c>
      <c r="J18" s="449"/>
      <c r="K18" s="616"/>
      <c r="L18" s="1144"/>
      <c r="M18" s="1135"/>
      <c r="N18" s="1135"/>
      <c r="O18" s="1135"/>
      <c r="P18" s="3222"/>
      <c r="Q18" s="1815"/>
      <c r="R18" s="775"/>
      <c r="S18" s="776"/>
      <c r="T18" s="775"/>
      <c r="U18" s="776"/>
      <c r="V18" s="775"/>
      <c r="W18" s="776"/>
      <c r="X18" s="1818"/>
      <c r="Y18" s="3224"/>
      <c r="Z18" s="1819"/>
      <c r="AA18" s="1816">
        <v>1</v>
      </c>
      <c r="AB18" s="1816">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2"/>
      <c r="Q19" s="1815" t="str">
        <f>B19</f>
        <v>公共配套设施</v>
      </c>
      <c r="R19" s="775" t="s">
        <v>17</v>
      </c>
      <c r="S19" s="776">
        <f>F19</f>
        <v>100</v>
      </c>
      <c r="T19" s="775" t="s">
        <v>17</v>
      </c>
      <c r="U19" s="776">
        <f>H19</f>
        <v>100</v>
      </c>
      <c r="V19" s="775" t="s">
        <v>17</v>
      </c>
      <c r="W19" s="776">
        <f>J19</f>
        <v>100</v>
      </c>
      <c r="X19" s="1818"/>
      <c r="Y19" s="3224"/>
      <c r="Z19" s="1819" t="str">
        <f>Q19</f>
        <v>公共配套设施</v>
      </c>
      <c r="AA19" s="1816">
        <f t="shared" si="3"/>
        <v>1</v>
      </c>
      <c r="AB19" s="1816">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22"/>
      <c r="Q20" s="1815"/>
      <c r="R20" s="775"/>
      <c r="S20" s="776"/>
      <c r="T20" s="775"/>
      <c r="U20" s="776"/>
      <c r="V20" s="775"/>
      <c r="W20" s="776"/>
      <c r="X20" s="1818"/>
      <c r="Y20" s="3224"/>
      <c r="Z20" s="1819"/>
      <c r="AA20" s="1816">
        <v>1</v>
      </c>
      <c r="AB20" s="1816">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2"/>
      <c r="Q21" s="1815" t="str">
        <f>B21</f>
        <v>基础设施水平</v>
      </c>
      <c r="R21" s="775" t="s">
        <v>17</v>
      </c>
      <c r="S21" s="776">
        <f>F21</f>
        <v>100</v>
      </c>
      <c r="T21" s="775" t="s">
        <v>17</v>
      </c>
      <c r="U21" s="776">
        <f>H21</f>
        <v>100</v>
      </c>
      <c r="V21" s="775" t="s">
        <v>17</v>
      </c>
      <c r="W21" s="776">
        <f>J21</f>
        <v>100</v>
      </c>
      <c r="X21" s="1818"/>
      <c r="Y21" s="3224"/>
      <c r="Z21" s="1819" t="str">
        <f>Q21</f>
        <v>基础设施水平</v>
      </c>
      <c r="AA21" s="1816">
        <f t="shared" ref="AA21" si="8">D21/F21</f>
        <v>1</v>
      </c>
      <c r="AB21" s="1816">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22"/>
      <c r="Q22" s="1815"/>
      <c r="R22" s="775"/>
      <c r="S22" s="776"/>
      <c r="T22" s="775"/>
      <c r="U22" s="776"/>
      <c r="V22" s="775"/>
      <c r="W22" s="776"/>
      <c r="X22" s="1818"/>
      <c r="Y22" s="3224"/>
      <c r="Z22" s="1819"/>
      <c r="AA22" s="1816">
        <v>1</v>
      </c>
      <c r="AB22" s="1816">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2"/>
      <c r="Q23" s="1815" t="str">
        <f>B23</f>
        <v>环境质量</v>
      </c>
      <c r="R23" s="775" t="s">
        <v>17</v>
      </c>
      <c r="S23" s="776">
        <f>F23</f>
        <v>100</v>
      </c>
      <c r="T23" s="775" t="s">
        <v>17</v>
      </c>
      <c r="U23" s="776">
        <f>H23</f>
        <v>100</v>
      </c>
      <c r="V23" s="775" t="s">
        <v>17</v>
      </c>
      <c r="W23" s="776">
        <f>J23</f>
        <v>100</v>
      </c>
      <c r="X23" s="1818"/>
      <c r="Y23" s="3224"/>
      <c r="Z23" s="1819" t="str">
        <f>Q23</f>
        <v>环境质量</v>
      </c>
      <c r="AA23" s="1816">
        <f t="shared" si="3"/>
        <v>1</v>
      </c>
      <c r="AB23" s="1816">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22"/>
      <c r="Q24" s="1815"/>
      <c r="R24" s="775"/>
      <c r="S24" s="776"/>
      <c r="T24" s="775"/>
      <c r="U24" s="776"/>
      <c r="V24" s="775"/>
      <c r="W24" s="776"/>
      <c r="X24" s="1818"/>
      <c r="Y24" s="3224"/>
      <c r="Z24" s="1819"/>
      <c r="AA24" s="1816">
        <v>1</v>
      </c>
      <c r="AB24" s="1816">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3131</v>
      </c>
      <c r="J25" s="436">
        <f>SUMIF(87:87,I26,88:88)-SUMIF(87:87,C26,88:88)+100</f>
        <v>100</v>
      </c>
      <c r="K25" s="615">
        <v>2</v>
      </c>
      <c r="L25" s="1144"/>
      <c r="M25" s="1135"/>
      <c r="N25" s="1135"/>
      <c r="O25" s="1135"/>
      <c r="P25" s="3222"/>
      <c r="Q25" s="1815" t="str">
        <f>B25</f>
        <v>毗邻道路的类型与等级</v>
      </c>
      <c r="R25" s="775" t="s">
        <v>17</v>
      </c>
      <c r="S25" s="776">
        <f>F25</f>
        <v>100</v>
      </c>
      <c r="T25" s="775" t="s">
        <v>17</v>
      </c>
      <c r="U25" s="776">
        <f>H25</f>
        <v>100</v>
      </c>
      <c r="V25" s="775" t="s">
        <v>17</v>
      </c>
      <c r="W25" s="776">
        <f>J25</f>
        <v>100</v>
      </c>
      <c r="X25" s="1818"/>
      <c r="Y25" s="3224"/>
      <c r="Z25" s="1819" t="str">
        <f>Q25</f>
        <v>毗邻道路的类型与等级</v>
      </c>
      <c r="AA25" s="1816">
        <f t="shared" si="3"/>
        <v>1</v>
      </c>
      <c r="AB25" s="1816">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22"/>
      <c r="Q26" s="1815"/>
      <c r="R26" s="775"/>
      <c r="S26" s="776"/>
      <c r="T26" s="775"/>
      <c r="U26" s="776"/>
      <c r="V26" s="775"/>
      <c r="W26" s="776"/>
      <c r="X26" s="1818"/>
      <c r="Y26" s="3224"/>
      <c r="Z26" s="1819"/>
      <c r="AA26" s="1816">
        <v>1</v>
      </c>
      <c r="AB26" s="1816">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102</v>
      </c>
      <c r="I27" s="617" t="s">
        <v>3115</v>
      </c>
      <c r="J27" s="436">
        <f>SUMIF(89:89,I27,90:90)-SUMIF(89:89,C27,90:90)+100</f>
        <v>102</v>
      </c>
      <c r="K27" s="613">
        <v>2</v>
      </c>
      <c r="L27" s="1144"/>
      <c r="M27" s="1135"/>
      <c r="N27" s="1135"/>
      <c r="O27" s="1135"/>
      <c r="P27" s="3222"/>
      <c r="Q27" s="1815" t="str">
        <f t="shared" ref="Q27:Q47" si="11">B27</f>
        <v>楼层</v>
      </c>
      <c r="R27" s="775" t="s">
        <v>17</v>
      </c>
      <c r="S27" s="776">
        <f>F27</f>
        <v>100</v>
      </c>
      <c r="T27" s="775" t="s">
        <v>17</v>
      </c>
      <c r="U27" s="776">
        <f>H27</f>
        <v>102</v>
      </c>
      <c r="V27" s="775" t="s">
        <v>17</v>
      </c>
      <c r="W27" s="776">
        <f>J27</f>
        <v>102</v>
      </c>
      <c r="X27" s="1818"/>
      <c r="Y27" s="3224"/>
      <c r="Z27" s="1819" t="str">
        <f>Q27</f>
        <v>楼层</v>
      </c>
      <c r="AA27" s="1816">
        <f t="shared" si="3"/>
        <v>1</v>
      </c>
      <c r="AB27" s="1816">
        <f t="shared" si="4"/>
        <v>0.98039215686274506</v>
      </c>
      <c r="AC27" s="2681">
        <f t="shared" si="5"/>
        <v>0.98039215686274506</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2"/>
      <c r="Q28" s="1800" t="str">
        <f t="shared" si="11"/>
        <v>朝向</v>
      </c>
      <c r="R28" s="771" t="s">
        <v>17</v>
      </c>
      <c r="S28" s="772">
        <f>F28</f>
        <v>100</v>
      </c>
      <c r="T28" s="771" t="s">
        <v>17</v>
      </c>
      <c r="U28" s="772">
        <f>H28</f>
        <v>100</v>
      </c>
      <c r="V28" s="771" t="s">
        <v>17</v>
      </c>
      <c r="W28" s="772">
        <f>J28</f>
        <v>100</v>
      </c>
      <c r="X28" s="773"/>
      <c r="Y28" s="3224"/>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2"/>
      <c r="Q29" s="1815">
        <f t="shared" si="11"/>
        <v>111</v>
      </c>
      <c r="R29" s="775" t="s">
        <v>17</v>
      </c>
      <c r="S29" s="776">
        <f t="shared" ref="S29:S47" si="12">F29</f>
        <v>100</v>
      </c>
      <c r="T29" s="775" t="s">
        <v>17</v>
      </c>
      <c r="U29" s="776">
        <f t="shared" ref="U29:U47" si="13">H29</f>
        <v>100</v>
      </c>
      <c r="V29" s="775" t="s">
        <v>17</v>
      </c>
      <c r="W29" s="776">
        <f t="shared" ref="W29:W47" si="14">J29</f>
        <v>100</v>
      </c>
      <c r="X29" s="1818"/>
      <c r="Y29" s="3224"/>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2"/>
      <c r="Q30" s="1815">
        <f t="shared" si="11"/>
        <v>111</v>
      </c>
      <c r="R30" s="775" t="s">
        <v>17</v>
      </c>
      <c r="S30" s="776">
        <f t="shared" si="12"/>
        <v>100</v>
      </c>
      <c r="T30" s="775" t="s">
        <v>17</v>
      </c>
      <c r="U30" s="776">
        <f t="shared" si="13"/>
        <v>100</v>
      </c>
      <c r="V30" s="775" t="s">
        <v>17</v>
      </c>
      <c r="W30" s="776">
        <f t="shared" si="14"/>
        <v>100</v>
      </c>
      <c r="X30" s="1818"/>
      <c r="Y30" s="3224"/>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2"/>
      <c r="Q31" s="1815">
        <f t="shared" si="11"/>
        <v>111</v>
      </c>
      <c r="R31" s="775" t="s">
        <v>17</v>
      </c>
      <c r="S31" s="776">
        <f t="shared" si="12"/>
        <v>100</v>
      </c>
      <c r="T31" s="775" t="s">
        <v>17</v>
      </c>
      <c r="U31" s="776">
        <f t="shared" si="13"/>
        <v>100</v>
      </c>
      <c r="V31" s="775" t="s">
        <v>17</v>
      </c>
      <c r="W31" s="776">
        <f t="shared" si="14"/>
        <v>100</v>
      </c>
      <c r="X31" s="1818"/>
      <c r="Y31" s="3224"/>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2"/>
      <c r="Q32" s="1815">
        <f t="shared" si="11"/>
        <v>111</v>
      </c>
      <c r="R32" s="775" t="s">
        <v>17</v>
      </c>
      <c r="S32" s="776">
        <f t="shared" si="12"/>
        <v>100</v>
      </c>
      <c r="T32" s="775" t="s">
        <v>17</v>
      </c>
      <c r="U32" s="776">
        <f t="shared" si="13"/>
        <v>100</v>
      </c>
      <c r="V32" s="775" t="s">
        <v>17</v>
      </c>
      <c r="W32" s="776">
        <f t="shared" si="14"/>
        <v>100</v>
      </c>
      <c r="X32" s="1818"/>
      <c r="Y32" s="3224"/>
      <c r="Z32" s="1819">
        <f t="shared" si="15"/>
        <v>111</v>
      </c>
      <c r="AA32" s="1816">
        <f t="shared" si="3"/>
        <v>1</v>
      </c>
      <c r="AB32" s="1816">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25" t="s">
        <v>2566</v>
      </c>
      <c r="Q33" s="1815" t="str">
        <f t="shared" si="11"/>
        <v>建筑类型</v>
      </c>
      <c r="R33" s="775" t="s">
        <v>17</v>
      </c>
      <c r="S33" s="776">
        <f t="shared" si="12"/>
        <v>100</v>
      </c>
      <c r="T33" s="775" t="s">
        <v>17</v>
      </c>
      <c r="U33" s="776">
        <f t="shared" si="13"/>
        <v>100</v>
      </c>
      <c r="V33" s="775" t="s">
        <v>17</v>
      </c>
      <c r="W33" s="776">
        <f t="shared" si="14"/>
        <v>100</v>
      </c>
      <c r="X33" s="1818"/>
      <c r="Y33" s="3228" t="s">
        <v>2566</v>
      </c>
      <c r="Z33" s="1819" t="str">
        <f t="shared" si="15"/>
        <v>建筑类型</v>
      </c>
      <c r="AA33" s="1816">
        <f t="shared" si="3"/>
        <v>1</v>
      </c>
      <c r="AB33" s="1816">
        <f t="shared" si="4"/>
        <v>1</v>
      </c>
      <c r="AC33" s="2681">
        <f t="shared" si="5"/>
        <v>1</v>
      </c>
    </row>
    <row r="34" spans="1:29" s="472" customFormat="1" ht="15">
      <c r="A34" s="469"/>
      <c r="B34" s="3370" t="s">
        <v>2567</v>
      </c>
      <c r="C34" s="470">
        <v>1952.76</v>
      </c>
      <c r="D34" s="136">
        <v>100</v>
      </c>
      <c r="E34" s="431">
        <v>119</v>
      </c>
      <c r="F34" s="426">
        <f>LOOKUP(E34,104:104,105:105)-LOOKUP(C34,104:104,105:105)+100</f>
        <v>100</v>
      </c>
      <c r="G34" s="430">
        <v>656</v>
      </c>
      <c r="H34" s="136">
        <f>LOOKUP(G34,104:104,105:105)-LOOKUP(C34,104:104,105:105)+100</f>
        <v>102</v>
      </c>
      <c r="I34" s="430">
        <v>100</v>
      </c>
      <c r="J34" s="136">
        <f>LOOKUP(I34,104:104,105:105)-LOOKUP(C34,104:104,105:105)+100</f>
        <v>100</v>
      </c>
      <c r="K34" s="614"/>
      <c r="L34" s="1142"/>
      <c r="M34" s="1145"/>
      <c r="N34" s="1145"/>
      <c r="O34" s="1145"/>
      <c r="P34" s="3226"/>
      <c r="Q34" s="777" t="str">
        <f t="shared" si="11"/>
        <v>项目建筑规模</v>
      </c>
      <c r="R34" s="778" t="s">
        <v>17</v>
      </c>
      <c r="S34" s="779">
        <f t="shared" si="12"/>
        <v>100</v>
      </c>
      <c r="T34" s="778" t="s">
        <v>17</v>
      </c>
      <c r="U34" s="779">
        <f t="shared" si="13"/>
        <v>102</v>
      </c>
      <c r="V34" s="778" t="s">
        <v>17</v>
      </c>
      <c r="W34" s="779">
        <f t="shared" si="14"/>
        <v>100</v>
      </c>
      <c r="X34" s="780"/>
      <c r="Y34" s="3228"/>
      <c r="Z34" s="781" t="str">
        <f t="shared" si="15"/>
        <v>项目建筑规模</v>
      </c>
      <c r="AA34" s="1816">
        <f t="shared" si="3"/>
        <v>1</v>
      </c>
      <c r="AB34" s="1816">
        <f t="shared" si="4"/>
        <v>0.98039215686274506</v>
      </c>
      <c r="AC34" s="2681">
        <f t="shared" si="5"/>
        <v>1</v>
      </c>
    </row>
    <row r="35" spans="1:29" ht="15">
      <c r="A35" s="473"/>
      <c r="B35" s="423"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26"/>
      <c r="Q35" s="1815" t="str">
        <f t="shared" si="11"/>
        <v>建筑结构</v>
      </c>
      <c r="R35" s="775" t="s">
        <v>17</v>
      </c>
      <c r="S35" s="776">
        <f t="shared" si="12"/>
        <v>100</v>
      </c>
      <c r="T35" s="775" t="s">
        <v>17</v>
      </c>
      <c r="U35" s="776">
        <f t="shared" si="13"/>
        <v>100</v>
      </c>
      <c r="V35" s="775" t="s">
        <v>17</v>
      </c>
      <c r="W35" s="776">
        <f t="shared" si="14"/>
        <v>100</v>
      </c>
      <c r="X35" s="1818"/>
      <c r="Y35" s="3228"/>
      <c r="Z35" s="1819" t="str">
        <f t="shared" si="15"/>
        <v>建筑结构</v>
      </c>
      <c r="AA35" s="1816">
        <f t="shared" si="3"/>
        <v>1</v>
      </c>
      <c r="AB35" s="1816">
        <f t="shared" si="4"/>
        <v>1</v>
      </c>
      <c r="AC35" s="2681">
        <f t="shared" si="5"/>
        <v>1</v>
      </c>
    </row>
    <row r="36" spans="1:29" ht="15">
      <c r="A36" s="473"/>
      <c r="B36" s="423"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26"/>
      <c r="Q36" s="1815" t="str">
        <f t="shared" si="11"/>
        <v>公共部分装修</v>
      </c>
      <c r="R36" s="775" t="s">
        <v>17</v>
      </c>
      <c r="S36" s="776">
        <f t="shared" si="12"/>
        <v>100</v>
      </c>
      <c r="T36" s="775" t="s">
        <v>17</v>
      </c>
      <c r="U36" s="776">
        <f t="shared" si="13"/>
        <v>100</v>
      </c>
      <c r="V36" s="775" t="s">
        <v>17</v>
      </c>
      <c r="W36" s="776">
        <f t="shared" si="14"/>
        <v>100</v>
      </c>
      <c r="X36" s="1818"/>
      <c r="Y36" s="3228"/>
      <c r="Z36" s="1819" t="str">
        <f t="shared" si="15"/>
        <v>公共部分装修</v>
      </c>
      <c r="AA36" s="1816">
        <f t="shared" si="3"/>
        <v>1</v>
      </c>
      <c r="AB36" s="1816">
        <f t="shared" si="4"/>
        <v>1</v>
      </c>
      <c r="AC36" s="2681">
        <f t="shared" si="5"/>
        <v>1</v>
      </c>
    </row>
    <row r="37" spans="1:29" ht="15">
      <c r="A37" s="473"/>
      <c r="B37" s="423" t="s">
        <v>2663</v>
      </c>
      <c r="C37" s="475">
        <v>0.85</v>
      </c>
      <c r="D37" s="436">
        <v>100</v>
      </c>
      <c r="E37" s="475">
        <v>0.8</v>
      </c>
      <c r="F37" s="462">
        <f>LOOKUP(E37,111:111,112:112)-LOOKUP(C37,111:111,112:112)+100</f>
        <v>100</v>
      </c>
      <c r="G37" s="475">
        <v>0.82</v>
      </c>
      <c r="H37" s="462">
        <f>LOOKUP(G37,111:111,112:112)-LOOKUP(C37,111:111,112:112)+100</f>
        <v>100</v>
      </c>
      <c r="I37" s="475">
        <v>0.92</v>
      </c>
      <c r="J37" s="436">
        <f>LOOKUP(I37,111:111,112:112)-LOOKUP(C37,111:111,112:112)+100</f>
        <v>101</v>
      </c>
      <c r="K37" s="613">
        <v>1</v>
      </c>
      <c r="L37" s="1144"/>
      <c r="M37" s="1135"/>
      <c r="N37" s="1135"/>
      <c r="O37" s="1135"/>
      <c r="P37" s="3226"/>
      <c r="Q37" s="1815" t="str">
        <f t="shared" si="11"/>
        <v>成新度</v>
      </c>
      <c r="R37" s="775" t="s">
        <v>17</v>
      </c>
      <c r="S37" s="776">
        <f t="shared" si="12"/>
        <v>100</v>
      </c>
      <c r="T37" s="775" t="s">
        <v>17</v>
      </c>
      <c r="U37" s="776">
        <f t="shared" si="13"/>
        <v>100</v>
      </c>
      <c r="V37" s="775" t="s">
        <v>17</v>
      </c>
      <c r="W37" s="776">
        <f t="shared" si="14"/>
        <v>101</v>
      </c>
      <c r="X37" s="1818"/>
      <c r="Y37" s="3228"/>
      <c r="Z37" s="1819" t="str">
        <f t="shared" si="15"/>
        <v>成新度</v>
      </c>
      <c r="AA37" s="1816">
        <f t="shared" si="3"/>
        <v>1</v>
      </c>
      <c r="AB37" s="1816">
        <f t="shared" si="4"/>
        <v>1</v>
      </c>
      <c r="AC37" s="2681">
        <f t="shared" si="5"/>
        <v>0.99009900990099009</v>
      </c>
    </row>
    <row r="38" spans="1:29" s="117" customFormat="1" ht="15">
      <c r="A38" s="474"/>
      <c r="B38" s="423"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26"/>
      <c r="Q38" s="1800" t="str">
        <f t="shared" si="11"/>
        <v>写字楼等级</v>
      </c>
      <c r="R38" s="771" t="s">
        <v>17</v>
      </c>
      <c r="S38" s="772">
        <f t="shared" si="12"/>
        <v>100</v>
      </c>
      <c r="T38" s="771" t="s">
        <v>17</v>
      </c>
      <c r="U38" s="772">
        <f t="shared" si="13"/>
        <v>100</v>
      </c>
      <c r="V38" s="771" t="s">
        <v>17</v>
      </c>
      <c r="W38" s="772">
        <f t="shared" si="14"/>
        <v>100</v>
      </c>
      <c r="X38" s="773"/>
      <c r="Y38" s="3228"/>
      <c r="Z38" s="55" t="str">
        <f t="shared" si="15"/>
        <v>写字楼等级</v>
      </c>
      <c r="AA38" s="774">
        <f t="shared" si="3"/>
        <v>1</v>
      </c>
      <c r="AB38" s="774">
        <f t="shared" si="4"/>
        <v>1</v>
      </c>
      <c r="AC38" s="2678">
        <f t="shared" si="5"/>
        <v>1</v>
      </c>
    </row>
    <row r="39" spans="1:29" ht="15">
      <c r="A39" s="473"/>
      <c r="B39" s="423"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26" t="s">
        <v>2566</v>
      </c>
      <c r="Q39" s="1815" t="str">
        <f t="shared" si="11"/>
        <v>物业管理</v>
      </c>
      <c r="R39" s="775" t="s">
        <v>17</v>
      </c>
      <c r="S39" s="776">
        <f t="shared" si="12"/>
        <v>100</v>
      </c>
      <c r="T39" s="775" t="s">
        <v>17</v>
      </c>
      <c r="U39" s="776">
        <f t="shared" si="13"/>
        <v>100</v>
      </c>
      <c r="V39" s="775" t="s">
        <v>17</v>
      </c>
      <c r="W39" s="776">
        <f t="shared" si="14"/>
        <v>100</v>
      </c>
      <c r="X39" s="1818"/>
      <c r="Y39" s="3228" t="s">
        <v>2566</v>
      </c>
      <c r="Z39" s="1819" t="str">
        <f t="shared" si="15"/>
        <v>物业管理</v>
      </c>
      <c r="AA39" s="1816">
        <f t="shared" si="3"/>
        <v>1</v>
      </c>
      <c r="AB39" s="1816">
        <f t="shared" si="4"/>
        <v>1</v>
      </c>
      <c r="AC39" s="2681">
        <f t="shared" si="5"/>
        <v>1</v>
      </c>
    </row>
    <row r="40" spans="1:29" ht="15">
      <c r="A40" s="473"/>
      <c r="B40" s="423"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26"/>
      <c r="Q40" s="1815" t="str">
        <f t="shared" si="11"/>
        <v>市政基础设施</v>
      </c>
      <c r="R40" s="775" t="s">
        <v>17</v>
      </c>
      <c r="S40" s="776">
        <f t="shared" si="12"/>
        <v>100</v>
      </c>
      <c r="T40" s="775" t="s">
        <v>17</v>
      </c>
      <c r="U40" s="776">
        <f t="shared" si="13"/>
        <v>100</v>
      </c>
      <c r="V40" s="775" t="s">
        <v>17</v>
      </c>
      <c r="W40" s="776">
        <f t="shared" si="14"/>
        <v>100</v>
      </c>
      <c r="X40" s="1818"/>
      <c r="Y40" s="3228"/>
      <c r="Z40" s="1819" t="str">
        <f t="shared" si="15"/>
        <v>市政基础设施</v>
      </c>
      <c r="AA40" s="1816">
        <f t="shared" si="3"/>
        <v>1</v>
      </c>
      <c r="AB40" s="1816">
        <f t="shared" si="4"/>
        <v>1</v>
      </c>
      <c r="AC40" s="2681">
        <f t="shared" si="5"/>
        <v>1</v>
      </c>
    </row>
    <row r="41" spans="1:29" ht="15">
      <c r="A41" s="473"/>
      <c r="B41" s="423"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26"/>
      <c r="Q41" s="1815" t="str">
        <f t="shared" si="11"/>
        <v>层高</v>
      </c>
      <c r="R41" s="775" t="s">
        <v>17</v>
      </c>
      <c r="S41" s="776">
        <f t="shared" si="12"/>
        <v>100</v>
      </c>
      <c r="T41" s="775" t="s">
        <v>17</v>
      </c>
      <c r="U41" s="776">
        <f t="shared" si="13"/>
        <v>100</v>
      </c>
      <c r="V41" s="775" t="s">
        <v>17</v>
      </c>
      <c r="W41" s="776">
        <f t="shared" si="14"/>
        <v>100</v>
      </c>
      <c r="X41" s="1818"/>
      <c r="Y41" s="3228"/>
      <c r="Z41" s="1819" t="str">
        <f t="shared" si="15"/>
        <v>层高</v>
      </c>
      <c r="AA41" s="1816">
        <f t="shared" si="3"/>
        <v>1</v>
      </c>
      <c r="AB41" s="1816">
        <f t="shared" si="4"/>
        <v>1</v>
      </c>
      <c r="AC41" s="2681">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6"/>
      <c r="Q42" s="777" t="str">
        <f t="shared" si="11"/>
        <v>单套建筑面积</v>
      </c>
      <c r="R42" s="778" t="s">
        <v>17</v>
      </c>
      <c r="S42" s="779">
        <f t="shared" si="12"/>
        <v>100</v>
      </c>
      <c r="T42" s="778" t="s">
        <v>17</v>
      </c>
      <c r="U42" s="779">
        <f t="shared" si="13"/>
        <v>100</v>
      </c>
      <c r="V42" s="778" t="s">
        <v>17</v>
      </c>
      <c r="W42" s="779">
        <f t="shared" si="14"/>
        <v>100</v>
      </c>
      <c r="X42" s="780"/>
      <c r="Y42" s="3228"/>
      <c r="Z42" s="781" t="str">
        <f t="shared" si="15"/>
        <v>单套建筑面积</v>
      </c>
      <c r="AA42" s="1816">
        <f t="shared" si="3"/>
        <v>1</v>
      </c>
      <c r="AB42" s="1816">
        <f t="shared" si="4"/>
        <v>1</v>
      </c>
      <c r="AC42" s="2681">
        <f t="shared" si="5"/>
        <v>1</v>
      </c>
    </row>
    <row r="43" spans="1:29" ht="15">
      <c r="A43" s="473"/>
      <c r="B43" s="423"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26"/>
      <c r="Q43" s="1815" t="str">
        <f t="shared" si="11"/>
        <v>内部装修</v>
      </c>
      <c r="R43" s="775" t="s">
        <v>17</v>
      </c>
      <c r="S43" s="776">
        <f t="shared" si="12"/>
        <v>100</v>
      </c>
      <c r="T43" s="775" t="s">
        <v>17</v>
      </c>
      <c r="U43" s="776">
        <f t="shared" si="13"/>
        <v>100</v>
      </c>
      <c r="V43" s="775" t="s">
        <v>17</v>
      </c>
      <c r="W43" s="776">
        <f t="shared" si="14"/>
        <v>100</v>
      </c>
      <c r="X43" s="1818"/>
      <c r="Y43" s="3228"/>
      <c r="Z43" s="1819" t="str">
        <f t="shared" si="15"/>
        <v>内部装修</v>
      </c>
      <c r="AA43" s="1816">
        <f t="shared" si="3"/>
        <v>1</v>
      </c>
      <c r="AB43" s="1816">
        <f t="shared" si="4"/>
        <v>1</v>
      </c>
      <c r="AC43" s="2681">
        <f t="shared" si="5"/>
        <v>1</v>
      </c>
    </row>
    <row r="44" spans="1:29" ht="15">
      <c r="A44" s="473"/>
      <c r="B44" s="423"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26"/>
      <c r="Q44" s="1815" t="str">
        <f t="shared" si="11"/>
        <v>内部装修维护情况</v>
      </c>
      <c r="R44" s="775" t="s">
        <v>17</v>
      </c>
      <c r="S44" s="776">
        <f t="shared" si="12"/>
        <v>100</v>
      </c>
      <c r="T44" s="775" t="s">
        <v>17</v>
      </c>
      <c r="U44" s="776">
        <f t="shared" si="13"/>
        <v>100</v>
      </c>
      <c r="V44" s="775" t="s">
        <v>17</v>
      </c>
      <c r="W44" s="776">
        <f t="shared" si="14"/>
        <v>100</v>
      </c>
      <c r="X44" s="1818"/>
      <c r="Y44" s="3228"/>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6"/>
      <c r="Q45" s="1800">
        <f t="shared" si="11"/>
        <v>111</v>
      </c>
      <c r="R45" s="771" t="s">
        <v>17</v>
      </c>
      <c r="S45" s="772">
        <f t="shared" si="12"/>
        <v>100</v>
      </c>
      <c r="T45" s="771" t="s">
        <v>17</v>
      </c>
      <c r="U45" s="772">
        <f t="shared" si="13"/>
        <v>100</v>
      </c>
      <c r="V45" s="771" t="s">
        <v>17</v>
      </c>
      <c r="W45" s="772">
        <f t="shared" si="14"/>
        <v>100</v>
      </c>
      <c r="X45" s="773"/>
      <c r="Y45" s="3228"/>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6"/>
      <c r="Q46" s="1815">
        <f t="shared" si="11"/>
        <v>111</v>
      </c>
      <c r="R46" s="775" t="s">
        <v>17</v>
      </c>
      <c r="S46" s="776">
        <f t="shared" si="12"/>
        <v>100</v>
      </c>
      <c r="T46" s="775" t="s">
        <v>17</v>
      </c>
      <c r="U46" s="776">
        <f t="shared" si="13"/>
        <v>100</v>
      </c>
      <c r="V46" s="775" t="s">
        <v>17</v>
      </c>
      <c r="W46" s="776">
        <f t="shared" si="14"/>
        <v>100</v>
      </c>
      <c r="X46" s="1818"/>
      <c r="Y46" s="3228"/>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7"/>
      <c r="Q47" s="1815">
        <f t="shared" si="11"/>
        <v>111</v>
      </c>
      <c r="R47" s="775" t="s">
        <v>17</v>
      </c>
      <c r="S47" s="776">
        <f t="shared" si="12"/>
        <v>100</v>
      </c>
      <c r="T47" s="775" t="s">
        <v>17</v>
      </c>
      <c r="U47" s="776">
        <f t="shared" si="13"/>
        <v>100</v>
      </c>
      <c r="V47" s="775" t="s">
        <v>17</v>
      </c>
      <c r="W47" s="776">
        <f t="shared" si="14"/>
        <v>100</v>
      </c>
      <c r="X47" s="1818"/>
      <c r="Y47" s="3229"/>
      <c r="Z47" s="1819">
        <f t="shared" si="15"/>
        <v>111</v>
      </c>
      <c r="AA47" s="1816">
        <f t="shared" si="3"/>
        <v>1</v>
      </c>
      <c r="AB47" s="1816">
        <f t="shared" si="4"/>
        <v>1</v>
      </c>
      <c r="AC47" s="2681">
        <f t="shared" si="5"/>
        <v>1</v>
      </c>
    </row>
    <row r="48" spans="1:29" ht="15">
      <c r="A48" s="480" t="s">
        <v>2578</v>
      </c>
      <c r="B48" s="481"/>
      <c r="C48" s="1411" t="s">
        <v>1</v>
      </c>
      <c r="D48" s="1412"/>
      <c r="E48" s="1413">
        <v>38992</v>
      </c>
      <c r="F48" s="1414"/>
      <c r="G48" s="1415">
        <v>37393</v>
      </c>
      <c r="H48" s="1416"/>
      <c r="I48" s="1413">
        <v>40000</v>
      </c>
      <c r="J48" s="486"/>
      <c r="K48" s="784"/>
      <c r="L48" s="1147"/>
      <c r="M48" s="1135"/>
      <c r="N48" s="1135"/>
      <c r="O48" s="1135"/>
      <c r="P48" s="3215" t="str">
        <f>A48</f>
        <v>成交单价（元/平方米）</v>
      </c>
      <c r="Q48" s="3216"/>
      <c r="R48" s="3217">
        <f>E48</f>
        <v>38992</v>
      </c>
      <c r="S48" s="3217"/>
      <c r="T48" s="3217">
        <f>G48</f>
        <v>37393</v>
      </c>
      <c r="U48" s="3217"/>
      <c r="V48" s="3217">
        <f>I48</f>
        <v>40000</v>
      </c>
      <c r="W48" s="3217"/>
      <c r="X48" s="447"/>
      <c r="Y48" s="782"/>
      <c r="Z48" s="447"/>
      <c r="AA48" s="447"/>
      <c r="AB48" s="447"/>
      <c r="AC48" s="631"/>
    </row>
    <row r="49" spans="1:29" ht="15.75" thickBot="1">
      <c r="A49" s="487" t="s">
        <v>2670</v>
      </c>
      <c r="B49" s="488"/>
      <c r="C49" s="1417">
        <f>R50</f>
        <v>38319</v>
      </c>
      <c r="D49" s="1418"/>
      <c r="E49" s="1419">
        <f>R49</f>
        <v>39788</v>
      </c>
      <c r="F49" s="1419"/>
      <c r="G49" s="1417">
        <f>T49</f>
        <v>35941</v>
      </c>
      <c r="H49" s="1418"/>
      <c r="I49" s="1419">
        <f>V49</f>
        <v>39228</v>
      </c>
      <c r="J49" s="490"/>
      <c r="K49" s="785"/>
      <c r="L49" s="1147"/>
      <c r="M49" s="1135"/>
      <c r="N49" s="1135"/>
      <c r="O49" s="1135"/>
      <c r="P49" s="3215" t="str">
        <f>A49</f>
        <v>比较价值（元/平方米）</v>
      </c>
      <c r="Q49" s="3216"/>
      <c r="R49" s="3217">
        <f>IF(F1="售价",ROUND(PRODUCT(R48,AA7:AA47),0),ROUND(PRODUCT(R48,AA7:AA47),1))</f>
        <v>39788</v>
      </c>
      <c r="S49" s="3217"/>
      <c r="T49" s="3217">
        <f>IF(F1="售价",ROUND(PRODUCT(T48,AB7:AB47),0),ROUND(PRODUCT(T48,AB7:AB47),1))</f>
        <v>35941</v>
      </c>
      <c r="U49" s="3217"/>
      <c r="V49" s="3217">
        <f>IF(F1="售价",ROUND(PRODUCT(V48,AC7:AC47),0),ROUND(PRODUCT(V48,AC7:AC47),1))</f>
        <v>39228</v>
      </c>
      <c r="W49" s="3217"/>
      <c r="X49" s="447"/>
      <c r="Y49" s="447"/>
      <c r="Z49" s="447"/>
      <c r="AA49" s="447"/>
      <c r="AB49" s="447"/>
      <c r="AC49" s="631"/>
    </row>
    <row r="50" spans="1:29" ht="15.75" thickBot="1">
      <c r="A50" s="493" t="s">
        <v>3121</v>
      </c>
      <c r="B50" s="494"/>
      <c r="C50" s="1421">
        <f>R50</f>
        <v>38319</v>
      </c>
      <c r="D50" s="1421"/>
      <c r="E50" s="1421"/>
      <c r="F50" s="1421"/>
      <c r="G50" s="1421"/>
      <c r="H50" s="1421"/>
      <c r="I50" s="1421"/>
      <c r="J50" s="495"/>
      <c r="K50" s="786"/>
      <c r="L50" s="1147"/>
      <c r="M50" s="1135"/>
      <c r="N50" s="1135"/>
      <c r="O50" s="1135"/>
      <c r="P50" s="3218" t="str">
        <f>A50</f>
        <v>估价对象办公用房的比较价值（楼面单价，元/平方米）</v>
      </c>
      <c r="Q50" s="3219"/>
      <c r="R50" s="3220">
        <f>IF(F1="售价",ROUND(AVERAGE(R49:V49),0),ROUND(AVERAGE(R49:V49),1))</f>
        <v>38319</v>
      </c>
      <c r="S50" s="3220"/>
      <c r="T50" s="3220"/>
      <c r="U50" s="3220"/>
      <c r="V50" s="3220"/>
      <c r="W50" s="322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f>IF(E48&lt;E49,E49/E48-1,E48/E49-1)</f>
        <v>2.0414443988510556E-2</v>
      </c>
      <c r="F53" s="501" t="str">
        <f>IF(OR(E53&gt;=0.3,E53&lt;=-0.3),"超过30%","")</f>
        <v/>
      </c>
      <c r="G53" s="500">
        <f>IF(G48&lt;G49,G49/G48-1,G48/G49-1)</f>
        <v>4.0399543696613804E-2</v>
      </c>
      <c r="H53" s="501" t="str">
        <f>IF(OR(G53&gt;=0.3,G53&lt;=-0.3),"超过30%","")</f>
        <v/>
      </c>
      <c r="I53" s="500">
        <f>IF(I48&lt;I49,I49/I48-1,I48/I49-1)</f>
        <v>1.9679820536351533E-2</v>
      </c>
      <c r="J53" s="501" t="str">
        <f>IF(OR(I53&gt;=0.3,I53&lt;=-0.3),"超过30%","")</f>
        <v/>
      </c>
      <c r="K53" s="1109"/>
      <c r="L53" s="1110"/>
      <c r="M53" s="1148"/>
      <c r="N53" s="1148"/>
      <c r="O53" s="1148"/>
    </row>
    <row r="54" spans="1:29" ht="13.5" customHeight="1">
      <c r="A54" s="1148"/>
      <c r="B54" s="1148"/>
      <c r="C54" s="498" t="s">
        <v>2673</v>
      </c>
      <c r="D54" s="502"/>
      <c r="E54" s="500">
        <f>IF(E49&lt;G49,G49/E49-1,E49/G49-1)</f>
        <v>0.10703653209426567</v>
      </c>
      <c r="F54" s="501" t="str">
        <f>IF(OR(E54&gt;=0.2,E54&lt;=-0.2),"超过20%","")</f>
        <v/>
      </c>
      <c r="G54" s="500">
        <f>IF(G49&lt;I49,I49/G49-1,G49/I49-1)</f>
        <v>9.1455440861411663E-2</v>
      </c>
      <c r="H54" s="501" t="str">
        <f>IF(OR(G54&gt;=0.2,G54&lt;=-0.2),"超过20%","")</f>
        <v/>
      </c>
      <c r="I54" s="500">
        <f>IF(I49&lt;E49,E49/I49-1,I49/E49-1)</f>
        <v>1.4275517487508882E-2</v>
      </c>
      <c r="J54" s="501" t="str">
        <f>IF(OR(I54&gt;=0.2,I54&lt;=-0.2),"超过20%","")</f>
        <v/>
      </c>
      <c r="K54" s="1109"/>
      <c r="L54" s="1110"/>
      <c r="M54" s="1148"/>
      <c r="N54" s="1148"/>
      <c r="O54" s="1148"/>
    </row>
    <row r="55" spans="1:29" s="503" customFormat="1" ht="13.5" customHeight="1">
      <c r="A55" s="1149"/>
      <c r="B55" s="1149"/>
      <c r="C55" s="498" t="s">
        <v>2674</v>
      </c>
      <c r="D55" s="502"/>
      <c r="E55" s="500">
        <f>IF(E48&lt;G48,G48/E48-1,E48/G48-1)</f>
        <v>4.2762014280747662E-2</v>
      </c>
      <c r="F55" s="501" t="str">
        <f>IF(OR(E55&gt;=0.3,E55&lt;=-0.3),"超过30%","")</f>
        <v/>
      </c>
      <c r="G55" s="500">
        <f>IF(G48&lt;I48,I48/G48-1,G48/I48-1)</f>
        <v>6.971893135078755E-2</v>
      </c>
      <c r="H55" s="501" t="str">
        <f>IF(OR(G55&gt;=0.3,G55&lt;=-0.3),"超过30%","")</f>
        <v/>
      </c>
      <c r="I55" s="500">
        <f>IF(I48&lt;E48,E48/I48-1,I48/E48-1)</f>
        <v>2.5851456709068632E-2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2653</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7527</v>
      </c>
      <c r="C2" s="1850" t="s">
        <v>1517</v>
      </c>
      <c r="D2" s="1850"/>
      <c r="E2" s="1851"/>
      <c r="F2" s="1852"/>
      <c r="G2" s="1853"/>
      <c r="H2" s="1845"/>
      <c r="I2" s="1845"/>
      <c r="J2" s="1845"/>
      <c r="K2" s="1846"/>
      <c r="L2" s="1845"/>
      <c r="M2" s="1845"/>
    </row>
    <row r="3" spans="1:37" ht="18" customHeight="1" thickBot="1">
      <c r="A3" s="1854" t="s">
        <v>1518</v>
      </c>
      <c r="B3" s="1855">
        <f ca="1">IF(ISERROR(B2*10000/F43),0,ROUND(B2*10000/F43,0))</f>
        <v>38545</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447</v>
      </c>
      <c r="D5" s="1827" t="s">
        <v>1403</v>
      </c>
      <c r="E5" s="1297"/>
      <c r="F5" s="1298"/>
      <c r="G5" s="1856"/>
      <c r="H5" s="345">
        <v>1</v>
      </c>
      <c r="I5" s="346" t="s">
        <v>1402</v>
      </c>
      <c r="J5" s="1296">
        <f ca="1">J6+J10+J12</f>
        <v>405</v>
      </c>
      <c r="K5" s="1827" t="s">
        <v>1403</v>
      </c>
      <c r="L5" s="1297"/>
      <c r="M5" s="1298"/>
    </row>
    <row r="6" spans="1:37" ht="18" customHeight="1">
      <c r="A6" s="1295" t="s">
        <v>1035</v>
      </c>
      <c r="B6" s="3269" t="s">
        <v>1404</v>
      </c>
      <c r="C6" s="1300">
        <f ca="1">ROUND(F6*F8*F7*(1-F9)/10000,0)</f>
        <v>446</v>
      </c>
      <c r="D6" s="165" t="s">
        <v>3035</v>
      </c>
      <c r="E6" s="348" t="s">
        <v>1406</v>
      </c>
      <c r="F6" s="349">
        <f ca="1">INDIRECT("'数据-取费表'!u"&amp;$G$1)</f>
        <v>6.26</v>
      </c>
      <c r="G6" s="1856"/>
      <c r="H6" s="1295" t="s">
        <v>1035</v>
      </c>
      <c r="I6" s="3269" t="s">
        <v>1404</v>
      </c>
      <c r="J6" s="347">
        <f ca="1">ROUND(M6*M8*M7*(1-M9)/10000,0)</f>
        <v>404</v>
      </c>
      <c r="K6" s="165" t="s">
        <v>3034</v>
      </c>
      <c r="L6" s="348" t="s">
        <v>1406</v>
      </c>
      <c r="M6" s="349">
        <f ca="1">INDIRECT("'数据-取费表'!z"&amp;$G$1)</f>
        <v>6.3</v>
      </c>
    </row>
    <row r="7" spans="1:37" ht="18" customHeight="1">
      <c r="A7" s="1299"/>
      <c r="B7" s="3270"/>
      <c r="C7" s="1301"/>
      <c r="D7" s="353"/>
      <c r="E7" s="1302" t="s">
        <v>1407</v>
      </c>
      <c r="F7" s="349">
        <f ca="1">IF(INDIRECT("'数据-取费表'!ah"&amp;$G$1)="",INDIRECT("'数据-取费表'!k"&amp;$G$1),INDIRECT("'数据-取费表'!ah"&amp;$G$1))</f>
        <v>1952.76</v>
      </c>
      <c r="G7" s="1856"/>
      <c r="H7" s="350"/>
      <c r="I7" s="3270"/>
      <c r="J7" s="352"/>
      <c r="K7" s="353"/>
      <c r="L7" s="348" t="s">
        <v>1407</v>
      </c>
      <c r="M7" s="349">
        <f ca="1">F7</f>
        <v>1952.76</v>
      </c>
    </row>
    <row r="8" spans="1:37" ht="18" customHeight="1">
      <c r="A8" s="350"/>
      <c r="B8" s="3270"/>
      <c r="C8" s="352"/>
      <c r="D8" s="353"/>
      <c r="E8" s="348" t="s">
        <v>1408</v>
      </c>
      <c r="F8" s="349">
        <f ca="1">INDIRECT("'数据-取费表'!ai"&amp;$G$1)</f>
        <v>365</v>
      </c>
      <c r="G8" s="1856"/>
      <c r="H8" s="350"/>
      <c r="I8" s="3270"/>
      <c r="J8" s="352"/>
      <c r="K8" s="353"/>
      <c r="L8" s="348" t="s">
        <v>1408</v>
      </c>
      <c r="M8" s="349">
        <f ca="1">INDIRECT("'数据-取费表'!ai"&amp;$G$1)</f>
        <v>365</v>
      </c>
    </row>
    <row r="9" spans="1:37" ht="18" customHeight="1">
      <c r="A9" s="350"/>
      <c r="B9" s="3271"/>
      <c r="C9" s="352"/>
      <c r="D9" s="353"/>
      <c r="E9" s="348" t="s">
        <v>1409</v>
      </c>
      <c r="F9" s="358">
        <f ca="1">INDIRECT("'数据-取费表'!w"&amp;$G$1)</f>
        <v>0</v>
      </c>
      <c r="G9" s="1856"/>
      <c r="H9" s="350"/>
      <c r="I9" s="3271"/>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3036</v>
      </c>
      <c r="E10" s="359" t="s">
        <v>1412</v>
      </c>
      <c r="F10" s="1370" t="s">
        <v>3203</v>
      </c>
      <c r="G10" s="1856"/>
      <c r="H10" s="1295" t="s">
        <v>1039</v>
      </c>
      <c r="I10" s="1828" t="s">
        <v>1410</v>
      </c>
      <c r="J10" s="347">
        <f ca="1">ROUND(IF(M10="押一",M6*M8*M7/12*M11,IF(M10="押二",M6*M8*M7/12*2*M11,IF(M10="押三",M6*M8*M7/12*3*M11,J11*M11)))/10000,0)</f>
        <v>1</v>
      </c>
      <c r="K10" s="1829" t="s">
        <v>3037</v>
      </c>
      <c r="L10" s="359" t="s">
        <v>1412</v>
      </c>
      <c r="M10" s="1370" t="s">
        <v>3203</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743</v>
      </c>
      <c r="D13" s="1335" t="s">
        <v>1416</v>
      </c>
      <c r="E13" s="1335" t="s">
        <v>1417</v>
      </c>
      <c r="F13" s="1336">
        <f ca="1">INDIRECT("'数据-取费表'!y"&amp;$G$1)</f>
        <v>0.85</v>
      </c>
      <c r="G13" s="1856"/>
      <c r="H13" s="1333">
        <v>2</v>
      </c>
      <c r="I13" s="1334" t="s">
        <v>1415</v>
      </c>
      <c r="J13" s="1294">
        <f ca="1">ROUND(J14*J15,0)</f>
        <v>699</v>
      </c>
      <c r="K13" s="1341" t="s">
        <v>1416</v>
      </c>
      <c r="L13" s="1857"/>
      <c r="M13" s="1858"/>
    </row>
    <row r="14" spans="1:37" ht="18" customHeight="1">
      <c r="A14" s="1205" t="s">
        <v>1034</v>
      </c>
      <c r="B14" s="348" t="s">
        <v>1418</v>
      </c>
      <c r="C14" s="364">
        <f ca="1">INDIRECT("'数据-取费表'!m"&amp;$G$1)+INDIRECT("'数据-取费表'!t"&amp;$G$1)</f>
        <v>586</v>
      </c>
      <c r="D14" s="1805" t="s">
        <v>1419</v>
      </c>
      <c r="E14" s="1799"/>
      <c r="F14" s="365"/>
      <c r="G14" s="1856"/>
      <c r="H14" s="1205" t="s">
        <v>1035</v>
      </c>
      <c r="I14" s="348" t="s">
        <v>1420</v>
      </c>
      <c r="J14" s="24">
        <f ca="1">C29</f>
        <v>874</v>
      </c>
      <c r="K14" s="15"/>
      <c r="L14" s="983"/>
      <c r="M14" s="984"/>
    </row>
    <row r="15" spans="1:37" s="1863" customFormat="1" ht="18" customHeight="1" thickBot="1">
      <c r="A15" s="1205" t="s">
        <v>1036</v>
      </c>
      <c r="B15" s="348" t="s">
        <v>1421</v>
      </c>
      <c r="C15" s="24">
        <f ca="1">ROUND(C14*F15,0)</f>
        <v>18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56</v>
      </c>
      <c r="K16" s="1341" t="s">
        <v>1426</v>
      </c>
      <c r="L16" s="1342"/>
      <c r="M16" s="1298"/>
    </row>
    <row r="17" spans="1:37" s="1863" customFormat="1" ht="18" customHeight="1">
      <c r="A17" s="1205" t="s">
        <v>1391</v>
      </c>
      <c r="B17" s="348" t="s">
        <v>1427</v>
      </c>
      <c r="C17" s="24">
        <f ca="1">ROUND(F17*(F43+INDIRECT("'数据-取费表'!S"&amp;$G$1))/10000,0)</f>
        <v>20</v>
      </c>
      <c r="D17" s="348" t="s">
        <v>1428</v>
      </c>
      <c r="E17" s="348" t="s">
        <v>1429</v>
      </c>
      <c r="F17" s="26">
        <f>'数据-取费表'!B35</f>
        <v>100</v>
      </c>
      <c r="G17" s="1859"/>
      <c r="H17" s="1205" t="s">
        <v>1035</v>
      </c>
      <c r="I17" s="348" t="s">
        <v>1430</v>
      </c>
      <c r="J17" s="24">
        <f ca="1">ROUND(IF(项目基本情况!B11="自然人",J5*M17,J18+J19+J20),1)</f>
        <v>28.9</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v>
      </c>
      <c r="D18" s="348" t="s">
        <v>1422</v>
      </c>
      <c r="E18" s="348" t="s">
        <v>1423</v>
      </c>
      <c r="F18" s="368">
        <f>'数据-取费表'!B36</f>
        <v>1.4999999999999999E-2</v>
      </c>
      <c r="G18" s="1859"/>
      <c r="H18" s="1205" t="s">
        <v>1034</v>
      </c>
      <c r="I18" s="348" t="s">
        <v>1434</v>
      </c>
      <c r="J18" s="24">
        <f ca="1">ROUND(J5*M18/(1+'数据-取费表'!C42),2)</f>
        <v>21.6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633</v>
      </c>
      <c r="D19" s="140" t="s">
        <v>1437</v>
      </c>
      <c r="E19" s="1823"/>
      <c r="F19" s="26"/>
      <c r="G19" s="1856"/>
      <c r="H19" s="1205" t="s">
        <v>1036</v>
      </c>
      <c r="I19" s="348" t="s">
        <v>1438</v>
      </c>
      <c r="J19" s="24">
        <f ca="1">IF(K19="按租金收入计税",ROUND(J5*M19,2),ROUND(C29*M19*0.7,2))</f>
        <v>7.34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13</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17.5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8.1</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349</v>
      </c>
      <c r="K25" s="1349" t="s">
        <v>1465</v>
      </c>
      <c r="L25" s="1350"/>
      <c r="M25" s="1351"/>
    </row>
    <row r="26" spans="1:37">
      <c r="A26" s="1205" t="s">
        <v>1034</v>
      </c>
      <c r="B26" s="348" t="s">
        <v>1466</v>
      </c>
      <c r="C26" s="24">
        <f ca="1">ROUND((C19+C20)*F26,0)</f>
        <v>129</v>
      </c>
      <c r="D26" s="370" t="s">
        <v>1467</v>
      </c>
      <c r="E26" s="359" t="s">
        <v>1468</v>
      </c>
      <c r="F26" s="358">
        <f ca="1">INDIRECT("'数据-取费表'!q"&amp;$G$1)</f>
        <v>0.2</v>
      </c>
      <c r="G26" s="1856"/>
      <c r="H26" s="345" t="s">
        <v>1032</v>
      </c>
      <c r="I26" s="346" t="s">
        <v>1469</v>
      </c>
      <c r="J26" s="347">
        <f ca="1">IF(J5&lt;&gt;0,ROUND(J25*(1-((1+M28)/(1+M26))^M27)/(M26-M28),0),0)</f>
        <v>7580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874</v>
      </c>
      <c r="D29" s="1346"/>
      <c r="E29" s="1344"/>
      <c r="F29" s="1347"/>
      <c r="G29" s="1859"/>
      <c r="H29" s="381" t="s">
        <v>1033</v>
      </c>
      <c r="I29" s="382" t="s">
        <v>1480</v>
      </c>
      <c r="J29" s="383">
        <f ca="1">ROUND(J26/(1+F40)^F41,0)</f>
        <v>6641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31.2</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23.84</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7.34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17.5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1.5</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4476</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12</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7515</v>
      </c>
      <c r="R47" s="1891" t="s">
        <v>1530</v>
      </c>
    </row>
    <row r="48" spans="1:18" s="1847" customFormat="1" ht="28.5" thickBot="1">
      <c r="A48" s="1364" t="s">
        <v>1135</v>
      </c>
      <c r="B48" s="346" t="s">
        <v>1402</v>
      </c>
      <c r="C48" s="1822">
        <f ca="1">C49+C53+C55</f>
        <v>447</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v>
      </c>
      <c r="R48" s="1891" t="s">
        <v>1534</v>
      </c>
    </row>
    <row r="49" spans="1:18" s="1847" customFormat="1" ht="13.5" thickBot="1">
      <c r="A49" s="1198" t="s">
        <v>1136</v>
      </c>
      <c r="B49" s="1834" t="s">
        <v>1491</v>
      </c>
      <c r="C49" s="1368">
        <f ca="1">ROUND(F49*F51*F50*(1-F52)/10000,0)</f>
        <v>446</v>
      </c>
      <c r="D49" s="1280" t="s">
        <v>3038</v>
      </c>
      <c r="E49" s="1835" t="s">
        <v>1492</v>
      </c>
      <c r="F49" s="1285">
        <f ca="1">F6</f>
        <v>6.26</v>
      </c>
      <c r="G49" s="1896"/>
      <c r="H49" s="794"/>
      <c r="I49" s="1892" t="s">
        <v>1535</v>
      </c>
      <c r="J49" s="1897">
        <v>2008</v>
      </c>
      <c r="K49" s="1894" t="s">
        <v>1536</v>
      </c>
      <c r="L49" s="1898"/>
      <c r="O49" s="1899" t="s">
        <v>1042</v>
      </c>
      <c r="P49" s="1890" t="s">
        <v>1537</v>
      </c>
      <c r="Q49" s="1891">
        <f ca="1">C29</f>
        <v>874</v>
      </c>
      <c r="R49" s="1891" t="s">
        <v>1530</v>
      </c>
    </row>
    <row r="50" spans="1:18" s="1847" customFormat="1" ht="13.5" thickBot="1">
      <c r="A50" s="1199"/>
      <c r="B50" s="1202"/>
      <c r="C50" s="1372"/>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5923</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39.020000000000003</v>
      </c>
      <c r="R52" s="1891" t="s">
        <v>1547</v>
      </c>
    </row>
    <row r="53" spans="1:18" s="1847" customFormat="1" ht="24.75" thickBot="1">
      <c r="A53" s="1409" t="s">
        <v>1137</v>
      </c>
      <c r="B53" s="1836" t="s">
        <v>1410</v>
      </c>
      <c r="C53" s="362">
        <f ca="1">ROUND(IF(F53="押一",F49*F51*F50/12*F11,IF(F53="押二",F49*F51*F50/12*2*F11,IF(F53="押三",F49*F51*F50/12*3*F11,C54*F11)))/10000,0)</f>
        <v>1</v>
      </c>
      <c r="D53" s="1829" t="s">
        <v>3036</v>
      </c>
      <c r="E53" s="359" t="s">
        <v>1412</v>
      </c>
      <c r="F53" s="1370" t="s">
        <v>3203</v>
      </c>
      <c r="I53" s="1910" t="s">
        <v>1548</v>
      </c>
      <c r="J53" s="1911">
        <f ca="1">IF(M47="住宅",J51,IF(D1="——",MIN(J51,L48),IF(D1="在建（套用方法）",MIN(J51,L48-'数据-取费表'!B24),IF(D1="土地（套用方法）",MIN(J51,L48-'数据-取费表'!B20)))))</f>
        <v>39.020000000000003</v>
      </c>
      <c r="K53" s="3267" t="s">
        <v>1549</v>
      </c>
      <c r="L53" s="3268"/>
      <c r="O53" s="1889" t="s">
        <v>1046</v>
      </c>
      <c r="P53" s="1890" t="s">
        <v>1550</v>
      </c>
      <c r="Q53" s="1891">
        <f ca="1">Q47+Q48</f>
        <v>7527</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743</v>
      </c>
      <c r="D56" s="1919"/>
      <c r="E56" s="1920"/>
      <c r="F56" s="1912"/>
      <c r="I56" s="1921" t="s">
        <v>1555</v>
      </c>
      <c r="J56" s="1922" t="s">
        <v>3055</v>
      </c>
      <c r="K56" s="1892" t="s">
        <v>1556</v>
      </c>
      <c r="L56" s="1895" t="str">
        <f ca="1">IF(L48&lt;J51,"——",L48-J53)</f>
        <v>——</v>
      </c>
      <c r="O56" s="1889" t="s">
        <v>1040</v>
      </c>
      <c r="P56" s="1890" t="s">
        <v>1529</v>
      </c>
      <c r="Q56" s="1891">
        <f ca="1">C40+J29</f>
        <v>7515</v>
      </c>
      <c r="R56" s="1891" t="s">
        <v>1530</v>
      </c>
    </row>
    <row r="57" spans="1:18" s="1847" customFormat="1" ht="24.75" thickBot="1">
      <c r="A57" s="1923"/>
      <c r="B57" s="1173" t="s">
        <v>1479</v>
      </c>
      <c r="C57" s="283">
        <f ca="1">C29</f>
        <v>874</v>
      </c>
      <c r="D57" s="1924"/>
      <c r="E57" s="1925"/>
      <c r="F57" s="1926"/>
      <c r="I57" s="1927" t="s">
        <v>1557</v>
      </c>
      <c r="J57" s="1928">
        <f ca="1">IF(OR(M47="住宅",J51&lt;L48,J56="是"),"——",J51-L48)</f>
        <v>11.979999999999997</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59</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31.2</v>
      </c>
      <c r="D59" s="1186" t="s">
        <v>1431</v>
      </c>
      <c r="E59" s="1187" t="s">
        <v>1432</v>
      </c>
      <c r="F59" s="369" t="str">
        <f ca="1">IF(项目基本情况!B11="企业","",IF(INDIRECT("'数据-取费表'!c"&amp;$G$1)="住宅",5%,IF(F49*F50*F51/12/(1+'数据-取费表'!C42)&gt;20000,12%,7%)))</f>
        <v/>
      </c>
      <c r="I59" s="1927" t="s">
        <v>1564</v>
      </c>
      <c r="J59" s="1928">
        <f ca="1">IF(OR(M47="住宅",J51&lt;L48,J56="是"),"——",ROUND(C29*J58,0))</f>
        <v>350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23.84</v>
      </c>
      <c r="D60" s="1187" t="s">
        <v>1435</v>
      </c>
      <c r="E60" s="1173" t="s">
        <v>1423</v>
      </c>
      <c r="F60" s="378">
        <f t="shared" ref="F60:F66" si="0">F32</f>
        <v>5.6000000000000001E-2</v>
      </c>
      <c r="I60" s="1930" t="s">
        <v>1566</v>
      </c>
      <c r="J60" s="1931">
        <f ca="1">IF(OR(M47="住宅",J51&lt;L48,J56="是"),"0",ROUND(J59/(1+J52)^J53,0))</f>
        <v>12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7.34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7515</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17.5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1.5</v>
      </c>
      <c r="D65" s="1187" t="s">
        <v>1455</v>
      </c>
      <c r="E65" s="1173" t="s">
        <v>1456</v>
      </c>
      <c r="F65" s="377">
        <f t="shared" ca="1" si="0"/>
        <v>2E-3</v>
      </c>
      <c r="I65" s="1934" t="s">
        <v>1580</v>
      </c>
      <c r="J65" s="1935">
        <v>40</v>
      </c>
      <c r="K65" s="1935">
        <v>30</v>
      </c>
      <c r="L65" s="1935">
        <v>50</v>
      </c>
      <c r="M65" s="1937">
        <v>0.02</v>
      </c>
      <c r="O65" s="1889" t="s">
        <v>1040</v>
      </c>
      <c r="P65" s="1890" t="s">
        <v>1581</v>
      </c>
      <c r="Q65" s="1891">
        <f ca="1">C40+J29</f>
        <v>7515</v>
      </c>
      <c r="R65" s="1891" t="s">
        <v>1530</v>
      </c>
    </row>
    <row r="66" spans="1:18" s="1847" customFormat="1" ht="16.5" thickBot="1">
      <c r="A66" s="1205" t="s">
        <v>1505</v>
      </c>
      <c r="B66" s="1173" t="s">
        <v>1440</v>
      </c>
      <c r="C66" s="24">
        <f ca="1">ROUND(C48*F66,1)</f>
        <v>8.9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388</v>
      </c>
      <c r="D67" s="1186" t="s">
        <v>1465</v>
      </c>
      <c r="E67" s="1191"/>
      <c r="F67" s="1192"/>
      <c r="O67" s="1899" t="s">
        <v>1042</v>
      </c>
      <c r="P67" s="1890" t="s">
        <v>1563</v>
      </c>
      <c r="Q67" s="1938">
        <f ca="1">L51</f>
        <v>5923</v>
      </c>
      <c r="R67" s="1891" t="s">
        <v>1583</v>
      </c>
    </row>
    <row r="68" spans="1:18" s="1847" customFormat="1" ht="16.5" thickBot="1">
      <c r="A68" s="1170" t="s">
        <v>1032</v>
      </c>
      <c r="B68" s="1171" t="s">
        <v>1486</v>
      </c>
      <c r="C68" s="347">
        <f ca="1">ROUND(C67*(1-((1+F70)/(1+F68))^F69)/(F68-F70),0)</f>
        <v>874</v>
      </c>
      <c r="D68" s="1188" t="s">
        <v>1470</v>
      </c>
      <c r="E68" s="1173" t="s">
        <v>1471</v>
      </c>
      <c r="F68" s="358">
        <f ca="1">F40</f>
        <v>5.5E-2</v>
      </c>
      <c r="O68" s="1899" t="s">
        <v>1043</v>
      </c>
      <c r="P68" s="1939" t="s">
        <v>1584</v>
      </c>
      <c r="Q68" s="1891">
        <f ca="1">ROUND(Q69-Q70*Q71,0)</f>
        <v>325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388</v>
      </c>
      <c r="R69" s="1891" t="s">
        <v>1530</v>
      </c>
    </row>
    <row r="70" spans="1:18" s="1847" customFormat="1" ht="13.5" thickBot="1">
      <c r="A70" s="1177"/>
      <c r="B70" s="1178"/>
      <c r="C70" s="356"/>
      <c r="D70" s="1189"/>
      <c r="E70" s="1173" t="s">
        <v>1478</v>
      </c>
      <c r="F70" s="1279">
        <f ca="1">F42</f>
        <v>0</v>
      </c>
      <c r="O70" s="1899" t="s">
        <v>1049</v>
      </c>
      <c r="P70" s="1939" t="s">
        <v>1586</v>
      </c>
      <c r="Q70" s="1891">
        <f ca="1">C13</f>
        <v>743</v>
      </c>
      <c r="R70" s="1891" t="s">
        <v>1530</v>
      </c>
    </row>
    <row r="71" spans="1:18" s="1847" customFormat="1" ht="13.5" thickBot="1">
      <c r="A71" s="1194" t="s">
        <v>1033</v>
      </c>
      <c r="B71" s="1195" t="s">
        <v>1488</v>
      </c>
      <c r="C71" s="383">
        <f ca="1">ROUND(C68*10000/F71,0)</f>
        <v>4476</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v>
      </c>
      <c r="D75" s="1847"/>
      <c r="E75" s="1847"/>
      <c r="F75" s="1847"/>
      <c r="K75" s="1873"/>
      <c r="L75" s="1847"/>
      <c r="O75" s="1889" t="s">
        <v>1046</v>
      </c>
      <c r="P75" s="1890" t="s">
        <v>1550</v>
      </c>
      <c r="Q75" s="1891">
        <f ca="1">Q65+Q66</f>
        <v>7515</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0.15000000000000002</v>
      </c>
    </row>
    <row r="83" spans="2:3">
      <c r="B83" s="318" t="s">
        <v>1515</v>
      </c>
      <c r="C83" s="319">
        <f ca="1">ROUND(C13/C40,3)</f>
        <v>0.85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43" zoomScale="90" zoomScaleNormal="90" zoomScaleSheetLayoutView="90" workbookViewId="0">
      <selection activeCell="O25" sqref="O2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f ca="1">ROUND(D2/10000,0)</f>
        <v>7524</v>
      </c>
      <c r="C2" s="1850" t="s">
        <v>1592</v>
      </c>
      <c r="D2" s="1943">
        <f ca="1">C40+J29+L46</f>
        <v>75238363</v>
      </c>
      <c r="E2" s="1851" t="s">
        <v>1593</v>
      </c>
      <c r="F2" s="1852"/>
      <c r="G2" s="1853"/>
      <c r="H2" s="1845"/>
      <c r="I2" s="1845"/>
      <c r="J2" s="1845"/>
      <c r="K2" s="1846"/>
      <c r="L2" s="1845"/>
      <c r="M2" s="1845"/>
    </row>
    <row r="3" spans="1:37" ht="18" customHeight="1" thickBot="1">
      <c r="A3" s="1854" t="s">
        <v>1594</v>
      </c>
      <c r="B3" s="1855">
        <f ca="1">IF(ISERROR(D2/F43),0,ROUND(D2/F43,0))</f>
        <v>38529</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4467438</v>
      </c>
      <c r="D5" s="1827" t="s">
        <v>1602</v>
      </c>
      <c r="E5" s="1297"/>
      <c r="F5" s="1298"/>
      <c r="G5" s="1856"/>
      <c r="H5" s="345">
        <v>1</v>
      </c>
      <c r="I5" s="346" t="s">
        <v>1601</v>
      </c>
      <c r="J5" s="1296">
        <f ca="1">J6+J10+J12</f>
        <v>4046947</v>
      </c>
      <c r="K5" s="1827" t="s">
        <v>1602</v>
      </c>
      <c r="L5" s="1297"/>
      <c r="M5" s="1298"/>
    </row>
    <row r="6" spans="1:37" ht="18" customHeight="1">
      <c r="A6" s="1295" t="s">
        <v>1035</v>
      </c>
      <c r="B6" s="3269" t="s">
        <v>1404</v>
      </c>
      <c r="C6" s="1300">
        <f ca="1">ROUND(F6*F8*F7*(1-F9),0)</f>
        <v>4461861</v>
      </c>
      <c r="D6" s="165" t="s">
        <v>3030</v>
      </c>
      <c r="E6" s="348" t="s">
        <v>1406</v>
      </c>
      <c r="F6" s="349">
        <f ca="1">INDIRECT("'数据-取费表'!u"&amp;$G$1)</f>
        <v>6.26</v>
      </c>
      <c r="G6" s="1856"/>
      <c r="H6" s="1295" t="s">
        <v>1035</v>
      </c>
      <c r="I6" s="3269" t="s">
        <v>1404</v>
      </c>
      <c r="J6" s="347">
        <f ca="1">ROUND(M6*M8*M7*(1-M9),0)</f>
        <v>4041334</v>
      </c>
      <c r="K6" s="1839" t="s">
        <v>3033</v>
      </c>
      <c r="L6" s="348" t="s">
        <v>1406</v>
      </c>
      <c r="M6" s="349">
        <f ca="1">INDIRECT("'数据-取费表'!z"&amp;$G$1)</f>
        <v>6.3</v>
      </c>
    </row>
    <row r="7" spans="1:37" ht="18" customHeight="1">
      <c r="A7" s="1299"/>
      <c r="B7" s="3270"/>
      <c r="C7" s="1301"/>
      <c r="D7" s="353"/>
      <c r="E7" s="1302" t="s">
        <v>1407</v>
      </c>
      <c r="F7" s="349">
        <f ca="1">IF(INDIRECT("'数据-取费表'!ah"&amp;$G$1)="",INDIRECT("'数据-取费表'!k"&amp;$G$1),INDIRECT("'数据-取费表'!ah"&amp;$G$1))</f>
        <v>1952.76</v>
      </c>
      <c r="G7" s="1856"/>
      <c r="H7" s="350"/>
      <c r="I7" s="3270"/>
      <c r="J7" s="352"/>
      <c r="K7" s="353"/>
      <c r="L7" s="348" t="s">
        <v>1407</v>
      </c>
      <c r="M7" s="349">
        <f ca="1">F7</f>
        <v>1952.76</v>
      </c>
    </row>
    <row r="8" spans="1:37" ht="18" customHeight="1">
      <c r="A8" s="350"/>
      <c r="B8" s="3270"/>
      <c r="C8" s="352"/>
      <c r="D8" s="353"/>
      <c r="E8" s="348" t="s">
        <v>1408</v>
      </c>
      <c r="F8" s="349">
        <f ca="1">INDIRECT("'数据-取费表'!ai"&amp;$G$1)</f>
        <v>365</v>
      </c>
      <c r="G8" s="1856"/>
      <c r="H8" s="350"/>
      <c r="I8" s="3270"/>
      <c r="J8" s="352"/>
      <c r="K8" s="353"/>
      <c r="L8" s="348" t="s">
        <v>1408</v>
      </c>
      <c r="M8" s="349">
        <f ca="1">INDIRECT("'数据-取费表'!ai"&amp;$G$1)</f>
        <v>365</v>
      </c>
    </row>
    <row r="9" spans="1:37" ht="18" customHeight="1">
      <c r="A9" s="350"/>
      <c r="B9" s="3271"/>
      <c r="C9" s="352"/>
      <c r="D9" s="353"/>
      <c r="E9" s="348" t="s">
        <v>1409</v>
      </c>
      <c r="F9" s="358">
        <f ca="1">INDIRECT("'数据-取费表'!w"&amp;$G$1)</f>
        <v>0</v>
      </c>
      <c r="G9" s="1856"/>
      <c r="H9" s="350"/>
      <c r="I9" s="3271"/>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5577</v>
      </c>
      <c r="D10" s="1829" t="s">
        <v>3031</v>
      </c>
      <c r="E10" s="359" t="s">
        <v>1412</v>
      </c>
      <c r="F10" s="1370" t="s">
        <v>3203</v>
      </c>
      <c r="G10" s="1856"/>
      <c r="H10" s="1295" t="s">
        <v>1039</v>
      </c>
      <c r="I10" s="1828" t="s">
        <v>1410</v>
      </c>
      <c r="J10" s="347">
        <f ca="1">ROUND(IF(M10="押一",M6*M8*M7/12*M11,IF(M10="押二",M6*M8*M7/12*2*M11,IF(M10="押三",M6*M8*M7/12*3*M11,J11*M11))),0)</f>
        <v>5613</v>
      </c>
      <c r="K10" s="1840" t="s">
        <v>3032</v>
      </c>
      <c r="L10" s="359" t="s">
        <v>1412</v>
      </c>
      <c r="M10" s="1370" t="s">
        <v>3203</v>
      </c>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7412986</v>
      </c>
      <c r="D13" s="1335" t="s">
        <v>1416</v>
      </c>
      <c r="E13" s="1335" t="s">
        <v>1417</v>
      </c>
      <c r="F13" s="1336">
        <f ca="1">INDIRECT("'数据-取费表'!y"&amp;$G$1)</f>
        <v>0.85</v>
      </c>
      <c r="G13" s="1856"/>
      <c r="H13" s="1333">
        <v>2</v>
      </c>
      <c r="I13" s="1334" t="s">
        <v>1415</v>
      </c>
      <c r="J13" s="1294">
        <f ca="1">ROUND(J14*J15,0)</f>
        <v>6976928</v>
      </c>
      <c r="K13" s="1341" t="s">
        <v>1416</v>
      </c>
      <c r="L13" s="1857"/>
      <c r="M13" s="1858"/>
    </row>
    <row r="14" spans="1:37" ht="18" customHeight="1">
      <c r="A14" s="1205" t="s">
        <v>1034</v>
      </c>
      <c r="B14" s="348" t="s">
        <v>1418</v>
      </c>
      <c r="C14" s="364">
        <f ca="1">ROUND(INDIRECT("'数据-取费表'!l"&amp;$G$1)*F43+'数据-取费表'!L14*INDIRECT("'数据-取费表'!S"&amp;$G$1),0)</f>
        <v>5858280</v>
      </c>
      <c r="D14" s="1805" t="s">
        <v>1419</v>
      </c>
      <c r="E14" s="1799"/>
      <c r="F14" s="365"/>
      <c r="G14" s="1856"/>
      <c r="H14" s="1205" t="s">
        <v>1035</v>
      </c>
      <c r="I14" s="348" t="s">
        <v>1420</v>
      </c>
      <c r="J14" s="24">
        <f ca="1">C29</f>
        <v>8721160</v>
      </c>
      <c r="K14" s="15"/>
      <c r="L14" s="983"/>
      <c r="M14" s="984"/>
    </row>
    <row r="15" spans="1:37" s="1863" customFormat="1" ht="18" customHeight="1" thickBot="1">
      <c r="A15" s="1205" t="s">
        <v>1036</v>
      </c>
      <c r="B15" s="348" t="s">
        <v>1421</v>
      </c>
      <c r="C15" s="24">
        <f ca="1">ROUND(C14*F15,0)</f>
        <v>175748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558411</v>
      </c>
      <c r="K16" s="1341" t="s">
        <v>1426</v>
      </c>
      <c r="L16" s="1342"/>
      <c r="M16" s="1298"/>
    </row>
    <row r="17" spans="1:37" s="1863" customFormat="1" ht="18" customHeight="1">
      <c r="A17" s="1205" t="s">
        <v>1391</v>
      </c>
      <c r="B17" s="348" t="s">
        <v>1427</v>
      </c>
      <c r="C17" s="24">
        <f ca="1">ROUND(F17*(F43+INDIRECT("'数据-取费表'!S"&amp;$G$1)),0)</f>
        <v>195276</v>
      </c>
      <c r="D17" s="348" t="s">
        <v>1428</v>
      </c>
      <c r="E17" s="348" t="s">
        <v>1429</v>
      </c>
      <c r="F17" s="26">
        <f>'数据-取费表'!B35</f>
        <v>100</v>
      </c>
      <c r="G17" s="1859"/>
      <c r="H17" s="1205" t="s">
        <v>1035</v>
      </c>
      <c r="I17" s="348" t="s">
        <v>1430</v>
      </c>
      <c r="J17" s="24">
        <f ca="1">ROUND(IF(项目基本情况!B11="自然人",J5*M17,J18+J19+J20),0)</f>
        <v>289095</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87874</v>
      </c>
      <c r="D18" s="348" t="s">
        <v>1422</v>
      </c>
      <c r="E18" s="348" t="s">
        <v>1423</v>
      </c>
      <c r="F18" s="368">
        <f>'数据-取费表'!B36</f>
        <v>1.4999999999999999E-2</v>
      </c>
      <c r="G18" s="1859"/>
      <c r="H18" s="1205" t="s">
        <v>1034</v>
      </c>
      <c r="I18" s="348" t="s">
        <v>1434</v>
      </c>
      <c r="J18" s="24">
        <f ca="1">ROUND(J5*M18/(1+'数据-取费表'!C42),0)</f>
        <v>215837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6317178</v>
      </c>
      <c r="D19" s="140" t="s">
        <v>1437</v>
      </c>
      <c r="E19" s="1823"/>
      <c r="F19" s="26"/>
      <c r="G19" s="1856"/>
      <c r="H19" s="1205" t="s">
        <v>1036</v>
      </c>
      <c r="I19" s="348" t="s">
        <v>1438</v>
      </c>
      <c r="J19" s="24">
        <f ca="1">IF(K19="按租金收入计税",ROUND(J5*M19,0),ROUND(C29*M19*0.7,0))</f>
        <v>73258</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126344</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174423</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306067</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13954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80939</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3488536</v>
      </c>
      <c r="K25" s="1349" t="s">
        <v>1465</v>
      </c>
      <c r="L25" s="1350"/>
      <c r="M25" s="1351"/>
    </row>
    <row r="26" spans="1:37" ht="18" customHeight="1">
      <c r="A26" s="1205" t="s">
        <v>1034</v>
      </c>
      <c r="B26" s="348" t="s">
        <v>1466</v>
      </c>
      <c r="C26" s="24">
        <f ca="1">ROUND((C19+C20)*F26,0)</f>
        <v>1288704</v>
      </c>
      <c r="D26" s="370" t="s">
        <v>1467</v>
      </c>
      <c r="E26" s="359" t="s">
        <v>1468</v>
      </c>
      <c r="F26" s="358">
        <f ca="1">INDIRECT("'数据-取费表'!q"&amp;$G$1)</f>
        <v>0.2</v>
      </c>
      <c r="G26" s="1856"/>
      <c r="H26" s="345" t="s">
        <v>1032</v>
      </c>
      <c r="I26" s="346" t="s">
        <v>1469</v>
      </c>
      <c r="J26" s="347">
        <f ca="1">IF(J5&lt;&gt;0,ROUND(J25*(1-((1+M28)/(1+M26))^M27)/(M26-M28),0),0)</f>
        <v>75770840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8721160</v>
      </c>
      <c r="D29" s="1346"/>
      <c r="E29" s="1344"/>
      <c r="F29" s="1347"/>
      <c r="G29" s="1859"/>
      <c r="H29" s="381" t="s">
        <v>1033</v>
      </c>
      <c r="I29" s="382" t="s">
        <v>1480</v>
      </c>
      <c r="J29" s="383">
        <f ca="1">ROUND(J26/(1+F40)^F41,0)</f>
        <v>66384781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590119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311521</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238263</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73258</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174423</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14826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89348.800000000003</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3877319</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8732730</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4472</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f ca="1">IF(M47="住宅",0,IF(L48&gt;J51,L60,J60))</f>
        <v>120852</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75117511</v>
      </c>
      <c r="R47" s="1891" t="s">
        <v>1530</v>
      </c>
    </row>
    <row r="48" spans="1:18" s="1847" customFormat="1" ht="28.5" thickBot="1">
      <c r="A48" s="1364" t="s">
        <v>1135</v>
      </c>
      <c r="B48" s="346" t="s">
        <v>1402</v>
      </c>
      <c r="C48" s="1822">
        <f ca="1">C49+C53+C55</f>
        <v>4467438</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120852</v>
      </c>
      <c r="R48" s="1891" t="s">
        <v>1534</v>
      </c>
    </row>
    <row r="49" spans="1:18" s="1847" customFormat="1" ht="13.5" thickBot="1">
      <c r="A49" s="1198" t="s">
        <v>1136</v>
      </c>
      <c r="B49" s="1834" t="s">
        <v>1491</v>
      </c>
      <c r="C49" s="1368">
        <f ca="1">ROUND(F49*F51*F50*(1-F52),0)</f>
        <v>4461861</v>
      </c>
      <c r="D49" s="1280" t="s">
        <v>1405</v>
      </c>
      <c r="E49" s="1835" t="s">
        <v>1492</v>
      </c>
      <c r="F49" s="1285">
        <f ca="1">F6</f>
        <v>6.26</v>
      </c>
      <c r="G49" s="1896"/>
      <c r="H49" s="794"/>
      <c r="I49" s="1892" t="s">
        <v>1535</v>
      </c>
      <c r="J49" s="1897">
        <v>2008</v>
      </c>
      <c r="K49" s="1894" t="s">
        <v>1536</v>
      </c>
      <c r="L49" s="1898"/>
      <c r="O49" s="1899" t="s">
        <v>1042</v>
      </c>
      <c r="P49" s="1890" t="s">
        <v>1537</v>
      </c>
      <c r="Q49" s="1891">
        <f ca="1">C29</f>
        <v>8721160</v>
      </c>
      <c r="R49" s="1891" t="s">
        <v>1530</v>
      </c>
    </row>
    <row r="50" spans="1:18" s="1847" customFormat="1" ht="13.5" thickBot="1">
      <c r="A50" s="1199"/>
      <c r="B50" s="1202"/>
      <c r="C50" s="1203"/>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59207023</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39.020000000000003</v>
      </c>
      <c r="R52" s="1891" t="s">
        <v>1547</v>
      </c>
    </row>
    <row r="53" spans="1:18" s="1847" customFormat="1" ht="30.75" customHeight="1" thickBot="1">
      <c r="A53" s="1365" t="s">
        <v>1137</v>
      </c>
      <c r="B53" s="370" t="s">
        <v>1410</v>
      </c>
      <c r="C53" s="362">
        <f ca="1">ROUND(IF(F53="押一",F49*F51*F50/12*F11,IF(F53="押二",F49*F51*F50/12*2*F11,IF(F53="押三",F49*F51*F50/12*3*F11,C54*F11))),0)</f>
        <v>5577</v>
      </c>
      <c r="D53" s="1829" t="s">
        <v>1411</v>
      </c>
      <c r="E53" s="359" t="s">
        <v>1412</v>
      </c>
      <c r="F53" s="1370" t="s">
        <v>3203</v>
      </c>
      <c r="I53" s="1910" t="s">
        <v>1548</v>
      </c>
      <c r="J53" s="1911">
        <f ca="1">IF(M47="住宅",J51,IF(D1="——",MIN(J51,L48),IF(D1="在建（套用方法）",MIN(J51,L48-'数据-取费表'!B24),IF(D1="土地（套用方法）",MIN(J51,L48-'数据-取费表'!B20)))))</f>
        <v>39.020000000000003</v>
      </c>
      <c r="K53" s="3267" t="s">
        <v>1549</v>
      </c>
      <c r="L53" s="3268"/>
      <c r="O53" s="1889" t="s">
        <v>1046</v>
      </c>
      <c r="P53" s="1890" t="s">
        <v>1550</v>
      </c>
      <c r="Q53" s="1891">
        <f ca="1">Q47+Q48</f>
        <v>75238363</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7412986</v>
      </c>
      <c r="D56" s="1919"/>
      <c r="E56" s="1920"/>
      <c r="F56" s="1912"/>
      <c r="I56" s="1921" t="s">
        <v>1555</v>
      </c>
      <c r="J56" s="1922" t="s">
        <v>3055</v>
      </c>
      <c r="K56" s="1892" t="s">
        <v>1556</v>
      </c>
      <c r="L56" s="1895" t="str">
        <f ca="1">IF(L48&lt;J51,"——",L48-J51)</f>
        <v>——</v>
      </c>
      <c r="O56" s="1889" t="s">
        <v>1040</v>
      </c>
      <c r="P56" s="1890" t="s">
        <v>1529</v>
      </c>
      <c r="Q56" s="1891">
        <f ca="1">C40+J29</f>
        <v>75117511</v>
      </c>
      <c r="R56" s="1891" t="s">
        <v>1530</v>
      </c>
    </row>
    <row r="57" spans="1:18" s="1847" customFormat="1" ht="24.75" thickBot="1">
      <c r="A57" s="1923"/>
      <c r="B57" s="1173" t="s">
        <v>1479</v>
      </c>
      <c r="C57" s="283">
        <f ca="1">C29</f>
        <v>8721160</v>
      </c>
      <c r="D57" s="1924"/>
      <c r="E57" s="1925"/>
      <c r="F57" s="1926"/>
      <c r="I57" s="1927" t="s">
        <v>1557</v>
      </c>
      <c r="J57" s="1928">
        <f ca="1">IF(OR(M47="住宅",J51&lt;L48,J56="是"),"——",J51-L48)</f>
        <v>11.979999999999997</v>
      </c>
      <c r="K57" s="1892" t="s">
        <v>1606</v>
      </c>
      <c r="L57" s="1895" t="str">
        <f ca="1">IF(L48&lt;J51,"——",IF(L55="比较法",L49,IF(L55="基准地价",L50,L51)))</f>
        <v>——</v>
      </c>
      <c r="O57" s="1889" t="s">
        <v>1041</v>
      </c>
      <c r="P57" s="1890" t="s">
        <v>1607</v>
      </c>
      <c r="Q57" s="1891">
        <f ca="1">L60</f>
        <v>0</v>
      </c>
      <c r="R57" s="1891" t="s">
        <v>1608</v>
      </c>
    </row>
    <row r="58" spans="1:18" s="1847" customFormat="1" ht="24.75" thickBot="1">
      <c r="A58" s="361" t="s">
        <v>1030</v>
      </c>
      <c r="B58" s="1181" t="s">
        <v>1425</v>
      </c>
      <c r="C58" s="362">
        <f ca="1">ROUND(C59+C64+C65+C66,0)</f>
        <v>590119</v>
      </c>
      <c r="D58" s="1183" t="s">
        <v>1426</v>
      </c>
      <c r="E58" s="1184"/>
      <c r="F58" s="1185"/>
      <c r="I58" s="1927" t="s">
        <v>1561</v>
      </c>
      <c r="J58" s="1929">
        <f ca="1">IF(J55&lt;0.4,0.4,J55)</f>
        <v>0.4</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311521</v>
      </c>
      <c r="D59" s="1186" t="s">
        <v>1431</v>
      </c>
      <c r="E59" s="1187" t="s">
        <v>1432</v>
      </c>
      <c r="F59" s="369" t="str">
        <f ca="1">IF(项目基本情况!B11="企业","",IF(INDIRECT("'数据-取费表'!c"&amp;$G$1)="住宅",5%,IF(F49*F50*F51/12/(1+'数据-取费表'!C42)&gt;20000,12%,7%)))</f>
        <v/>
      </c>
      <c r="I59" s="1927" t="s">
        <v>1564</v>
      </c>
      <c r="J59" s="1928">
        <f ca="1">IF(OR(M47="住宅",J51&lt;L48,J56="是"),"——",ROUND(C29*J58,0))</f>
        <v>3488464</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238263</v>
      </c>
      <c r="D60" s="1187" t="s">
        <v>1435</v>
      </c>
      <c r="E60" s="1173" t="s">
        <v>1423</v>
      </c>
      <c r="F60" s="378">
        <f t="shared" ref="F60:F66" si="0">F32</f>
        <v>5.6000000000000001E-2</v>
      </c>
      <c r="I60" s="1930" t="s">
        <v>1566</v>
      </c>
      <c r="J60" s="1931">
        <f ca="1">IF(OR(M47="住宅",J51&lt;L48,J56="是"),"0",ROUND(J59/(1+J52)^J53,0))</f>
        <v>120852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73258</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75117511</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174423</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14826</v>
      </c>
      <c r="D65" s="1187" t="s">
        <v>1455</v>
      </c>
      <c r="E65" s="1173" t="s">
        <v>1456</v>
      </c>
      <c r="F65" s="377">
        <f t="shared" ca="1" si="0"/>
        <v>2E-3</v>
      </c>
      <c r="I65" s="1934" t="s">
        <v>1580</v>
      </c>
      <c r="J65" s="1935">
        <v>40</v>
      </c>
      <c r="K65" s="1935">
        <v>30</v>
      </c>
      <c r="L65" s="1935">
        <v>50</v>
      </c>
      <c r="M65" s="1937">
        <v>0.02</v>
      </c>
      <c r="O65" s="1889" t="s">
        <v>1040</v>
      </c>
      <c r="P65" s="1890" t="s">
        <v>1581</v>
      </c>
      <c r="Q65" s="1891">
        <f ca="1">C40+J29</f>
        <v>75117511</v>
      </c>
      <c r="R65" s="1891" t="s">
        <v>1530</v>
      </c>
    </row>
    <row r="66" spans="1:18" s="1847" customFormat="1" ht="16.5" thickBot="1">
      <c r="A66" s="1205" t="s">
        <v>1505</v>
      </c>
      <c r="B66" s="1173" t="s">
        <v>1440</v>
      </c>
      <c r="C66" s="24">
        <f ca="1">ROUND(C48*F66,0)</f>
        <v>89349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3877319</v>
      </c>
      <c r="D67" s="1186" t="s">
        <v>1465</v>
      </c>
      <c r="E67" s="1191"/>
      <c r="F67" s="1192"/>
      <c r="O67" s="1899" t="s">
        <v>1042</v>
      </c>
      <c r="P67" s="1890" t="s">
        <v>1563</v>
      </c>
      <c r="Q67" s="1938">
        <f ca="1">L51</f>
        <v>59207023</v>
      </c>
      <c r="R67" s="1891" t="s">
        <v>1583</v>
      </c>
    </row>
    <row r="68" spans="1:18" s="1847" customFormat="1" ht="16.5" thickBot="1">
      <c r="A68" s="1170" t="s">
        <v>1032</v>
      </c>
      <c r="B68" s="1171" t="s">
        <v>1486</v>
      </c>
      <c r="C68" s="347">
        <f ca="1">ROUND(C67*(1-((1+F70)/(1+F68))^F69)/(F68-F70),0)</f>
        <v>8732730</v>
      </c>
      <c r="D68" s="1188" t="s">
        <v>1470</v>
      </c>
      <c r="E68" s="1173" t="s">
        <v>1471</v>
      </c>
      <c r="F68" s="358">
        <f ca="1">F40</f>
        <v>5.5E-2</v>
      </c>
      <c r="O68" s="1899" t="s">
        <v>1043</v>
      </c>
      <c r="P68" s="1939" t="s">
        <v>1584</v>
      </c>
      <c r="Q68" s="1891">
        <f ca="1">ROUND(Q69-Q70*Q71,0)</f>
        <v>3247215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3877319</v>
      </c>
      <c r="R69" s="1891" t="s">
        <v>1530</v>
      </c>
    </row>
    <row r="70" spans="1:18" s="1847" customFormat="1" ht="13.5" thickBot="1">
      <c r="A70" s="1177"/>
      <c r="B70" s="1178"/>
      <c r="C70" s="356"/>
      <c r="D70" s="1189"/>
      <c r="E70" s="1173" t="s">
        <v>1478</v>
      </c>
      <c r="F70" s="1279">
        <v>0</v>
      </c>
      <c r="O70" s="1899" t="s">
        <v>1049</v>
      </c>
      <c r="P70" s="1939" t="s">
        <v>1586</v>
      </c>
      <c r="Q70" s="1891">
        <f ca="1">C13</f>
        <v>7412986</v>
      </c>
      <c r="R70" s="1891" t="s">
        <v>1530</v>
      </c>
    </row>
    <row r="71" spans="1:18" s="1847" customFormat="1" ht="13.5" thickBot="1">
      <c r="A71" s="1194" t="s">
        <v>1033</v>
      </c>
      <c r="B71" s="1195" t="s">
        <v>1488</v>
      </c>
      <c r="C71" s="383">
        <f ca="1">ROUND(C68/F71,0)</f>
        <v>4472</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630104</v>
      </c>
      <c r="D75" s="1847"/>
      <c r="E75" s="1847"/>
      <c r="F75" s="1847"/>
      <c r="K75" s="1873"/>
      <c r="L75" s="1847"/>
      <c r="O75" s="1889" t="s">
        <v>1046</v>
      </c>
      <c r="P75" s="1890" t="s">
        <v>1550</v>
      </c>
      <c r="Q75" s="1891">
        <f ca="1">Q65+Q66</f>
        <v>75117511</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0.83699999999999997</v>
      </c>
    </row>
    <row r="80" spans="1:18">
      <c r="B80" s="387" t="s">
        <v>1512</v>
      </c>
      <c r="C80" s="319">
        <f ca="1">ROUND(C75/C39,3)</f>
        <v>0.16300000000000001</v>
      </c>
    </row>
    <row r="81" spans="2:3">
      <c r="B81" s="315" t="s">
        <v>1513</v>
      </c>
      <c r="C81" s="283"/>
    </row>
    <row r="82" spans="2:3">
      <c r="B82" s="318" t="s">
        <v>1514</v>
      </c>
      <c r="C82" s="320">
        <f ca="1">1-C83</f>
        <v>0.15100000000000002</v>
      </c>
    </row>
    <row r="83" spans="2:3">
      <c r="B83" s="318" t="s">
        <v>1515</v>
      </c>
      <c r="C83" s="319">
        <f ca="1">ROUND(C13/C40,3)</f>
        <v>0.84899999999999998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2527</v>
      </c>
      <c r="B1" s="2569"/>
      <c r="C1" s="2569"/>
      <c r="D1" s="2569"/>
      <c r="E1" s="2570"/>
    </row>
    <row r="2" spans="1:6" ht="15.75">
      <c r="A2" s="2571" t="s">
        <v>2328</v>
      </c>
      <c r="B2" s="2572">
        <f ca="1">SUMIF(B6:B13,"&lt;&gt;#ref!",B6:B13)</f>
        <v>7524</v>
      </c>
      <c r="C2" s="2573" t="s">
        <v>2520</v>
      </c>
      <c r="D2" s="2574" t="s">
        <v>2521</v>
      </c>
      <c r="E2" s="2575">
        <f>SUM(E6:E13)</f>
        <v>1952.76</v>
      </c>
    </row>
    <row r="3" spans="1:6" ht="15.75">
      <c r="A3" s="2571" t="s">
        <v>1396</v>
      </c>
      <c r="B3" s="2572">
        <f ca="1">ROUND(B2*10000/E2,0)</f>
        <v>38530</v>
      </c>
      <c r="C3" s="2573" t="s">
        <v>2528</v>
      </c>
      <c r="D3" s="2576"/>
      <c r="E3" s="2577"/>
    </row>
    <row r="4" spans="1:6" ht="15.75">
      <c r="A4" s="2578"/>
      <c r="B4" s="2576"/>
      <c r="C4" s="2576"/>
      <c r="D4" s="2576"/>
      <c r="E4" s="2577"/>
    </row>
    <row r="5" spans="1:6" ht="15">
      <c r="A5" s="2579" t="s">
        <v>2522</v>
      </c>
      <c r="B5" s="3272" t="s">
        <v>2523</v>
      </c>
      <c r="C5" s="3272"/>
      <c r="D5" s="2580"/>
      <c r="E5" s="2581" t="s">
        <v>2524</v>
      </c>
      <c r="F5" s="2582" t="s">
        <v>2525</v>
      </c>
    </row>
    <row r="6" spans="1:6">
      <c r="A6" s="2583" t="str">
        <f>'数据-取费表'!AN6</f>
        <v>收益法 (元)</v>
      </c>
      <c r="B6" s="2582">
        <f ca="1">IF(F6="是",'数据-取费表'!AO6,0)</f>
        <v>7524</v>
      </c>
      <c r="C6" s="2573" t="s">
        <v>2520</v>
      </c>
      <c r="D6" s="2576"/>
      <c r="E6" s="2584">
        <f>IF(OR(A6=0,F6="否"),0,'数据-取费表'!K6+'数据-取费表'!S6)</f>
        <v>1952.76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305" t="s">
        <v>1079</v>
      </c>
      <c r="E2" s="1305" t="s">
        <v>1080</v>
      </c>
      <c r="F2" s="1305" t="s">
        <v>1081</v>
      </c>
      <c r="G2" s="1305" t="s">
        <v>1082</v>
      </c>
      <c r="H2" s="1305" t="s">
        <v>1083</v>
      </c>
      <c r="I2" s="1306" t="s">
        <v>1084</v>
      </c>
    </row>
    <row r="3" spans="1:9">
      <c r="A3" s="3279"/>
      <c r="B3" s="3280" t="s">
        <v>1085</v>
      </c>
      <c r="C3" s="3280"/>
      <c r="D3" s="1307"/>
      <c r="E3" s="1305"/>
      <c r="F3" s="1308"/>
      <c r="G3" s="1308"/>
      <c r="H3" s="1309"/>
      <c r="I3" s="1310">
        <f>ROUND(D3*E3*F3*G3*H3/10000,0)</f>
        <v>0</v>
      </c>
    </row>
    <row r="4" spans="1:9">
      <c r="A4" s="3279"/>
      <c r="B4" s="3280" t="s">
        <v>1086</v>
      </c>
      <c r="C4" s="3280"/>
      <c r="D4" s="1307"/>
      <c r="E4" s="1305"/>
      <c r="F4" s="1308"/>
      <c r="G4" s="1308"/>
      <c r="H4" s="1309"/>
      <c r="I4" s="1310">
        <f t="shared" ref="I4:I9" si="0">ROUND(D4*E4*F4*G4*H4/10000,0)</f>
        <v>0</v>
      </c>
    </row>
    <row r="5" spans="1:9">
      <c r="A5" s="3279"/>
      <c r="B5" s="3280" t="s">
        <v>1087</v>
      </c>
      <c r="C5" s="3280"/>
      <c r="D5" s="1307"/>
      <c r="E5" s="1305"/>
      <c r="F5" s="1308"/>
      <c r="G5" s="1308"/>
      <c r="H5" s="1309"/>
      <c r="I5" s="1310">
        <f t="shared" si="0"/>
        <v>0</v>
      </c>
    </row>
    <row r="6" spans="1:9">
      <c r="A6" s="3279"/>
      <c r="B6" s="3280" t="s">
        <v>1088</v>
      </c>
      <c r="C6" s="3280"/>
      <c r="D6" s="1307"/>
      <c r="E6" s="1305"/>
      <c r="F6" s="1308"/>
      <c r="G6" s="1308"/>
      <c r="H6" s="1309"/>
      <c r="I6" s="1310">
        <f t="shared" si="0"/>
        <v>0</v>
      </c>
    </row>
    <row r="7" spans="1:9">
      <c r="A7" s="3279"/>
      <c r="B7" s="3280" t="s">
        <v>1089</v>
      </c>
      <c r="C7" s="3280"/>
      <c r="D7" s="1307"/>
      <c r="E7" s="1305"/>
      <c r="F7" s="1308"/>
      <c r="G7" s="1308"/>
      <c r="H7" s="1309"/>
      <c r="I7" s="1310">
        <f t="shared" si="0"/>
        <v>0</v>
      </c>
    </row>
    <row r="8" spans="1:9">
      <c r="A8" s="3279"/>
      <c r="B8" s="3280" t="s">
        <v>1090</v>
      </c>
      <c r="C8" s="3280"/>
      <c r="D8" s="1307"/>
      <c r="E8" s="1305"/>
      <c r="F8" s="1308"/>
      <c r="G8" s="1308"/>
      <c r="H8" s="1309"/>
      <c r="I8" s="1310">
        <f t="shared" si="0"/>
        <v>0</v>
      </c>
    </row>
    <row r="9" spans="1:9">
      <c r="A9" s="3279"/>
      <c r="B9" s="3280" t="s">
        <v>1091</v>
      </c>
      <c r="C9" s="3280"/>
      <c r="D9" s="1307"/>
      <c r="E9" s="1305"/>
      <c r="F9" s="1308"/>
      <c r="G9" s="1308"/>
      <c r="H9" s="1309"/>
      <c r="I9" s="1310">
        <f t="shared" si="0"/>
        <v>0</v>
      </c>
    </row>
    <row r="10" spans="1:9">
      <c r="A10" s="3279"/>
      <c r="B10" s="3281" t="s">
        <v>1092</v>
      </c>
      <c r="C10" s="3281"/>
      <c r="D10" s="1311"/>
      <c r="E10" s="1311" t="e">
        <f>ROUND(D1*10000/D10/H9,0)</f>
        <v>#DIV/0!</v>
      </c>
      <c r="F10" s="1312"/>
      <c r="G10" s="1312"/>
      <c r="H10" s="1313"/>
      <c r="I10" s="1314">
        <f>SUM(I3:I9)</f>
        <v>0</v>
      </c>
    </row>
    <row r="11" spans="1:9" ht="14.25">
      <c r="A11" s="3279" t="s">
        <v>1093</v>
      </c>
      <c r="B11" s="3280" t="s">
        <v>1094</v>
      </c>
      <c r="C11" s="3280"/>
      <c r="D11" s="1307" t="s">
        <v>1095</v>
      </c>
      <c r="E11" s="1307" t="s">
        <v>1096</v>
      </c>
      <c r="F11" s="1308" t="s">
        <v>1097</v>
      </c>
      <c r="G11" s="1308" t="s">
        <v>1083</v>
      </c>
      <c r="H11" s="1315" t="s">
        <v>1098</v>
      </c>
      <c r="I11" s="1306" t="s">
        <v>1084</v>
      </c>
    </row>
    <row r="12" spans="1:9">
      <c r="A12" s="3279"/>
      <c r="B12" s="3280" t="s">
        <v>1099</v>
      </c>
      <c r="C12" s="3280"/>
      <c r="D12" s="1307"/>
      <c r="E12" s="1307"/>
      <c r="F12" s="1308"/>
      <c r="G12" s="1309"/>
      <c r="H12" s="1316"/>
      <c r="I12" s="1306">
        <f>ROUND(D12*E12*F12*G12/10000,0)</f>
        <v>0</v>
      </c>
    </row>
    <row r="13" spans="1:9">
      <c r="A13" s="3279"/>
      <c r="B13" s="3280" t="s">
        <v>1100</v>
      </c>
      <c r="C13" s="3280"/>
      <c r="D13" s="1307"/>
      <c r="E13" s="1307"/>
      <c r="F13" s="1308"/>
      <c r="G13" s="1309"/>
      <c r="H13" s="1316"/>
      <c r="I13" s="1306">
        <f>ROUND(D13*E13*F13*G13/10000,0)</f>
        <v>0</v>
      </c>
    </row>
    <row r="14" spans="1:9">
      <c r="A14" s="3279"/>
      <c r="B14" s="3280" t="s">
        <v>1101</v>
      </c>
      <c r="C14" s="3280"/>
      <c r="D14" s="1307"/>
      <c r="E14" s="1307"/>
      <c r="F14" s="1308"/>
      <c r="G14" s="1309"/>
      <c r="H14" s="1316"/>
      <c r="I14" s="1306">
        <f>ROUND(D14*E14*F14*G14/10000,0)</f>
        <v>0</v>
      </c>
    </row>
    <row r="15" spans="1:9">
      <c r="A15" s="3279"/>
      <c r="B15" s="3281" t="s">
        <v>1092</v>
      </c>
      <c r="C15" s="3281"/>
      <c r="D15" s="1311"/>
      <c r="E15" s="1311">
        <f>SUM(E12:E14)</f>
        <v>0</v>
      </c>
      <c r="F15" s="1312"/>
      <c r="G15" s="1309"/>
      <c r="H15" s="1316"/>
      <c r="I15" s="1317">
        <f>SUM(I12:I14)</f>
        <v>0</v>
      </c>
    </row>
    <row r="16" spans="1:9" ht="24">
      <c r="A16" s="3279" t="s">
        <v>1102</v>
      </c>
      <c r="B16" s="3280" t="s">
        <v>1103</v>
      </c>
      <c r="C16" s="3280"/>
      <c r="D16" s="1307" t="s">
        <v>1079</v>
      </c>
      <c r="E16" s="1318" t="s">
        <v>1104</v>
      </c>
      <c r="F16" s="1308" t="s">
        <v>1105</v>
      </c>
      <c r="G16" s="1309" t="s">
        <v>1083</v>
      </c>
      <c r="H16" s="1315" t="s">
        <v>1098</v>
      </c>
      <c r="I16" s="1306" t="s">
        <v>1084</v>
      </c>
    </row>
    <row r="17" spans="1:9" ht="14.25">
      <c r="A17" s="3279"/>
      <c r="B17" s="3280" t="s">
        <v>1106</v>
      </c>
      <c r="C17" s="3280"/>
      <c r="D17" s="1307"/>
      <c r="E17" s="1307"/>
      <c r="F17" s="1308"/>
      <c r="G17" s="1309"/>
      <c r="H17" s="1319"/>
      <c r="I17" s="1320">
        <f>ROUND(D17*E17*F17*G17/10000,0)</f>
        <v>0</v>
      </c>
    </row>
    <row r="18" spans="1:9" ht="14.25">
      <c r="A18" s="3279"/>
      <c r="B18" s="3280" t="s">
        <v>1107</v>
      </c>
      <c r="C18" s="3280"/>
      <c r="D18" s="1307"/>
      <c r="E18" s="1307"/>
      <c r="F18" s="1308"/>
      <c r="G18" s="1309"/>
      <c r="H18" s="1319"/>
      <c r="I18" s="1320">
        <f>ROUND(D18*E18*F18*G18/10000,0)</f>
        <v>0</v>
      </c>
    </row>
    <row r="19" spans="1:9" ht="14.25">
      <c r="A19" s="3279"/>
      <c r="B19" s="3280" t="s">
        <v>1108</v>
      </c>
      <c r="C19" s="3280"/>
      <c r="D19" s="1307"/>
      <c r="E19" s="1307"/>
      <c r="F19" s="1308"/>
      <c r="G19" s="1309"/>
      <c r="H19" s="1319"/>
      <c r="I19" s="1320">
        <f>ROUND(D19*E19*F19*G19/10000,0)</f>
        <v>0</v>
      </c>
    </row>
    <row r="20" spans="1:9">
      <c r="A20" s="3279"/>
      <c r="B20" s="3281" t="s">
        <v>1092</v>
      </c>
      <c r="C20" s="3281"/>
      <c r="D20" s="1311">
        <f>SUM(D17:D19)</f>
        <v>0</v>
      </c>
      <c r="E20" s="1311"/>
      <c r="F20" s="1312"/>
      <c r="G20" s="1309"/>
      <c r="H20" s="1316"/>
      <c r="I20" s="1317">
        <f>SUM(I17:I19)</f>
        <v>0</v>
      </c>
    </row>
    <row r="21" spans="1:9">
      <c r="A21" s="3279" t="s">
        <v>1109</v>
      </c>
      <c r="B21" s="3282"/>
      <c r="C21" s="3282"/>
      <c r="D21" s="3282"/>
      <c r="E21" s="3282"/>
      <c r="F21" s="3282"/>
      <c r="G21" s="3282"/>
      <c r="H21" s="1770">
        <v>0.1</v>
      </c>
      <c r="I21" s="1314">
        <f>ROUND(I10*H21,0)</f>
        <v>0</v>
      </c>
    </row>
    <row r="22" spans="1:9" ht="14.25">
      <c r="A22" s="3283" t="s">
        <v>1110</v>
      </c>
      <c r="B22" s="3284"/>
      <c r="C22" s="3285"/>
      <c r="D22" s="1321" t="s">
        <v>1111</v>
      </c>
      <c r="E22" s="1321" t="s">
        <v>1112</v>
      </c>
      <c r="F22" s="1322" t="s">
        <v>1113</v>
      </c>
      <c r="G22" s="1322" t="s">
        <v>1114</v>
      </c>
      <c r="H22" s="1315" t="s">
        <v>1115</v>
      </c>
      <c r="I22" s="1306" t="s">
        <v>1116</v>
      </c>
    </row>
    <row r="23" spans="1:9" ht="14.25" thickBot="1">
      <c r="A23" s="3286"/>
      <c r="B23" s="3287"/>
      <c r="C23" s="3288"/>
      <c r="D23" s="1323"/>
      <c r="E23" s="1323"/>
      <c r="F23" s="1323"/>
      <c r="G23" s="1324"/>
      <c r="H23" s="1325"/>
      <c r="I23" s="1326">
        <f>ROUND(E23*D23*F23*(1-G23)/10000,0)</f>
        <v>0</v>
      </c>
    </row>
    <row r="26" spans="1:9">
      <c r="A26" s="1327" t="s">
        <v>1117</v>
      </c>
      <c r="B26" s="1327"/>
      <c r="C26" s="1327"/>
      <c r="D26" s="1327"/>
      <c r="E26" s="3276">
        <f>C27-C30-C31-C32</f>
        <v>0</v>
      </c>
      <c r="F26" s="3276"/>
      <c r="G26" s="3276"/>
      <c r="H26" s="1742" t="s">
        <v>1341</v>
      </c>
    </row>
    <row r="27" spans="1:9">
      <c r="A27" s="1328">
        <v>1</v>
      </c>
      <c r="B27" s="1329" t="s">
        <v>1118</v>
      </c>
      <c r="C27" s="1329">
        <f>C28+C29</f>
        <v>0</v>
      </c>
      <c r="D27" s="1329"/>
      <c r="E27" s="3277"/>
      <c r="F27" s="3277"/>
      <c r="G27" s="3277"/>
    </row>
    <row r="28" spans="1:9">
      <c r="A28" s="1330" t="s">
        <v>1119</v>
      </c>
      <c r="B28" s="1329" t="s">
        <v>1120</v>
      </c>
      <c r="C28" s="1329"/>
      <c r="D28" s="1329"/>
      <c r="E28" s="3277"/>
      <c r="F28" s="3277"/>
      <c r="G28" s="327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78"/>
      <c r="F32" s="3278"/>
      <c r="G32" s="3278"/>
    </row>
    <row r="33" spans="1:7" hidden="1">
      <c r="A33" s="3273" t="s">
        <v>1129</v>
      </c>
      <c r="B33" s="3274"/>
      <c r="C33" s="3274"/>
      <c r="D33" s="3275"/>
      <c r="E33" s="3276"/>
      <c r="F33" s="3276"/>
      <c r="G33" s="3276"/>
    </row>
    <row r="34" spans="1:7" hidden="1">
      <c r="A34" s="1332">
        <v>1</v>
      </c>
      <c r="B34" s="1329" t="s">
        <v>1130</v>
      </c>
      <c r="C34" s="1329"/>
      <c r="D34" s="1329"/>
      <c r="E34" s="3277"/>
      <c r="F34" s="3277"/>
      <c r="G34" s="3277"/>
    </row>
    <row r="35" spans="1:7" hidden="1">
      <c r="A35" s="1332">
        <v>2</v>
      </c>
      <c r="B35" s="1329" t="s">
        <v>1131</v>
      </c>
      <c r="C35" s="1329"/>
      <c r="D35" s="1329"/>
      <c r="E35" s="3277"/>
      <c r="F35" s="3277"/>
      <c r="G35" s="3277"/>
    </row>
    <row r="36" spans="1:7" hidden="1">
      <c r="A36" s="1332">
        <v>3</v>
      </c>
      <c r="B36" s="1329" t="s">
        <v>1132</v>
      </c>
      <c r="C36" s="1329"/>
      <c r="D36" s="1329"/>
      <c r="E36" s="3277"/>
      <c r="F36" s="3277"/>
      <c r="G36" s="3277"/>
    </row>
    <row r="37" spans="1:7" hidden="1">
      <c r="A37" s="1332">
        <v>4</v>
      </c>
      <c r="B37" s="1329" t="s">
        <v>1133</v>
      </c>
      <c r="C37" s="1329"/>
      <c r="D37" s="1329"/>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2530</v>
      </c>
      <c r="C1" s="1639" t="s">
        <v>2531</v>
      </c>
      <c r="D1" s="1626"/>
      <c r="E1" s="2590"/>
      <c r="F1" s="2591" t="s">
        <v>2532</v>
      </c>
      <c r="G1" s="1636" t="s">
        <v>2533</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2534</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2535</v>
      </c>
      <c r="D3" s="400">
        <f>IF(D1="",'数据-汇总表'!E3,SUMIF('数据-汇总表'!$C19:$C33,D1,'数据-汇总表'!$E19:$E33))</f>
        <v>1952.76</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2536</v>
      </c>
      <c r="B4" s="403"/>
      <c r="C4" s="3233" t="s">
        <v>2537</v>
      </c>
      <c r="D4" s="3234"/>
      <c r="E4" s="3235" t="s">
        <v>2538</v>
      </c>
      <c r="F4" s="3236"/>
      <c r="G4" s="3233" t="s">
        <v>2539</v>
      </c>
      <c r="H4" s="3234"/>
      <c r="I4" s="3233" t="s">
        <v>2540</v>
      </c>
      <c r="J4" s="3234"/>
      <c r="K4" s="2603" t="s">
        <v>2541</v>
      </c>
      <c r="L4" s="1134"/>
      <c r="M4" s="1135"/>
      <c r="N4" s="1135"/>
      <c r="O4" s="1135"/>
      <c r="P4" s="3298" t="s">
        <v>2542</v>
      </c>
      <c r="Q4" s="3299"/>
      <c r="R4" s="3302" t="s">
        <v>2538</v>
      </c>
      <c r="S4" s="3303"/>
      <c r="T4" s="3302" t="s">
        <v>2539</v>
      </c>
      <c r="U4" s="3303"/>
      <c r="V4" s="3250" t="s">
        <v>2540</v>
      </c>
      <c r="W4" s="3250"/>
      <c r="X4" s="1818"/>
      <c r="Y4" s="3302" t="s">
        <v>2542</v>
      </c>
      <c r="Z4" s="3303"/>
      <c r="AA4" s="3297" t="s">
        <v>2538</v>
      </c>
      <c r="AB4" s="3297" t="s">
        <v>2539</v>
      </c>
      <c r="AC4" s="3297" t="s">
        <v>2540</v>
      </c>
    </row>
    <row r="5" spans="1:29" ht="15">
      <c r="A5" s="405"/>
      <c r="B5" s="406"/>
      <c r="C5" s="3259" t="s">
        <v>2543</v>
      </c>
      <c r="D5" s="3254"/>
      <c r="E5" s="3304" t="s">
        <v>2544</v>
      </c>
      <c r="F5" s="3266"/>
      <c r="G5" s="3259" t="s">
        <v>2545</v>
      </c>
      <c r="H5" s="3254"/>
      <c r="I5" s="3259" t="s">
        <v>2546</v>
      </c>
      <c r="J5" s="3254"/>
      <c r="K5" s="2604"/>
      <c r="L5" s="1134"/>
      <c r="M5" s="1135"/>
      <c r="N5" s="1135"/>
      <c r="O5" s="1135"/>
      <c r="P5" s="3300"/>
      <c r="Q5" s="3240"/>
      <c r="R5" s="3245"/>
      <c r="S5" s="3246"/>
      <c r="T5" s="3245"/>
      <c r="U5" s="3246"/>
      <c r="V5" s="3250"/>
      <c r="W5" s="3250"/>
      <c r="X5" s="1818"/>
      <c r="Y5" s="3245"/>
      <c r="Z5" s="3246"/>
      <c r="AA5" s="3263"/>
      <c r="AB5" s="3263"/>
      <c r="AC5" s="3263"/>
    </row>
    <row r="6" spans="1:29" ht="15.75" thickBot="1">
      <c r="A6" s="407"/>
      <c r="B6" s="408"/>
      <c r="C6" s="3251" t="s">
        <v>2547</v>
      </c>
      <c r="D6" s="3252"/>
      <c r="E6" s="3260" t="s">
        <v>2547</v>
      </c>
      <c r="F6" s="3261"/>
      <c r="G6" s="3251" t="s">
        <v>2547</v>
      </c>
      <c r="H6" s="3252"/>
      <c r="I6" s="3251" t="s">
        <v>2547</v>
      </c>
      <c r="J6" s="3252"/>
      <c r="K6" s="2604" t="s">
        <v>2548</v>
      </c>
      <c r="L6" s="1134"/>
      <c r="M6" s="1135"/>
      <c r="N6" s="1135"/>
      <c r="O6" s="1135"/>
      <c r="P6" s="3301"/>
      <c r="Q6" s="3242"/>
      <c r="R6" s="3245"/>
      <c r="S6" s="3246"/>
      <c r="T6" s="3247"/>
      <c r="U6" s="3248"/>
      <c r="V6" s="3250"/>
      <c r="W6" s="3250"/>
      <c r="X6" s="1818"/>
      <c r="Y6" s="3247"/>
      <c r="Z6" s="3248"/>
      <c r="AA6" s="3264"/>
      <c r="AB6" s="3264"/>
      <c r="AC6" s="3264"/>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57" t="s">
        <v>2550</v>
      </c>
      <c r="Q7" s="3258"/>
      <c r="R7" s="771" t="s">
        <v>23</v>
      </c>
      <c r="S7" s="772">
        <f t="shared" ref="S7:S15" si="0">F7</f>
        <v>0</v>
      </c>
      <c r="T7" s="771" t="s">
        <v>23</v>
      </c>
      <c r="U7" s="772">
        <f t="shared" ref="U7:U15" si="1">H7</f>
        <v>0</v>
      </c>
      <c r="V7" s="771" t="s">
        <v>23</v>
      </c>
      <c r="W7" s="772">
        <f t="shared" ref="W7:W15" si="2">J7</f>
        <v>0</v>
      </c>
      <c r="X7" s="773"/>
      <c r="Y7" s="3257" t="s">
        <v>2550</v>
      </c>
      <c r="Z7" s="3256"/>
      <c r="AA7" s="774" t="e">
        <f>D7/F7</f>
        <v>#DIV/0!</v>
      </c>
      <c r="AB7" s="774" t="e">
        <f>D7/H7</f>
        <v>#DIV/0!</v>
      </c>
      <c r="AC7" s="774" t="e">
        <f>D7/J7</f>
        <v>#DIV/0!</v>
      </c>
    </row>
    <row r="8" spans="1:29" s="117" customFormat="1" ht="15.75" thickBot="1">
      <c r="A8" s="409" t="s">
        <v>2551</v>
      </c>
      <c r="B8" s="410"/>
      <c r="C8" s="415" t="s">
        <v>2552</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57" t="s">
        <v>2553</v>
      </c>
      <c r="Q8" s="3256"/>
      <c r="R8" s="771" t="s">
        <v>23</v>
      </c>
      <c r="S8" s="772">
        <f t="shared" si="0"/>
        <v>0</v>
      </c>
      <c r="T8" s="771" t="s">
        <v>23</v>
      </c>
      <c r="U8" s="772">
        <f t="shared" si="1"/>
        <v>0</v>
      </c>
      <c r="V8" s="771" t="s">
        <v>23</v>
      </c>
      <c r="W8" s="772">
        <f t="shared" si="2"/>
        <v>0</v>
      </c>
      <c r="X8" s="773"/>
      <c r="Y8" s="3257" t="s">
        <v>2553</v>
      </c>
      <c r="Z8" s="3256"/>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15"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5"/>
      <c r="Q10" s="1800" t="str">
        <f t="shared" si="6"/>
        <v>土地使用年限（年）</v>
      </c>
      <c r="R10" s="771" t="s">
        <v>17</v>
      </c>
      <c r="S10" s="772">
        <f t="shared" si="0"/>
        <v>100</v>
      </c>
      <c r="T10" s="771" t="s">
        <v>17</v>
      </c>
      <c r="U10" s="772">
        <f t="shared" si="1"/>
        <v>100</v>
      </c>
      <c r="V10" s="771" t="s">
        <v>17</v>
      </c>
      <c r="W10" s="772">
        <f t="shared" si="2"/>
        <v>100</v>
      </c>
      <c r="X10" s="773"/>
      <c r="Y10" s="3070"/>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5"/>
      <c r="Q11" s="1800" t="str">
        <f t="shared" si="6"/>
        <v>容积率</v>
      </c>
      <c r="R11" s="771" t="s">
        <v>21</v>
      </c>
      <c r="S11" s="772" t="e">
        <f t="shared" si="0"/>
        <v>#N/A</v>
      </c>
      <c r="T11" s="771" t="s">
        <v>21</v>
      </c>
      <c r="U11" s="772" t="e">
        <f t="shared" si="1"/>
        <v>#N/A</v>
      </c>
      <c r="V11" s="771" t="s">
        <v>21</v>
      </c>
      <c r="W11" s="772" t="e">
        <f t="shared" si="2"/>
        <v>#N/A</v>
      </c>
      <c r="X11" s="773"/>
      <c r="Y11" s="3070"/>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15"/>
      <c r="Q12" s="1800">
        <f t="shared" si="6"/>
        <v>111</v>
      </c>
      <c r="R12" s="771" t="s">
        <v>21</v>
      </c>
      <c r="S12" s="772">
        <f t="shared" si="0"/>
        <v>100</v>
      </c>
      <c r="T12" s="771" t="s">
        <v>21</v>
      </c>
      <c r="U12" s="772">
        <f t="shared" si="1"/>
        <v>100</v>
      </c>
      <c r="V12" s="771" t="s">
        <v>21</v>
      </c>
      <c r="W12" s="772">
        <f t="shared" si="2"/>
        <v>100</v>
      </c>
      <c r="X12" s="773"/>
      <c r="Y12" s="307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15"/>
      <c r="Q13" s="1800">
        <f t="shared" si="6"/>
        <v>111</v>
      </c>
      <c r="R13" s="771" t="s">
        <v>21</v>
      </c>
      <c r="S13" s="772">
        <f t="shared" si="0"/>
        <v>100</v>
      </c>
      <c r="T13" s="771" t="s">
        <v>21</v>
      </c>
      <c r="U13" s="772">
        <f t="shared" si="1"/>
        <v>100</v>
      </c>
      <c r="V13" s="771" t="s">
        <v>21</v>
      </c>
      <c r="W13" s="772">
        <f t="shared" si="2"/>
        <v>100</v>
      </c>
      <c r="X13" s="773"/>
      <c r="Y13" s="3070"/>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15"/>
      <c r="Q14" s="1800">
        <f t="shared" si="6"/>
        <v>111</v>
      </c>
      <c r="R14" s="771" t="s">
        <v>21</v>
      </c>
      <c r="S14" s="772">
        <f t="shared" si="0"/>
        <v>100</v>
      </c>
      <c r="T14" s="771" t="s">
        <v>21</v>
      </c>
      <c r="U14" s="772">
        <f t="shared" si="1"/>
        <v>100</v>
      </c>
      <c r="V14" s="771" t="s">
        <v>21</v>
      </c>
      <c r="W14" s="772">
        <f t="shared" si="2"/>
        <v>100</v>
      </c>
      <c r="X14" s="773"/>
      <c r="Y14" s="3070"/>
      <c r="Z14" s="55">
        <f t="shared" si="7"/>
        <v>111</v>
      </c>
      <c r="AA14" s="774">
        <f t="shared" si="3"/>
        <v>1</v>
      </c>
      <c r="AB14" s="774">
        <f t="shared" si="4"/>
        <v>1</v>
      </c>
      <c r="AC14" s="774">
        <f t="shared" si="5"/>
        <v>1</v>
      </c>
    </row>
    <row r="15" spans="1:29" ht="99.75">
      <c r="A15" s="441" t="s">
        <v>2560</v>
      </c>
      <c r="B15" s="69" t="s">
        <v>2085</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21" t="s">
        <v>2561</v>
      </c>
      <c r="Q15" s="1815" t="str">
        <f t="shared" si="6"/>
        <v>居住社区成熟度</v>
      </c>
      <c r="R15" s="775" t="s">
        <v>21</v>
      </c>
      <c r="S15" s="776">
        <f t="shared" si="0"/>
        <v>100</v>
      </c>
      <c r="T15" s="775" t="s">
        <v>21</v>
      </c>
      <c r="U15" s="776">
        <f t="shared" si="1"/>
        <v>100</v>
      </c>
      <c r="V15" s="775" t="s">
        <v>21</v>
      </c>
      <c r="W15" s="776">
        <f t="shared" si="2"/>
        <v>100</v>
      </c>
      <c r="X15" s="1818"/>
      <c r="Y15" s="3223" t="s">
        <v>2561</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22"/>
      <c r="Q16" s="1815"/>
      <c r="R16" s="775"/>
      <c r="S16" s="776"/>
      <c r="T16" s="775"/>
      <c r="U16" s="776"/>
      <c r="V16" s="775"/>
      <c r="W16" s="776"/>
      <c r="X16" s="1818"/>
      <c r="Y16" s="3224"/>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22"/>
      <c r="Q17" s="1815" t="str">
        <f>B17</f>
        <v>交通便捷度</v>
      </c>
      <c r="R17" s="775" t="s">
        <v>21</v>
      </c>
      <c r="S17" s="776">
        <f>F17</f>
        <v>100</v>
      </c>
      <c r="T17" s="775" t="s">
        <v>21</v>
      </c>
      <c r="U17" s="776">
        <f>H17</f>
        <v>100</v>
      </c>
      <c r="V17" s="775" t="s">
        <v>21</v>
      </c>
      <c r="W17" s="776">
        <f>J17</f>
        <v>100</v>
      </c>
      <c r="X17" s="1818"/>
      <c r="Y17" s="3224"/>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22"/>
      <c r="Q18" s="1815"/>
      <c r="R18" s="775"/>
      <c r="S18" s="776"/>
      <c r="T18" s="775"/>
      <c r="U18" s="776"/>
      <c r="V18" s="775"/>
      <c r="W18" s="776"/>
      <c r="X18" s="1818"/>
      <c r="Y18" s="3224"/>
      <c r="Z18" s="1819"/>
      <c r="AA18" s="1816">
        <v>1</v>
      </c>
      <c r="AB18" s="1816">
        <v>1</v>
      </c>
      <c r="AC18" s="1816">
        <v>1</v>
      </c>
    </row>
    <row r="19" spans="1:29" ht="42.75">
      <c r="A19" s="429"/>
      <c r="B19" s="452" t="s">
        <v>2095</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22"/>
      <c r="Q19" s="1815" t="str">
        <f>B19</f>
        <v>公共配套设施</v>
      </c>
      <c r="R19" s="775" t="s">
        <v>21</v>
      </c>
      <c r="S19" s="776">
        <f>F19</f>
        <v>100</v>
      </c>
      <c r="T19" s="775" t="s">
        <v>21</v>
      </c>
      <c r="U19" s="776">
        <f>H19</f>
        <v>100</v>
      </c>
      <c r="V19" s="775" t="s">
        <v>21</v>
      </c>
      <c r="W19" s="776">
        <f>J19</f>
        <v>100</v>
      </c>
      <c r="X19" s="1818"/>
      <c r="Y19" s="3224"/>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22"/>
      <c r="Q20" s="1815"/>
      <c r="R20" s="775"/>
      <c r="S20" s="776"/>
      <c r="T20" s="775"/>
      <c r="U20" s="776"/>
      <c r="V20" s="775"/>
      <c r="W20" s="776"/>
      <c r="X20" s="1818"/>
      <c r="Y20" s="3224"/>
      <c r="Z20" s="1819"/>
      <c r="AA20" s="1816">
        <v>1</v>
      </c>
      <c r="AB20" s="1816">
        <v>1</v>
      </c>
      <c r="AC20" s="1816">
        <v>1</v>
      </c>
    </row>
    <row r="21" spans="1:29" ht="28.5">
      <c r="A21" s="429"/>
      <c r="B21" s="1388" t="s">
        <v>2098</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22"/>
      <c r="Q21" s="1815" t="str">
        <f>B21</f>
        <v>基础设施水平</v>
      </c>
      <c r="R21" s="775" t="s">
        <v>17</v>
      </c>
      <c r="S21" s="776">
        <f>F21</f>
        <v>100</v>
      </c>
      <c r="T21" s="775" t="s">
        <v>17</v>
      </c>
      <c r="U21" s="776">
        <f>H21</f>
        <v>100</v>
      </c>
      <c r="V21" s="775" t="s">
        <v>17</v>
      </c>
      <c r="W21" s="776">
        <f>J21</f>
        <v>100</v>
      </c>
      <c r="X21" s="1818"/>
      <c r="Y21" s="322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22"/>
      <c r="Q22" s="1815"/>
      <c r="R22" s="775"/>
      <c r="S22" s="776"/>
      <c r="T22" s="775"/>
      <c r="U22" s="776"/>
      <c r="V22" s="775"/>
      <c r="W22" s="776"/>
      <c r="X22" s="1818"/>
      <c r="Y22" s="3224"/>
      <c r="Z22" s="1819"/>
      <c r="AA22" s="1816">
        <v>1</v>
      </c>
      <c r="AB22" s="1816">
        <v>1</v>
      </c>
      <c r="AC22" s="1816">
        <v>1</v>
      </c>
    </row>
    <row r="23" spans="1:29" ht="57">
      <c r="A23" s="429"/>
      <c r="B23" s="452" t="s">
        <v>2102</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22"/>
      <c r="Q23" s="1815" t="str">
        <f>B23</f>
        <v>自然及人文环境</v>
      </c>
      <c r="R23" s="775" t="s">
        <v>21</v>
      </c>
      <c r="S23" s="776">
        <f>F23</f>
        <v>100</v>
      </c>
      <c r="T23" s="775" t="s">
        <v>21</v>
      </c>
      <c r="U23" s="776">
        <f>H23</f>
        <v>100</v>
      </c>
      <c r="V23" s="775" t="s">
        <v>21</v>
      </c>
      <c r="W23" s="776">
        <f>J23</f>
        <v>100</v>
      </c>
      <c r="X23" s="1818"/>
      <c r="Y23" s="3224"/>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22"/>
      <c r="Q24" s="1815"/>
      <c r="R24" s="775"/>
      <c r="S24" s="776"/>
      <c r="T24" s="775"/>
      <c r="U24" s="776"/>
      <c r="V24" s="775"/>
      <c r="W24" s="776"/>
      <c r="X24" s="1818"/>
      <c r="Y24" s="3224"/>
      <c r="Z24" s="1819"/>
      <c r="AA24" s="1816">
        <v>1</v>
      </c>
      <c r="AB24" s="1816">
        <v>1</v>
      </c>
      <c r="AC24" s="1816">
        <v>1</v>
      </c>
    </row>
    <row r="25" spans="1:29" ht="15">
      <c r="A25" s="429"/>
      <c r="B25" s="423" t="s">
        <v>2562</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2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24"/>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22"/>
      <c r="Q26" s="1815" t="str">
        <f t="shared" si="11"/>
        <v>朝向</v>
      </c>
      <c r="R26" s="775" t="s">
        <v>21</v>
      </c>
      <c r="S26" s="776">
        <f t="shared" si="12"/>
        <v>100</v>
      </c>
      <c r="T26" s="775" t="s">
        <v>21</v>
      </c>
      <c r="U26" s="776">
        <f t="shared" si="13"/>
        <v>100</v>
      </c>
      <c r="V26" s="775" t="s">
        <v>21</v>
      </c>
      <c r="W26" s="776">
        <f t="shared" si="14"/>
        <v>100</v>
      </c>
      <c r="X26" s="1818"/>
      <c r="Y26" s="3224"/>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22"/>
      <c r="Q27" s="1800">
        <f t="shared" si="11"/>
        <v>111</v>
      </c>
      <c r="R27" s="771" t="s">
        <v>21</v>
      </c>
      <c r="S27" s="772">
        <f t="shared" si="12"/>
        <v>100</v>
      </c>
      <c r="T27" s="771" t="s">
        <v>21</v>
      </c>
      <c r="U27" s="772">
        <f t="shared" si="13"/>
        <v>100</v>
      </c>
      <c r="V27" s="771" t="s">
        <v>21</v>
      </c>
      <c r="W27" s="772">
        <f t="shared" si="14"/>
        <v>100</v>
      </c>
      <c r="X27" s="773"/>
      <c r="Y27" s="3224"/>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22"/>
      <c r="Q28" s="1815">
        <f t="shared" si="11"/>
        <v>111</v>
      </c>
      <c r="R28" s="775" t="s">
        <v>21</v>
      </c>
      <c r="S28" s="776">
        <f t="shared" si="12"/>
        <v>100</v>
      </c>
      <c r="T28" s="775" t="s">
        <v>21</v>
      </c>
      <c r="U28" s="776">
        <f t="shared" si="13"/>
        <v>100</v>
      </c>
      <c r="V28" s="775" t="s">
        <v>21</v>
      </c>
      <c r="W28" s="776">
        <f t="shared" si="14"/>
        <v>100</v>
      </c>
      <c r="X28" s="1818"/>
      <c r="Y28" s="3224"/>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22"/>
      <c r="Q29" s="1815">
        <f t="shared" si="11"/>
        <v>111</v>
      </c>
      <c r="R29" s="775" t="s">
        <v>21</v>
      </c>
      <c r="S29" s="776">
        <f t="shared" si="12"/>
        <v>100</v>
      </c>
      <c r="T29" s="775" t="s">
        <v>21</v>
      </c>
      <c r="U29" s="776">
        <f t="shared" si="13"/>
        <v>100</v>
      </c>
      <c r="V29" s="775" t="s">
        <v>21</v>
      </c>
      <c r="W29" s="776">
        <f t="shared" si="14"/>
        <v>100</v>
      </c>
      <c r="X29" s="1818"/>
      <c r="Y29" s="3224"/>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22"/>
      <c r="Q30" s="1815">
        <f t="shared" si="11"/>
        <v>111</v>
      </c>
      <c r="R30" s="775" t="s">
        <v>21</v>
      </c>
      <c r="S30" s="776">
        <f t="shared" si="12"/>
        <v>100</v>
      </c>
      <c r="T30" s="775" t="s">
        <v>21</v>
      </c>
      <c r="U30" s="776">
        <f t="shared" si="13"/>
        <v>100</v>
      </c>
      <c r="V30" s="775" t="s">
        <v>21</v>
      </c>
      <c r="W30" s="776">
        <f t="shared" si="14"/>
        <v>100</v>
      </c>
      <c r="X30" s="1818"/>
      <c r="Y30" s="3224"/>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22"/>
      <c r="Q31" s="1815">
        <f t="shared" si="11"/>
        <v>111</v>
      </c>
      <c r="R31" s="775" t="s">
        <v>21</v>
      </c>
      <c r="S31" s="776">
        <f t="shared" si="12"/>
        <v>100</v>
      </c>
      <c r="T31" s="775" t="s">
        <v>21</v>
      </c>
      <c r="U31" s="776">
        <f t="shared" si="13"/>
        <v>100</v>
      </c>
      <c r="V31" s="775" t="s">
        <v>21</v>
      </c>
      <c r="W31" s="776">
        <f t="shared" si="14"/>
        <v>100</v>
      </c>
      <c r="X31" s="1818"/>
      <c r="Y31" s="3224"/>
      <c r="Z31" s="1819">
        <f t="shared" si="18"/>
        <v>111</v>
      </c>
      <c r="AA31" s="1816">
        <f t="shared" si="15"/>
        <v>1</v>
      </c>
      <c r="AB31" s="1816">
        <f t="shared" si="16"/>
        <v>1</v>
      </c>
      <c r="AC31" s="1816">
        <f t="shared" si="17"/>
        <v>1</v>
      </c>
    </row>
    <row r="32" spans="1:29" ht="15">
      <c r="A32" s="441" t="s">
        <v>2564</v>
      </c>
      <c r="B32" s="71" t="s">
        <v>2565</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25" t="s">
        <v>2566</v>
      </c>
      <c r="Q32" s="1815" t="str">
        <f t="shared" si="11"/>
        <v>建筑类型</v>
      </c>
      <c r="R32" s="775" t="s">
        <v>21</v>
      </c>
      <c r="S32" s="776">
        <f t="shared" si="12"/>
        <v>100</v>
      </c>
      <c r="T32" s="775" t="s">
        <v>21</v>
      </c>
      <c r="U32" s="776">
        <f t="shared" si="13"/>
        <v>100</v>
      </c>
      <c r="V32" s="775" t="s">
        <v>21</v>
      </c>
      <c r="W32" s="776">
        <f t="shared" si="14"/>
        <v>100</v>
      </c>
      <c r="X32" s="1818"/>
      <c r="Y32" s="3228"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26"/>
      <c r="Q33" s="777" t="str">
        <f t="shared" si="11"/>
        <v>项目建筑规模</v>
      </c>
      <c r="R33" s="778" t="s">
        <v>21</v>
      </c>
      <c r="S33" s="779" t="e">
        <f t="shared" si="12"/>
        <v>#N/A</v>
      </c>
      <c r="T33" s="778" t="s">
        <v>21</v>
      </c>
      <c r="U33" s="779" t="e">
        <f t="shared" si="13"/>
        <v>#N/A</v>
      </c>
      <c r="V33" s="778" t="s">
        <v>21</v>
      </c>
      <c r="W33" s="779" t="e">
        <f t="shared" si="14"/>
        <v>#N/A</v>
      </c>
      <c r="X33" s="780"/>
      <c r="Y33" s="3228"/>
      <c r="Z33" s="781" t="str">
        <f t="shared" si="18"/>
        <v>项目建筑规模</v>
      </c>
      <c r="AA33" s="1816" t="e">
        <f t="shared" si="15"/>
        <v>#N/A</v>
      </c>
      <c r="AB33" s="1816" t="e">
        <f t="shared" si="16"/>
        <v>#N/A</v>
      </c>
      <c r="AC33" s="1816" t="e">
        <f t="shared" si="17"/>
        <v>#N/A</v>
      </c>
    </row>
    <row r="34" spans="1:29" ht="15">
      <c r="A34" s="473"/>
      <c r="B34" s="423" t="s">
        <v>2568</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26"/>
      <c r="Q34" s="1815" t="str">
        <f t="shared" si="11"/>
        <v>建筑结构</v>
      </c>
      <c r="R34" s="775" t="s">
        <v>21</v>
      </c>
      <c r="S34" s="776">
        <f t="shared" si="12"/>
        <v>100</v>
      </c>
      <c r="T34" s="775" t="s">
        <v>21</v>
      </c>
      <c r="U34" s="776">
        <f t="shared" si="13"/>
        <v>100</v>
      </c>
      <c r="V34" s="775" t="s">
        <v>21</v>
      </c>
      <c r="W34" s="776">
        <f t="shared" si="14"/>
        <v>100</v>
      </c>
      <c r="X34" s="1818"/>
      <c r="Y34" s="3228"/>
      <c r="Z34" s="1819" t="str">
        <f t="shared" si="18"/>
        <v>建筑结构</v>
      </c>
      <c r="AA34" s="1816">
        <f t="shared" si="15"/>
        <v>1</v>
      </c>
      <c r="AB34" s="1816">
        <f t="shared" si="16"/>
        <v>1</v>
      </c>
      <c r="AC34" s="1816">
        <f t="shared" si="17"/>
        <v>1</v>
      </c>
    </row>
    <row r="35" spans="1:29" ht="15">
      <c r="A35" s="473"/>
      <c r="B35" s="423" t="s">
        <v>2569</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26"/>
      <c r="Q35" s="1815" t="str">
        <f t="shared" si="11"/>
        <v>建筑品质</v>
      </c>
      <c r="R35" s="775" t="s">
        <v>21</v>
      </c>
      <c r="S35" s="776">
        <f t="shared" si="12"/>
        <v>100</v>
      </c>
      <c r="T35" s="775" t="s">
        <v>21</v>
      </c>
      <c r="U35" s="776">
        <f t="shared" si="13"/>
        <v>100</v>
      </c>
      <c r="V35" s="775" t="s">
        <v>21</v>
      </c>
      <c r="W35" s="776">
        <f t="shared" si="14"/>
        <v>100</v>
      </c>
      <c r="X35" s="1818"/>
      <c r="Y35" s="3228"/>
      <c r="Z35" s="1819" t="str">
        <f t="shared" si="18"/>
        <v>建筑品质</v>
      </c>
      <c r="AA35" s="1816">
        <f t="shared" si="15"/>
        <v>1</v>
      </c>
      <c r="AB35" s="1816">
        <f t="shared" si="16"/>
        <v>1</v>
      </c>
      <c r="AC35" s="1816">
        <f t="shared" si="17"/>
        <v>1</v>
      </c>
    </row>
    <row r="36" spans="1:29" ht="15">
      <c r="A36" s="473"/>
      <c r="B36" s="423" t="s">
        <v>2570</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26"/>
      <c r="Q36" s="1815" t="str">
        <f t="shared" si="11"/>
        <v>公共部分装修</v>
      </c>
      <c r="R36" s="775" t="s">
        <v>21</v>
      </c>
      <c r="S36" s="776">
        <f t="shared" si="12"/>
        <v>100</v>
      </c>
      <c r="T36" s="775" t="s">
        <v>21</v>
      </c>
      <c r="U36" s="776">
        <f t="shared" si="13"/>
        <v>100</v>
      </c>
      <c r="V36" s="775" t="s">
        <v>21</v>
      </c>
      <c r="W36" s="776">
        <f t="shared" si="14"/>
        <v>100</v>
      </c>
      <c r="X36" s="1818"/>
      <c r="Y36" s="3228"/>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26"/>
      <c r="Q37" s="1800" t="str">
        <f t="shared" si="11"/>
        <v>成新度</v>
      </c>
      <c r="R37" s="771" t="s">
        <v>21</v>
      </c>
      <c r="S37" s="772" t="e">
        <f t="shared" si="12"/>
        <v>#N/A</v>
      </c>
      <c r="T37" s="771" t="s">
        <v>21</v>
      </c>
      <c r="U37" s="772" t="e">
        <f t="shared" si="13"/>
        <v>#N/A</v>
      </c>
      <c r="V37" s="771" t="s">
        <v>21</v>
      </c>
      <c r="W37" s="772" t="e">
        <f t="shared" si="14"/>
        <v>#N/A</v>
      </c>
      <c r="X37" s="773"/>
      <c r="Y37" s="3228"/>
      <c r="Z37" s="55" t="str">
        <f t="shared" si="18"/>
        <v>成新度</v>
      </c>
      <c r="AA37" s="774" t="e">
        <f t="shared" si="15"/>
        <v>#N/A</v>
      </c>
      <c r="AB37" s="774" t="e">
        <f t="shared" si="16"/>
        <v>#N/A</v>
      </c>
      <c r="AC37" s="774" t="e">
        <f t="shared" si="17"/>
        <v>#N/A</v>
      </c>
    </row>
    <row r="38" spans="1:29" ht="15">
      <c r="A38" s="473"/>
      <c r="B38" s="423" t="s">
        <v>2572</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26" t="s">
        <v>2566</v>
      </c>
      <c r="Q38" s="1815" t="str">
        <f t="shared" si="11"/>
        <v>物业管理</v>
      </c>
      <c r="R38" s="775" t="s">
        <v>21</v>
      </c>
      <c r="S38" s="776">
        <f t="shared" si="12"/>
        <v>100</v>
      </c>
      <c r="T38" s="775" t="s">
        <v>21</v>
      </c>
      <c r="U38" s="776">
        <f t="shared" si="13"/>
        <v>100</v>
      </c>
      <c r="V38" s="775" t="s">
        <v>21</v>
      </c>
      <c r="W38" s="776">
        <f t="shared" si="14"/>
        <v>100</v>
      </c>
      <c r="X38" s="1818"/>
      <c r="Y38" s="3228" t="s">
        <v>2566</v>
      </c>
      <c r="Z38" s="1819" t="str">
        <f t="shared" si="18"/>
        <v>物业管理</v>
      </c>
      <c r="AA38" s="1816">
        <f t="shared" si="15"/>
        <v>1</v>
      </c>
      <c r="AB38" s="1816">
        <f t="shared" si="16"/>
        <v>1</v>
      </c>
      <c r="AC38" s="1816">
        <f t="shared" si="17"/>
        <v>1</v>
      </c>
    </row>
    <row r="39" spans="1:29" ht="15">
      <c r="A39" s="473"/>
      <c r="B39" s="423" t="s">
        <v>2573</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26"/>
      <c r="Q39" s="1815" t="str">
        <f t="shared" si="11"/>
        <v>市政基础设施</v>
      </c>
      <c r="R39" s="775" t="s">
        <v>21</v>
      </c>
      <c r="S39" s="776">
        <f t="shared" si="12"/>
        <v>100</v>
      </c>
      <c r="T39" s="775" t="s">
        <v>21</v>
      </c>
      <c r="U39" s="776">
        <f t="shared" si="13"/>
        <v>100</v>
      </c>
      <c r="V39" s="775" t="s">
        <v>21</v>
      </c>
      <c r="W39" s="776">
        <f t="shared" si="14"/>
        <v>100</v>
      </c>
      <c r="X39" s="1818"/>
      <c r="Y39" s="3228"/>
      <c r="Z39" s="1819" t="str">
        <f t="shared" si="18"/>
        <v>市政基础设施</v>
      </c>
      <c r="AA39" s="1816">
        <f t="shared" si="15"/>
        <v>1</v>
      </c>
      <c r="AB39" s="1816">
        <f t="shared" si="16"/>
        <v>1</v>
      </c>
      <c r="AC39" s="1816">
        <f t="shared" si="17"/>
        <v>1</v>
      </c>
    </row>
    <row r="40" spans="1:29" ht="15">
      <c r="A40" s="473"/>
      <c r="B40" s="423" t="s">
        <v>2574</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26"/>
      <c r="Q40" s="1815" t="str">
        <f t="shared" si="11"/>
        <v>房型</v>
      </c>
      <c r="R40" s="775" t="s">
        <v>21</v>
      </c>
      <c r="S40" s="776">
        <f t="shared" si="12"/>
        <v>100</v>
      </c>
      <c r="T40" s="775" t="s">
        <v>21</v>
      </c>
      <c r="U40" s="776">
        <f t="shared" si="13"/>
        <v>100</v>
      </c>
      <c r="V40" s="775" t="s">
        <v>21</v>
      </c>
      <c r="W40" s="776">
        <f t="shared" si="14"/>
        <v>100</v>
      </c>
      <c r="X40" s="1818"/>
      <c r="Y40" s="3228"/>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26"/>
      <c r="Q41" s="777" t="str">
        <f t="shared" si="11"/>
        <v>单套/主力户型建筑面积</v>
      </c>
      <c r="R41" s="778" t="s">
        <v>21</v>
      </c>
      <c r="S41" s="779">
        <f t="shared" si="12"/>
        <v>100</v>
      </c>
      <c r="T41" s="778" t="s">
        <v>21</v>
      </c>
      <c r="U41" s="779">
        <f t="shared" si="13"/>
        <v>100</v>
      </c>
      <c r="V41" s="778" t="s">
        <v>21</v>
      </c>
      <c r="W41" s="779">
        <f t="shared" si="14"/>
        <v>100</v>
      </c>
      <c r="X41" s="780"/>
      <c r="Y41" s="3228"/>
      <c r="Z41" s="781" t="str">
        <f t="shared" si="18"/>
        <v>单套/主力户型建筑面积</v>
      </c>
      <c r="AA41" s="1816">
        <f t="shared" si="15"/>
        <v>1</v>
      </c>
      <c r="AB41" s="1816">
        <f t="shared" si="16"/>
        <v>1</v>
      </c>
      <c r="AC41" s="1816">
        <f t="shared" si="17"/>
        <v>1</v>
      </c>
    </row>
    <row r="42" spans="1:29" ht="15">
      <c r="A42" s="473"/>
      <c r="B42" s="423" t="s">
        <v>2576</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26"/>
      <c r="Q42" s="1815" t="str">
        <f t="shared" si="11"/>
        <v>内部装修</v>
      </c>
      <c r="R42" s="775" t="s">
        <v>21</v>
      </c>
      <c r="S42" s="776">
        <f t="shared" si="12"/>
        <v>100</v>
      </c>
      <c r="T42" s="775" t="s">
        <v>21</v>
      </c>
      <c r="U42" s="776">
        <f t="shared" si="13"/>
        <v>100</v>
      </c>
      <c r="V42" s="775" t="s">
        <v>21</v>
      </c>
      <c r="W42" s="776">
        <f t="shared" si="14"/>
        <v>100</v>
      </c>
      <c r="X42" s="1818"/>
      <c r="Y42" s="3228"/>
      <c r="Z42" s="1819" t="str">
        <f t="shared" si="18"/>
        <v>内部装修</v>
      </c>
      <c r="AA42" s="1816">
        <f t="shared" si="15"/>
        <v>1</v>
      </c>
      <c r="AB42" s="1816">
        <f t="shared" si="16"/>
        <v>1</v>
      </c>
      <c r="AC42" s="1816">
        <f t="shared" si="17"/>
        <v>1</v>
      </c>
    </row>
    <row r="43" spans="1:29" ht="15">
      <c r="A43" s="473"/>
      <c r="B43" s="423" t="s">
        <v>2577</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26"/>
      <c r="Q43" s="1815" t="str">
        <f t="shared" si="11"/>
        <v>内部装修维护情况</v>
      </c>
      <c r="R43" s="775" t="s">
        <v>21</v>
      </c>
      <c r="S43" s="776">
        <f t="shared" si="12"/>
        <v>100</v>
      </c>
      <c r="T43" s="775" t="s">
        <v>21</v>
      </c>
      <c r="U43" s="776">
        <f t="shared" si="13"/>
        <v>100</v>
      </c>
      <c r="V43" s="775" t="s">
        <v>21</v>
      </c>
      <c r="W43" s="776">
        <f t="shared" si="14"/>
        <v>100</v>
      </c>
      <c r="X43" s="1818"/>
      <c r="Y43" s="3228"/>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26"/>
      <c r="Q44" s="1800">
        <f t="shared" si="11"/>
        <v>111</v>
      </c>
      <c r="R44" s="771" t="s">
        <v>21</v>
      </c>
      <c r="S44" s="772">
        <f t="shared" si="12"/>
        <v>100</v>
      </c>
      <c r="T44" s="771" t="s">
        <v>21</v>
      </c>
      <c r="U44" s="772">
        <f t="shared" si="13"/>
        <v>100</v>
      </c>
      <c r="V44" s="771" t="s">
        <v>21</v>
      </c>
      <c r="W44" s="772">
        <f t="shared" si="14"/>
        <v>100</v>
      </c>
      <c r="X44" s="773"/>
      <c r="Y44" s="3228"/>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26"/>
      <c r="Q45" s="1815">
        <f t="shared" si="11"/>
        <v>111</v>
      </c>
      <c r="R45" s="775" t="s">
        <v>21</v>
      </c>
      <c r="S45" s="776">
        <f t="shared" si="12"/>
        <v>100</v>
      </c>
      <c r="T45" s="775" t="s">
        <v>21</v>
      </c>
      <c r="U45" s="776">
        <f t="shared" si="13"/>
        <v>100</v>
      </c>
      <c r="V45" s="775" t="s">
        <v>21</v>
      </c>
      <c r="W45" s="776">
        <f t="shared" si="14"/>
        <v>100</v>
      </c>
      <c r="X45" s="1818"/>
      <c r="Y45" s="3228"/>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27"/>
      <c r="Q46" s="1815">
        <f t="shared" si="11"/>
        <v>111</v>
      </c>
      <c r="R46" s="775" t="s">
        <v>20</v>
      </c>
      <c r="S46" s="776">
        <f t="shared" si="12"/>
        <v>100</v>
      </c>
      <c r="T46" s="775" t="s">
        <v>20</v>
      </c>
      <c r="U46" s="776">
        <f t="shared" si="13"/>
        <v>100</v>
      </c>
      <c r="V46" s="775" t="s">
        <v>20</v>
      </c>
      <c r="W46" s="776">
        <f t="shared" si="14"/>
        <v>100</v>
      </c>
      <c r="X46" s="1818"/>
      <c r="Y46" s="3229"/>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8"/>
      <c r="L47" s="1147"/>
      <c r="M47" s="1148"/>
      <c r="N47" s="1135"/>
      <c r="O47" s="1148"/>
      <c r="P47" s="3216" t="str">
        <f>A47</f>
        <v>成交单价（元/平方米）</v>
      </c>
      <c r="Q47" s="3216"/>
      <c r="R47" s="3217">
        <f>E47</f>
        <v>0</v>
      </c>
      <c r="S47" s="3217"/>
      <c r="T47" s="3217">
        <f>G47</f>
        <v>0</v>
      </c>
      <c r="U47" s="3217"/>
      <c r="V47" s="3217">
        <f>I47</f>
        <v>0</v>
      </c>
      <c r="W47" s="3217"/>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9"/>
      <c r="L48" s="1147"/>
      <c r="M48" s="1148"/>
      <c r="N48" s="1148"/>
      <c r="O48" s="1148"/>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30"/>
      <c r="L49" s="1147"/>
      <c r="M49" s="1148"/>
      <c r="N49" s="1148"/>
      <c r="O49" s="1148"/>
      <c r="P49" s="3294" t="str">
        <f>A49</f>
        <v>估价对象XX用房的比较价值（楼面单价，元/平方米）</v>
      </c>
      <c r="Q49" s="3295"/>
      <c r="R49" s="3296" t="e">
        <f>IF(F1="售价",ROUND(AVERAGE(R48:V48),0),ROUND(AVERAGE(R48:V48),1))</f>
        <v>#DIV/0!</v>
      </c>
      <c r="S49" s="3296"/>
      <c r="T49" s="3296"/>
      <c r="U49" s="3296"/>
      <c r="V49" s="3296"/>
      <c r="W49" s="329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3"/>
      <c r="Q57" s="505"/>
    </row>
    <row r="58" spans="1:29" s="509" customFormat="1" ht="15">
      <c r="A58" s="506" t="s">
        <v>2585</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2587</v>
      </c>
      <c r="B61" s="511"/>
      <c r="C61" s="523" t="s">
        <v>2588</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2098</v>
      </c>
      <c r="C82" s="540" t="s">
        <v>2605</v>
      </c>
      <c r="D82" s="540" t="s">
        <v>2606</v>
      </c>
      <c r="E82" s="540" t="s">
        <v>2607</v>
      </c>
      <c r="F82" s="540" t="s">
        <v>2608</v>
      </c>
      <c r="G82" s="540" t="s">
        <v>2609</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2612</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2564</v>
      </c>
      <c r="B100" s="529" t="s">
        <v>2613</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2616</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2617</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2618</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2619</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2620</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8">
        <v>6</v>
      </c>
      <c r="C139" s="1089">
        <v>96</v>
      </c>
      <c r="D139" s="2655" t="s">
        <v>2632</v>
      </c>
      <c r="E139" s="1090">
        <v>100</v>
      </c>
      <c r="F139" s="1091">
        <v>102.5</v>
      </c>
      <c r="G139" s="2655" t="s">
        <v>2632</v>
      </c>
      <c r="H139" s="1092">
        <v>105</v>
      </c>
      <c r="I139" s="2656" t="s">
        <v>2633</v>
      </c>
      <c r="J139" s="1089">
        <v>20</v>
      </c>
      <c r="K139" s="1093">
        <f>C145/(J139-2)</f>
        <v>4.0555555555555553E-3</v>
      </c>
    </row>
    <row r="140" spans="1:17" ht="15">
      <c r="B140" s="1094">
        <v>5</v>
      </c>
      <c r="C140" s="1095">
        <v>100</v>
      </c>
      <c r="D140" s="1095"/>
      <c r="E140" s="1096"/>
      <c r="F140" s="1097">
        <v>102</v>
      </c>
      <c r="G140" s="1095"/>
      <c r="H140" s="1098"/>
      <c r="I140" s="2657" t="s">
        <v>2634</v>
      </c>
      <c r="J140" s="316">
        <f>ROUNDUP((J139-1)/2,0)</f>
        <v>10</v>
      </c>
      <c r="K140" s="1099">
        <v>100</v>
      </c>
    </row>
    <row r="141" spans="1:17" ht="15">
      <c r="B141" s="1094">
        <v>4</v>
      </c>
      <c r="C141" s="1095">
        <v>102</v>
      </c>
      <c r="D141" s="1095"/>
      <c r="E141" s="1096"/>
      <c r="F141" s="1097">
        <v>101.5</v>
      </c>
      <c r="G141" s="1095"/>
      <c r="H141" s="1098"/>
      <c r="I141" s="2657" t="s">
        <v>2635</v>
      </c>
      <c r="J141" s="316">
        <v>1</v>
      </c>
      <c r="K141" s="1100">
        <f>ROUND(100+(J141-J140)*K139*100,1)</f>
        <v>96.4</v>
      </c>
    </row>
    <row r="142" spans="1:17" ht="15">
      <c r="B142" s="1094">
        <v>3</v>
      </c>
      <c r="C142" s="1095">
        <v>103</v>
      </c>
      <c r="D142" s="1095"/>
      <c r="E142" s="1096"/>
      <c r="F142" s="1097">
        <v>101</v>
      </c>
      <c r="G142" s="1095"/>
      <c r="H142" s="1098"/>
      <c r="I142" s="2657" t="s">
        <v>2636</v>
      </c>
      <c r="J142" s="316">
        <f>J139</f>
        <v>20</v>
      </c>
      <c r="K142" s="1101">
        <v>95</v>
      </c>
    </row>
    <row r="143" spans="1:17" ht="15">
      <c r="B143" s="1094">
        <v>2</v>
      </c>
      <c r="C143" s="1095">
        <v>100</v>
      </c>
      <c r="D143" s="1095"/>
      <c r="E143" s="1096"/>
      <c r="F143" s="1097">
        <v>100.5</v>
      </c>
      <c r="G143" s="1095"/>
      <c r="H143" s="1098"/>
      <c r="I143" s="2657" t="s">
        <v>2637</v>
      </c>
      <c r="J143" s="1095">
        <v>15</v>
      </c>
      <c r="K143" s="1100">
        <f>ROUND(100+(J143-J140)*K139*100,1)</f>
        <v>102</v>
      </c>
    </row>
    <row r="144" spans="1:17" ht="15">
      <c r="B144" s="1094">
        <v>1</v>
      </c>
      <c r="C144" s="1095">
        <v>98</v>
      </c>
      <c r="D144" s="2658" t="s">
        <v>2638</v>
      </c>
      <c r="E144" s="1096">
        <v>102</v>
      </c>
      <c r="F144" s="1102">
        <v>100</v>
      </c>
      <c r="G144" s="2658" t="s">
        <v>2638</v>
      </c>
      <c r="H144" s="1098">
        <v>105</v>
      </c>
      <c r="I144" s="2657" t="s">
        <v>2637</v>
      </c>
      <c r="J144" s="1095">
        <v>18</v>
      </c>
      <c r="K144" s="1100">
        <f>ROUND(100+(J144-J140)*K139*100,1)</f>
        <v>103.2</v>
      </c>
    </row>
    <row r="145" spans="2:11" ht="15.75" thickBot="1">
      <c r="B145" s="2659" t="s">
        <v>2639</v>
      </c>
      <c r="C145" s="1103">
        <f>ROUND(MAX(C139:C144)/MIN(C139:C144)-1,3)</f>
        <v>7.2999999999999995E-2</v>
      </c>
      <c r="D145" s="1104"/>
      <c r="E145" s="1104"/>
      <c r="F145" s="2660" t="s">
        <v>2640</v>
      </c>
      <c r="G145" s="2661"/>
      <c r="H145" s="2662"/>
      <c r="I145" s="2663" t="s">
        <v>2637</v>
      </c>
      <c r="J145" s="1105">
        <v>8</v>
      </c>
      <c r="K145" s="1106">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2643</v>
      </c>
      <c r="C1" s="1639" t="s">
        <v>2531</v>
      </c>
      <c r="D1" s="1626"/>
      <c r="E1" s="2664"/>
      <c r="F1" s="2591"/>
      <c r="G1" s="1636" t="s">
        <v>2644</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2328</v>
      </c>
      <c r="B2" s="1422" t="e">
        <f ca="1">IF(C2="——",ROUND(C49*D3/10000,0),ROUND(C49*D3/10000,0)-D2)</f>
        <v>#DIV/0!</v>
      </c>
      <c r="C2" s="2593"/>
      <c r="D2" s="1369" t="e">
        <f ca="1">SUMIF(INDIRECT("'"&amp;F2&amp;"'"&amp;"!A:A"),"承租人权益价值",INDIRECT("'"&amp;F2&amp;"'"&amp;"!c:c"))</f>
        <v>#REF!</v>
      </c>
      <c r="E2" s="2594" t="s">
        <v>2329</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2330</v>
      </c>
      <c r="B3" s="610" t="e">
        <f ca="1">IF(C2="——",C49,ROUND(B2*10000/D3,0))</f>
        <v>#DIV/0!</v>
      </c>
      <c r="C3" s="401" t="s">
        <v>2645</v>
      </c>
      <c r="D3" s="400">
        <f>IF(D1="",'数据-汇总表'!E3,SUMIF('数据-汇总表'!$C19:$C33,D1,'数据-汇总表'!$E19:$E33))</f>
        <v>1952.76</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50" t="s">
        <v>2649</v>
      </c>
      <c r="AC4" s="3297" t="s">
        <v>2650</v>
      </c>
    </row>
    <row r="5" spans="1:29"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50"/>
      <c r="AC5" s="3263"/>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301"/>
      <c r="Q6" s="3242"/>
      <c r="R6" s="3245"/>
      <c r="S6" s="3246"/>
      <c r="T6" s="3247"/>
      <c r="U6" s="3248"/>
      <c r="V6" s="3250"/>
      <c r="W6" s="3250"/>
      <c r="X6" s="1818"/>
      <c r="Y6" s="3247"/>
      <c r="Z6" s="3248"/>
      <c r="AA6" s="3264"/>
      <c r="AB6" s="3250"/>
      <c r="AC6" s="3264"/>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57" t="s">
        <v>2550</v>
      </c>
      <c r="Q7" s="3258"/>
      <c r="R7" s="771" t="s">
        <v>17</v>
      </c>
      <c r="S7" s="772">
        <f t="shared" ref="S7:S15" si="0">F7</f>
        <v>0</v>
      </c>
      <c r="T7" s="771" t="s">
        <v>17</v>
      </c>
      <c r="U7" s="772">
        <f t="shared" ref="U7:U15" si="1">H7</f>
        <v>0</v>
      </c>
      <c r="V7" s="771" t="s">
        <v>17</v>
      </c>
      <c r="W7" s="772">
        <f t="shared" ref="W7:W15" si="2">J7</f>
        <v>0</v>
      </c>
      <c r="X7" s="773"/>
      <c r="Y7" s="3257" t="s">
        <v>2550</v>
      </c>
      <c r="Z7" s="3256"/>
      <c r="AA7" s="774" t="e">
        <f>D7/F7</f>
        <v>#DIV/0!</v>
      </c>
      <c r="AB7" s="774" t="e">
        <f>D7/H7</f>
        <v>#DIV/0!</v>
      </c>
      <c r="AC7" s="774" t="e">
        <f>D7/J7</f>
        <v>#DIV/0!</v>
      </c>
    </row>
    <row r="8" spans="1:29" s="117" customFormat="1" ht="15.75" thickBot="1">
      <c r="A8" s="409" t="s">
        <v>2551</v>
      </c>
      <c r="B8" s="410"/>
      <c r="C8" s="415" t="s">
        <v>2653</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46" si="3">D8/F8</f>
        <v>#DIV/0!</v>
      </c>
      <c r="AB8" s="774" t="e">
        <f t="shared" ref="AB8:AB46" si="4">D8/H8</f>
        <v>#DIV/0!</v>
      </c>
      <c r="AC8" s="774" t="e">
        <f t="shared" ref="AC8:AC46" si="5">D8/J8</f>
        <v>#DIV/0!</v>
      </c>
    </row>
    <row r="9" spans="1:29" s="117" customFormat="1">
      <c r="A9" s="416" t="s">
        <v>2554</v>
      </c>
      <c r="B9" s="71" t="s">
        <v>2555</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5"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5"/>
      <c r="Q10" s="1800" t="str">
        <f t="shared" si="6"/>
        <v>土地使用年限（年）</v>
      </c>
      <c r="R10" s="771" t="s">
        <v>17</v>
      </c>
      <c r="S10" s="772">
        <f t="shared" si="0"/>
        <v>100</v>
      </c>
      <c r="T10" s="771" t="s">
        <v>17</v>
      </c>
      <c r="U10" s="772">
        <f t="shared" si="1"/>
        <v>100</v>
      </c>
      <c r="V10" s="771" t="s">
        <v>17</v>
      </c>
      <c r="W10" s="772">
        <f t="shared" si="2"/>
        <v>100</v>
      </c>
      <c r="X10" s="773"/>
      <c r="Y10" s="3070"/>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5"/>
      <c r="Q11" s="1800" t="str">
        <f t="shared" si="6"/>
        <v>容积率</v>
      </c>
      <c r="R11" s="771" t="s">
        <v>17</v>
      </c>
      <c r="S11" s="772" t="e">
        <f t="shared" si="0"/>
        <v>#N/A</v>
      </c>
      <c r="T11" s="771" t="s">
        <v>17</v>
      </c>
      <c r="U11" s="772" t="e">
        <f t="shared" si="1"/>
        <v>#N/A</v>
      </c>
      <c r="V11" s="771" t="s">
        <v>17</v>
      </c>
      <c r="W11" s="772" t="e">
        <f t="shared" si="2"/>
        <v>#N/A</v>
      </c>
      <c r="X11" s="773"/>
      <c r="Y11" s="307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5"/>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5"/>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5"/>
      <c r="Q14" s="1800">
        <f t="shared" si="6"/>
        <v>111</v>
      </c>
      <c r="R14" s="771" t="s">
        <v>17</v>
      </c>
      <c r="S14" s="772">
        <f t="shared" si="0"/>
        <v>100</v>
      </c>
      <c r="T14" s="771" t="s">
        <v>17</v>
      </c>
      <c r="U14" s="772">
        <f t="shared" si="1"/>
        <v>100</v>
      </c>
      <c r="V14" s="771" t="s">
        <v>17</v>
      </c>
      <c r="W14" s="772">
        <f t="shared" si="2"/>
        <v>100</v>
      </c>
      <c r="X14" s="773"/>
      <c r="Y14" s="3070"/>
      <c r="Z14" s="55">
        <f t="shared" si="7"/>
        <v>111</v>
      </c>
      <c r="AA14" s="774">
        <f t="shared" si="3"/>
        <v>1</v>
      </c>
      <c r="AB14" s="774">
        <f t="shared" si="4"/>
        <v>1</v>
      </c>
      <c r="AC14" s="774">
        <f t="shared" si="5"/>
        <v>1</v>
      </c>
    </row>
    <row r="15" spans="1:29" ht="71.25">
      <c r="A15" s="441" t="s">
        <v>2560</v>
      </c>
      <c r="B15" s="69" t="s">
        <v>2654</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21" t="s">
        <v>2561</v>
      </c>
      <c r="Q15" s="1815" t="str">
        <f t="shared" si="6"/>
        <v>商业繁华度</v>
      </c>
      <c r="R15" s="775" t="s">
        <v>17</v>
      </c>
      <c r="S15" s="776">
        <f t="shared" si="0"/>
        <v>100</v>
      </c>
      <c r="T15" s="775" t="s">
        <v>17</v>
      </c>
      <c r="U15" s="776">
        <f t="shared" si="1"/>
        <v>100</v>
      </c>
      <c r="V15" s="775" t="s">
        <v>17</v>
      </c>
      <c r="W15" s="776">
        <f t="shared" si="2"/>
        <v>100</v>
      </c>
      <c r="X15" s="1818"/>
      <c r="Y15" s="3223" t="s">
        <v>2561</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22"/>
      <c r="Q16" s="1815"/>
      <c r="R16" s="775"/>
      <c r="S16" s="776"/>
      <c r="T16" s="775"/>
      <c r="U16" s="776"/>
      <c r="V16" s="775"/>
      <c r="W16" s="776"/>
      <c r="X16" s="1818"/>
      <c r="Y16" s="3224"/>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22"/>
      <c r="Q17" s="1815" t="str">
        <f>B17</f>
        <v>交通便捷度</v>
      </c>
      <c r="R17" s="775" t="s">
        <v>17</v>
      </c>
      <c r="S17" s="776">
        <f>F17</f>
        <v>100</v>
      </c>
      <c r="T17" s="775" t="s">
        <v>17</v>
      </c>
      <c r="U17" s="776">
        <f>H17</f>
        <v>100</v>
      </c>
      <c r="V17" s="775" t="s">
        <v>17</v>
      </c>
      <c r="W17" s="776">
        <f>J17</f>
        <v>100</v>
      </c>
      <c r="X17" s="1818"/>
      <c r="Y17" s="322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22"/>
      <c r="Q18" s="1815"/>
      <c r="R18" s="775"/>
      <c r="S18" s="776"/>
      <c r="T18" s="775"/>
      <c r="U18" s="776"/>
      <c r="V18" s="775"/>
      <c r="W18" s="776"/>
      <c r="X18" s="1818"/>
      <c r="Y18" s="3224"/>
      <c r="Z18" s="1819"/>
      <c r="AA18" s="1816">
        <v>1</v>
      </c>
      <c r="AB18" s="1816">
        <v>1</v>
      </c>
      <c r="AC18" s="1816">
        <v>1</v>
      </c>
    </row>
    <row r="19" spans="1:29" ht="42.75">
      <c r="A19" s="429"/>
      <c r="B19" s="452" t="s">
        <v>2655</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22"/>
      <c r="Q19" s="1815" t="str">
        <f>B19</f>
        <v>公共配套设施</v>
      </c>
      <c r="R19" s="775" t="s">
        <v>17</v>
      </c>
      <c r="S19" s="776">
        <f>F19</f>
        <v>100</v>
      </c>
      <c r="T19" s="775" t="s">
        <v>17</v>
      </c>
      <c r="U19" s="776">
        <f>H19</f>
        <v>100</v>
      </c>
      <c r="V19" s="775" t="s">
        <v>17</v>
      </c>
      <c r="W19" s="776">
        <f>J19</f>
        <v>100</v>
      </c>
      <c r="X19" s="1818"/>
      <c r="Y19" s="322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22"/>
      <c r="Q20" s="1815"/>
      <c r="R20" s="775"/>
      <c r="S20" s="776"/>
      <c r="T20" s="775"/>
      <c r="U20" s="776"/>
      <c r="V20" s="775"/>
      <c r="W20" s="776"/>
      <c r="X20" s="1818"/>
      <c r="Y20" s="3224"/>
      <c r="Z20" s="1819"/>
      <c r="AA20" s="1816">
        <v>1</v>
      </c>
      <c r="AB20" s="1816">
        <v>1</v>
      </c>
      <c r="AC20" s="1816">
        <v>1</v>
      </c>
    </row>
    <row r="21" spans="1:29" ht="28.5">
      <c r="A21" s="429"/>
      <c r="B21" s="1388" t="s">
        <v>2656</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22"/>
      <c r="Q21" s="1815" t="str">
        <f>B21</f>
        <v>基础设施水平</v>
      </c>
      <c r="R21" s="775" t="s">
        <v>17</v>
      </c>
      <c r="S21" s="776">
        <f>F21</f>
        <v>100</v>
      </c>
      <c r="T21" s="775" t="s">
        <v>17</v>
      </c>
      <c r="U21" s="776">
        <f>H21</f>
        <v>100</v>
      </c>
      <c r="V21" s="775" t="s">
        <v>17</v>
      </c>
      <c r="W21" s="776">
        <f>J21</f>
        <v>100</v>
      </c>
      <c r="X21" s="1818"/>
      <c r="Y21" s="322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22"/>
      <c r="Q22" s="1815"/>
      <c r="R22" s="775"/>
      <c r="S22" s="776"/>
      <c r="T22" s="775"/>
      <c r="U22" s="776"/>
      <c r="V22" s="775"/>
      <c r="W22" s="776"/>
      <c r="X22" s="1818"/>
      <c r="Y22" s="3224"/>
      <c r="Z22" s="1819"/>
      <c r="AA22" s="1816">
        <v>1</v>
      </c>
      <c r="AB22" s="1816">
        <v>1</v>
      </c>
      <c r="AC22" s="1816">
        <v>1</v>
      </c>
    </row>
    <row r="23" spans="1:29" ht="57">
      <c r="A23" s="429"/>
      <c r="B23" s="452" t="s">
        <v>2102</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22"/>
      <c r="Q23" s="1815" t="str">
        <f>B23</f>
        <v>自然及人文环境</v>
      </c>
      <c r="R23" s="775" t="s">
        <v>17</v>
      </c>
      <c r="S23" s="776">
        <f>F23</f>
        <v>100</v>
      </c>
      <c r="T23" s="775" t="s">
        <v>17</v>
      </c>
      <c r="U23" s="776">
        <f>H23</f>
        <v>100</v>
      </c>
      <c r="V23" s="775" t="s">
        <v>17</v>
      </c>
      <c r="W23" s="776">
        <f>J23</f>
        <v>100</v>
      </c>
      <c r="X23" s="1818"/>
      <c r="Y23" s="3224"/>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22"/>
      <c r="Q24" s="1815"/>
      <c r="R24" s="775"/>
      <c r="S24" s="776"/>
      <c r="T24" s="775"/>
      <c r="U24" s="776"/>
      <c r="V24" s="775"/>
      <c r="W24" s="776"/>
      <c r="X24" s="1818"/>
      <c r="Y24" s="3224"/>
      <c r="Z24" s="1819"/>
      <c r="AA24" s="1816">
        <v>1</v>
      </c>
      <c r="AB24" s="1816">
        <v>1</v>
      </c>
      <c r="AC24" s="1816">
        <v>1</v>
      </c>
    </row>
    <row r="25" spans="1:29" ht="15">
      <c r="A25" s="429"/>
      <c r="B25" s="423" t="s">
        <v>2657</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22"/>
      <c r="Q25" s="1815" t="str">
        <f t="shared" ref="Q25:Q46" si="11">B25</f>
        <v>临街状况</v>
      </c>
      <c r="R25" s="775" t="s">
        <v>17</v>
      </c>
      <c r="S25" s="776">
        <f>F25</f>
        <v>100</v>
      </c>
      <c r="T25" s="775" t="s">
        <v>17</v>
      </c>
      <c r="U25" s="776">
        <f>H25</f>
        <v>100</v>
      </c>
      <c r="V25" s="775" t="s">
        <v>17</v>
      </c>
      <c r="W25" s="776">
        <f>J25</f>
        <v>100</v>
      </c>
      <c r="X25" s="1818"/>
      <c r="Y25" s="3224"/>
      <c r="Z25" s="1819" t="str">
        <f>Q25</f>
        <v>临街状况</v>
      </c>
      <c r="AA25" s="1816">
        <f t="shared" si="3"/>
        <v>1</v>
      </c>
      <c r="AB25" s="1816">
        <f t="shared" si="4"/>
        <v>1</v>
      </c>
      <c r="AC25" s="1816">
        <f t="shared" si="5"/>
        <v>1</v>
      </c>
    </row>
    <row r="26" spans="1:29" ht="15">
      <c r="A26" s="429"/>
      <c r="B26" s="1390" t="s">
        <v>2658</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22"/>
      <c r="Q26" s="1815" t="str">
        <f t="shared" si="11"/>
        <v>平面位置/可视性</v>
      </c>
      <c r="R26" s="775" t="s">
        <v>17</v>
      </c>
      <c r="S26" s="776">
        <f>F26</f>
        <v>100</v>
      </c>
      <c r="T26" s="775" t="s">
        <v>17</v>
      </c>
      <c r="U26" s="776">
        <f>H26</f>
        <v>100</v>
      </c>
      <c r="V26" s="775" t="s">
        <v>17</v>
      </c>
      <c r="W26" s="776">
        <f>J26</f>
        <v>100</v>
      </c>
      <c r="X26" s="1818"/>
      <c r="Y26" s="3224"/>
      <c r="Z26" s="1819" t="str">
        <f>Q26</f>
        <v>平面位置/可视性</v>
      </c>
      <c r="AA26" s="1816">
        <f t="shared" si="3"/>
        <v>1</v>
      </c>
      <c r="AB26" s="1816">
        <f t="shared" si="4"/>
        <v>1</v>
      </c>
      <c r="AC26" s="1816">
        <f t="shared" si="5"/>
        <v>1</v>
      </c>
    </row>
    <row r="27" spans="1:29" s="117" customFormat="1" ht="15">
      <c r="A27" s="432"/>
      <c r="B27" s="452" t="s">
        <v>2659</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22"/>
      <c r="Q27" s="1800" t="str">
        <f t="shared" si="11"/>
        <v>人流量</v>
      </c>
      <c r="R27" s="771" t="s">
        <v>17</v>
      </c>
      <c r="S27" s="772">
        <f>F27</f>
        <v>100</v>
      </c>
      <c r="T27" s="771" t="s">
        <v>17</v>
      </c>
      <c r="U27" s="772">
        <f>H27</f>
        <v>100</v>
      </c>
      <c r="V27" s="771" t="s">
        <v>17</v>
      </c>
      <c r="W27" s="772">
        <f>J27</f>
        <v>100</v>
      </c>
      <c r="X27" s="773"/>
      <c r="Y27" s="3224"/>
      <c r="Z27" s="55" t="str">
        <f>Q27</f>
        <v>人流量</v>
      </c>
      <c r="AA27" s="1816">
        <f>D27/F27</f>
        <v>1</v>
      </c>
      <c r="AB27" s="1816">
        <f>D27/H27</f>
        <v>1</v>
      </c>
      <c r="AC27" s="1816">
        <f>D27/J27</f>
        <v>1</v>
      </c>
    </row>
    <row r="28" spans="1:29" ht="15">
      <c r="A28" s="429"/>
      <c r="B28" s="423" t="s">
        <v>2660</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2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24"/>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22"/>
      <c r="Q29" s="1815">
        <f t="shared" si="11"/>
        <v>111</v>
      </c>
      <c r="R29" s="775" t="s">
        <v>17</v>
      </c>
      <c r="S29" s="776">
        <f t="shared" si="12"/>
        <v>100</v>
      </c>
      <c r="T29" s="775" t="s">
        <v>17</v>
      </c>
      <c r="U29" s="776">
        <f t="shared" si="13"/>
        <v>100</v>
      </c>
      <c r="V29" s="775" t="s">
        <v>17</v>
      </c>
      <c r="W29" s="776">
        <f t="shared" si="14"/>
        <v>100</v>
      </c>
      <c r="X29" s="1818"/>
      <c r="Y29" s="3224"/>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22"/>
      <c r="Q30" s="1815">
        <f t="shared" si="11"/>
        <v>111</v>
      </c>
      <c r="R30" s="775" t="s">
        <v>17</v>
      </c>
      <c r="S30" s="776">
        <f t="shared" si="12"/>
        <v>100</v>
      </c>
      <c r="T30" s="775" t="s">
        <v>17</v>
      </c>
      <c r="U30" s="776">
        <f t="shared" si="13"/>
        <v>100</v>
      </c>
      <c r="V30" s="775" t="s">
        <v>17</v>
      </c>
      <c r="W30" s="776">
        <f t="shared" si="14"/>
        <v>100</v>
      </c>
      <c r="X30" s="1818"/>
      <c r="Y30" s="3224"/>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22"/>
      <c r="Q31" s="1815">
        <f t="shared" si="11"/>
        <v>111</v>
      </c>
      <c r="R31" s="775" t="s">
        <v>17</v>
      </c>
      <c r="S31" s="776">
        <f t="shared" si="12"/>
        <v>100</v>
      </c>
      <c r="T31" s="775" t="s">
        <v>17</v>
      </c>
      <c r="U31" s="776">
        <f t="shared" si="13"/>
        <v>100</v>
      </c>
      <c r="V31" s="775" t="s">
        <v>17</v>
      </c>
      <c r="W31" s="776">
        <f t="shared" si="14"/>
        <v>100</v>
      </c>
      <c r="X31" s="1818"/>
      <c r="Y31" s="3224"/>
      <c r="Z31" s="1819">
        <f t="shared" si="15"/>
        <v>111</v>
      </c>
      <c r="AA31" s="1816">
        <f t="shared" si="3"/>
        <v>1</v>
      </c>
      <c r="AB31" s="1816">
        <f t="shared" si="4"/>
        <v>1</v>
      </c>
      <c r="AC31" s="1816">
        <f t="shared" si="5"/>
        <v>1</v>
      </c>
    </row>
    <row r="32" spans="1:29" ht="15">
      <c r="A32" s="441" t="s">
        <v>2564</v>
      </c>
      <c r="B32" s="71" t="s">
        <v>2661</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25" t="s">
        <v>2566</v>
      </c>
      <c r="Q32" s="1815" t="str">
        <f t="shared" si="11"/>
        <v>商业类型</v>
      </c>
      <c r="R32" s="775" t="s">
        <v>17</v>
      </c>
      <c r="S32" s="776">
        <f t="shared" si="12"/>
        <v>100</v>
      </c>
      <c r="T32" s="775" t="s">
        <v>17</v>
      </c>
      <c r="U32" s="776">
        <f t="shared" si="13"/>
        <v>100</v>
      </c>
      <c r="V32" s="775" t="s">
        <v>17</v>
      </c>
      <c r="W32" s="776">
        <f t="shared" si="14"/>
        <v>100</v>
      </c>
      <c r="X32" s="1818"/>
      <c r="Y32" s="3228" t="s">
        <v>2566</v>
      </c>
      <c r="Z32" s="1819" t="str">
        <f t="shared" si="15"/>
        <v>商业类型</v>
      </c>
      <c r="AA32" s="1816">
        <f t="shared" si="3"/>
        <v>1</v>
      </c>
      <c r="AB32" s="1816">
        <f t="shared" si="4"/>
        <v>1</v>
      </c>
      <c r="AC32" s="1816">
        <f t="shared" si="5"/>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26"/>
      <c r="Q33" s="777" t="str">
        <f t="shared" si="11"/>
        <v>项目建筑规模</v>
      </c>
      <c r="R33" s="778" t="s">
        <v>17</v>
      </c>
      <c r="S33" s="779" t="e">
        <f t="shared" si="12"/>
        <v>#N/A</v>
      </c>
      <c r="T33" s="778" t="s">
        <v>17</v>
      </c>
      <c r="U33" s="779" t="e">
        <f t="shared" si="13"/>
        <v>#N/A</v>
      </c>
      <c r="V33" s="778" t="s">
        <v>17</v>
      </c>
      <c r="W33" s="779" t="e">
        <f t="shared" si="14"/>
        <v>#N/A</v>
      </c>
      <c r="X33" s="780"/>
      <c r="Y33" s="3228"/>
      <c r="Z33" s="781" t="str">
        <f t="shared" si="15"/>
        <v>项目建筑规模</v>
      </c>
      <c r="AA33" s="1816" t="e">
        <f t="shared" si="3"/>
        <v>#N/A</v>
      </c>
      <c r="AB33" s="1816" t="e">
        <f t="shared" si="4"/>
        <v>#N/A</v>
      </c>
      <c r="AC33" s="1816" t="e">
        <f t="shared" si="5"/>
        <v>#N/A</v>
      </c>
    </row>
    <row r="34" spans="1:29" ht="15">
      <c r="A34" s="473"/>
      <c r="B34" s="423" t="s">
        <v>2568</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26"/>
      <c r="Q34" s="1815" t="str">
        <f t="shared" si="11"/>
        <v>建筑结构</v>
      </c>
      <c r="R34" s="775" t="s">
        <v>17</v>
      </c>
      <c r="S34" s="776">
        <f t="shared" si="12"/>
        <v>100</v>
      </c>
      <c r="T34" s="775" t="s">
        <v>17</v>
      </c>
      <c r="U34" s="776">
        <f t="shared" si="13"/>
        <v>100</v>
      </c>
      <c r="V34" s="775" t="s">
        <v>17</v>
      </c>
      <c r="W34" s="776">
        <f t="shared" si="14"/>
        <v>100</v>
      </c>
      <c r="X34" s="1818"/>
      <c r="Y34" s="3228"/>
      <c r="Z34" s="1819" t="str">
        <f t="shared" si="15"/>
        <v>建筑结构</v>
      </c>
      <c r="AA34" s="1816">
        <f t="shared" si="3"/>
        <v>1</v>
      </c>
      <c r="AB34" s="1816">
        <f t="shared" si="4"/>
        <v>1</v>
      </c>
      <c r="AC34" s="1816">
        <f t="shared" si="5"/>
        <v>1</v>
      </c>
    </row>
    <row r="35" spans="1:29" ht="15">
      <c r="A35" s="473"/>
      <c r="B35" s="423" t="s">
        <v>2662</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26"/>
      <c r="Q35" s="1815" t="str">
        <f t="shared" si="11"/>
        <v>公共部分装修</v>
      </c>
      <c r="R35" s="775" t="s">
        <v>17</v>
      </c>
      <c r="S35" s="776">
        <f t="shared" si="12"/>
        <v>100</v>
      </c>
      <c r="T35" s="775" t="s">
        <v>17</v>
      </c>
      <c r="U35" s="776">
        <f t="shared" si="13"/>
        <v>100</v>
      </c>
      <c r="V35" s="775" t="s">
        <v>17</v>
      </c>
      <c r="W35" s="776">
        <f t="shared" si="14"/>
        <v>100</v>
      </c>
      <c r="X35" s="1818"/>
      <c r="Y35" s="3228"/>
      <c r="Z35" s="1819" t="str">
        <f t="shared" si="15"/>
        <v>公共部分装修</v>
      </c>
      <c r="AA35" s="1816">
        <f t="shared" si="3"/>
        <v>1</v>
      </c>
      <c r="AB35" s="1816">
        <f t="shared" si="4"/>
        <v>1</v>
      </c>
      <c r="AC35" s="1816">
        <f t="shared" si="5"/>
        <v>1</v>
      </c>
    </row>
    <row r="36" spans="1:29" ht="15">
      <c r="A36" s="473"/>
      <c r="B36" s="423" t="s">
        <v>2663</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26"/>
      <c r="Q36" s="1815" t="str">
        <f t="shared" si="11"/>
        <v>成新度</v>
      </c>
      <c r="R36" s="775" t="s">
        <v>17</v>
      </c>
      <c r="S36" s="776" t="e">
        <f t="shared" si="12"/>
        <v>#N/A</v>
      </c>
      <c r="T36" s="775" t="s">
        <v>17</v>
      </c>
      <c r="U36" s="776" t="e">
        <f t="shared" si="13"/>
        <v>#N/A</v>
      </c>
      <c r="V36" s="775" t="s">
        <v>17</v>
      </c>
      <c r="W36" s="776" t="e">
        <f t="shared" si="14"/>
        <v>#N/A</v>
      </c>
      <c r="X36" s="1818"/>
      <c r="Y36" s="3228"/>
      <c r="Z36" s="1819" t="str">
        <f t="shared" si="15"/>
        <v>成新度</v>
      </c>
      <c r="AA36" s="1816" t="e">
        <f t="shared" si="3"/>
        <v>#N/A</v>
      </c>
      <c r="AB36" s="1816" t="e">
        <f t="shared" si="4"/>
        <v>#N/A</v>
      </c>
      <c r="AC36" s="1816" t="e">
        <f t="shared" si="5"/>
        <v>#N/A</v>
      </c>
    </row>
    <row r="37" spans="1:29" s="117" customFormat="1" ht="15">
      <c r="A37" s="474"/>
      <c r="B37" s="423" t="s">
        <v>2664</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26"/>
      <c r="Q37" s="1800" t="str">
        <f t="shared" si="11"/>
        <v>市政基础设施</v>
      </c>
      <c r="R37" s="771" t="s">
        <v>17</v>
      </c>
      <c r="S37" s="772">
        <f t="shared" si="12"/>
        <v>100</v>
      </c>
      <c r="T37" s="771" t="s">
        <v>17</v>
      </c>
      <c r="U37" s="772">
        <f t="shared" si="13"/>
        <v>100</v>
      </c>
      <c r="V37" s="771" t="s">
        <v>17</v>
      </c>
      <c r="W37" s="772">
        <f t="shared" si="14"/>
        <v>100</v>
      </c>
      <c r="X37" s="773"/>
      <c r="Y37" s="3228"/>
      <c r="Z37" s="55" t="str">
        <f t="shared" si="15"/>
        <v>市政基础设施</v>
      </c>
      <c r="AA37" s="774">
        <f t="shared" si="3"/>
        <v>1</v>
      </c>
      <c r="AB37" s="774">
        <f t="shared" si="4"/>
        <v>1</v>
      </c>
      <c r="AC37" s="774">
        <f t="shared" si="5"/>
        <v>1</v>
      </c>
    </row>
    <row r="38" spans="1:29" ht="15">
      <c r="A38" s="473"/>
      <c r="B38" s="423" t="s">
        <v>2665</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26" t="s">
        <v>2566</v>
      </c>
      <c r="Q38" s="1815" t="str">
        <f t="shared" si="11"/>
        <v>业态</v>
      </c>
      <c r="R38" s="775" t="s">
        <v>17</v>
      </c>
      <c r="S38" s="776">
        <f t="shared" si="12"/>
        <v>100</v>
      </c>
      <c r="T38" s="775" t="s">
        <v>17</v>
      </c>
      <c r="U38" s="776">
        <f t="shared" si="13"/>
        <v>100</v>
      </c>
      <c r="V38" s="775" t="s">
        <v>17</v>
      </c>
      <c r="W38" s="776">
        <f t="shared" si="14"/>
        <v>100</v>
      </c>
      <c r="X38" s="1818"/>
      <c r="Y38" s="3228" t="s">
        <v>2566</v>
      </c>
      <c r="Z38" s="1819" t="str">
        <f t="shared" si="15"/>
        <v>业态</v>
      </c>
      <c r="AA38" s="1816">
        <f t="shared" si="3"/>
        <v>1</v>
      </c>
      <c r="AB38" s="1816">
        <f t="shared" si="4"/>
        <v>1</v>
      </c>
      <c r="AC38" s="1816">
        <f t="shared" si="5"/>
        <v>1</v>
      </c>
    </row>
    <row r="39" spans="1:29" ht="15">
      <c r="A39" s="473"/>
      <c r="B39" s="423" t="s">
        <v>2666</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26"/>
      <c r="Q39" s="1815" t="str">
        <f t="shared" si="11"/>
        <v>层高</v>
      </c>
      <c r="R39" s="775" t="s">
        <v>17</v>
      </c>
      <c r="S39" s="776">
        <f t="shared" si="12"/>
        <v>100</v>
      </c>
      <c r="T39" s="775" t="s">
        <v>17</v>
      </c>
      <c r="U39" s="776">
        <f t="shared" si="13"/>
        <v>100</v>
      </c>
      <c r="V39" s="775" t="s">
        <v>17</v>
      </c>
      <c r="W39" s="776">
        <f t="shared" si="14"/>
        <v>100</v>
      </c>
      <c r="X39" s="1818"/>
      <c r="Y39" s="3228"/>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26"/>
      <c r="Q40" s="1815" t="str">
        <f t="shared" si="11"/>
        <v>单套建筑面积</v>
      </c>
      <c r="R40" s="775" t="s">
        <v>17</v>
      </c>
      <c r="S40" s="776">
        <f t="shared" si="12"/>
        <v>100</v>
      </c>
      <c r="T40" s="775" t="s">
        <v>17</v>
      </c>
      <c r="U40" s="776">
        <f t="shared" si="13"/>
        <v>100</v>
      </c>
      <c r="V40" s="775" t="s">
        <v>17</v>
      </c>
      <c r="W40" s="776">
        <f t="shared" si="14"/>
        <v>100</v>
      </c>
      <c r="X40" s="1818"/>
      <c r="Y40" s="3228"/>
      <c r="Z40" s="1819" t="str">
        <f t="shared" si="15"/>
        <v>单套建筑面积</v>
      </c>
      <c r="AA40" s="1816">
        <f t="shared" si="3"/>
        <v>1</v>
      </c>
      <c r="AB40" s="1816">
        <f t="shared" si="4"/>
        <v>1</v>
      </c>
      <c r="AC40" s="1816">
        <f t="shared" si="5"/>
        <v>1</v>
      </c>
    </row>
    <row r="41" spans="1:29" s="472" customFormat="1" ht="15">
      <c r="A41" s="469"/>
      <c r="B41" s="1817" t="s">
        <v>2668</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26"/>
      <c r="Q41" s="777" t="str">
        <f t="shared" si="11"/>
        <v>进深比</v>
      </c>
      <c r="R41" s="778" t="s">
        <v>17</v>
      </c>
      <c r="S41" s="779">
        <f t="shared" si="12"/>
        <v>100</v>
      </c>
      <c r="T41" s="778" t="s">
        <v>17</v>
      </c>
      <c r="U41" s="779">
        <f t="shared" si="13"/>
        <v>100</v>
      </c>
      <c r="V41" s="778" t="s">
        <v>17</v>
      </c>
      <c r="W41" s="779">
        <f t="shared" si="14"/>
        <v>100</v>
      </c>
      <c r="X41" s="780"/>
      <c r="Y41" s="3228"/>
      <c r="Z41" s="781" t="str">
        <f t="shared" si="15"/>
        <v>进深比</v>
      </c>
      <c r="AA41" s="1816">
        <f t="shared" si="3"/>
        <v>1</v>
      </c>
      <c r="AB41" s="1816">
        <f t="shared" si="4"/>
        <v>1</v>
      </c>
      <c r="AC41" s="1816">
        <f t="shared" si="5"/>
        <v>1</v>
      </c>
    </row>
    <row r="42" spans="1:29" ht="15">
      <c r="A42" s="473"/>
      <c r="B42" s="423" t="s">
        <v>2669</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26"/>
      <c r="Q42" s="1815" t="str">
        <f t="shared" si="11"/>
        <v>内部装修</v>
      </c>
      <c r="R42" s="775" t="s">
        <v>17</v>
      </c>
      <c r="S42" s="776">
        <f t="shared" si="12"/>
        <v>100</v>
      </c>
      <c r="T42" s="775" t="s">
        <v>17</v>
      </c>
      <c r="U42" s="776">
        <f t="shared" si="13"/>
        <v>100</v>
      </c>
      <c r="V42" s="775" t="s">
        <v>17</v>
      </c>
      <c r="W42" s="776">
        <f t="shared" si="14"/>
        <v>100</v>
      </c>
      <c r="X42" s="1818"/>
      <c r="Y42" s="3228"/>
      <c r="Z42" s="1819" t="str">
        <f t="shared" si="15"/>
        <v>内部装修</v>
      </c>
      <c r="AA42" s="1816">
        <f t="shared" si="3"/>
        <v>1</v>
      </c>
      <c r="AB42" s="1816">
        <f t="shared" si="4"/>
        <v>1</v>
      </c>
      <c r="AC42" s="1816">
        <f t="shared" si="5"/>
        <v>1</v>
      </c>
    </row>
    <row r="43" spans="1:29" ht="15">
      <c r="A43" s="473"/>
      <c r="B43" s="423" t="s">
        <v>2577</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26"/>
      <c r="Q43" s="1815" t="str">
        <f t="shared" si="11"/>
        <v>内部装修维护情况</v>
      </c>
      <c r="R43" s="775" t="s">
        <v>17</v>
      </c>
      <c r="S43" s="776">
        <f t="shared" si="12"/>
        <v>100</v>
      </c>
      <c r="T43" s="775" t="s">
        <v>17</v>
      </c>
      <c r="U43" s="776">
        <f t="shared" si="13"/>
        <v>100</v>
      </c>
      <c r="V43" s="775" t="s">
        <v>17</v>
      </c>
      <c r="W43" s="776">
        <f t="shared" si="14"/>
        <v>100</v>
      </c>
      <c r="X43" s="1818"/>
      <c r="Y43" s="3228"/>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26"/>
      <c r="Q44" s="1800">
        <f t="shared" si="11"/>
        <v>111</v>
      </c>
      <c r="R44" s="771" t="s">
        <v>17</v>
      </c>
      <c r="S44" s="772">
        <f t="shared" si="12"/>
        <v>100</v>
      </c>
      <c r="T44" s="771" t="s">
        <v>17</v>
      </c>
      <c r="U44" s="772">
        <f t="shared" si="13"/>
        <v>100</v>
      </c>
      <c r="V44" s="771" t="s">
        <v>17</v>
      </c>
      <c r="W44" s="772">
        <f t="shared" si="14"/>
        <v>100</v>
      </c>
      <c r="X44" s="773"/>
      <c r="Y44" s="3228"/>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26"/>
      <c r="Q45" s="1815">
        <f t="shared" si="11"/>
        <v>111</v>
      </c>
      <c r="R45" s="775" t="s">
        <v>17</v>
      </c>
      <c r="S45" s="776">
        <f t="shared" si="12"/>
        <v>100</v>
      </c>
      <c r="T45" s="775" t="s">
        <v>17</v>
      </c>
      <c r="U45" s="776">
        <f t="shared" si="13"/>
        <v>100</v>
      </c>
      <c r="V45" s="775" t="s">
        <v>17</v>
      </c>
      <c r="W45" s="776">
        <f t="shared" si="14"/>
        <v>100</v>
      </c>
      <c r="X45" s="1818"/>
      <c r="Y45" s="3228"/>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27"/>
      <c r="Q46" s="1815">
        <f t="shared" si="11"/>
        <v>111</v>
      </c>
      <c r="R46" s="775" t="s">
        <v>17</v>
      </c>
      <c r="S46" s="776">
        <f t="shared" si="12"/>
        <v>100</v>
      </c>
      <c r="T46" s="775" t="s">
        <v>17</v>
      </c>
      <c r="U46" s="776">
        <f t="shared" si="13"/>
        <v>100</v>
      </c>
      <c r="V46" s="775" t="s">
        <v>17</v>
      </c>
      <c r="W46" s="776">
        <f t="shared" si="14"/>
        <v>100</v>
      </c>
      <c r="X46" s="1818"/>
      <c r="Y46" s="3229"/>
      <c r="Z46" s="1819">
        <f t="shared" si="15"/>
        <v>111</v>
      </c>
      <c r="AA46" s="1816">
        <f t="shared" si="3"/>
        <v>1</v>
      </c>
      <c r="AB46" s="1816">
        <f t="shared" si="4"/>
        <v>1</v>
      </c>
      <c r="AC46" s="1816">
        <f t="shared" si="5"/>
        <v>1</v>
      </c>
    </row>
    <row r="47" spans="1:29" ht="15">
      <c r="A47" s="480" t="s">
        <v>2578</v>
      </c>
      <c r="B47" s="481"/>
      <c r="C47" s="1411" t="s">
        <v>1</v>
      </c>
      <c r="D47" s="1412"/>
      <c r="E47" s="1413"/>
      <c r="F47" s="1414"/>
      <c r="G47" s="1415"/>
      <c r="H47" s="1416"/>
      <c r="I47" s="1413"/>
      <c r="J47" s="1416"/>
      <c r="K47" s="784"/>
      <c r="L47" s="1147"/>
      <c r="M47" s="1148"/>
      <c r="N47" s="1135"/>
      <c r="O47" s="1148"/>
      <c r="P47" s="3216" t="str">
        <f>A47</f>
        <v>成交单价（元/平方米）</v>
      </c>
      <c r="Q47" s="3216"/>
      <c r="R47" s="3250">
        <f>E47</f>
        <v>0</v>
      </c>
      <c r="S47" s="3250"/>
      <c r="T47" s="3250">
        <f>G47</f>
        <v>0</v>
      </c>
      <c r="U47" s="3250"/>
      <c r="V47" s="3250">
        <f>I47</f>
        <v>0</v>
      </c>
      <c r="W47" s="3250"/>
      <c r="X47" s="760"/>
      <c r="Y47" s="782"/>
      <c r="Z47" s="760"/>
      <c r="AA47" s="760"/>
      <c r="AB47" s="760"/>
      <c r="AC47" s="760"/>
    </row>
    <row r="48" spans="1:29" ht="15.75" thickBot="1">
      <c r="A48" s="487" t="s">
        <v>2670</v>
      </c>
      <c r="B48" s="488"/>
      <c r="C48" s="1417" t="e">
        <f>R49</f>
        <v>#DIV/0!</v>
      </c>
      <c r="D48" s="1418"/>
      <c r="E48" s="1419" t="e">
        <f>R48</f>
        <v>#DIV/0!</v>
      </c>
      <c r="F48" s="1419"/>
      <c r="G48" s="1417" t="e">
        <f>T48</f>
        <v>#DIV/0!</v>
      </c>
      <c r="H48" s="1418"/>
      <c r="I48" s="1419" t="e">
        <f>V48</f>
        <v>#DIV/0!</v>
      </c>
      <c r="J48" s="1418"/>
      <c r="K48" s="785"/>
      <c r="L48" s="1147"/>
      <c r="M48" s="1148"/>
      <c r="N48" s="1135"/>
      <c r="O48" s="1148"/>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60"/>
      <c r="Y48" s="760"/>
      <c r="Z48" s="760"/>
      <c r="AA48" s="760"/>
      <c r="AB48" s="760"/>
      <c r="AC48" s="760"/>
    </row>
    <row r="49" spans="1:29" ht="15.75" thickBot="1">
      <c r="A49" s="493" t="s">
        <v>2671</v>
      </c>
      <c r="B49" s="494"/>
      <c r="C49" s="1421" t="e">
        <f>R49</f>
        <v>#DIV/0!</v>
      </c>
      <c r="D49" s="1421"/>
      <c r="E49" s="1421"/>
      <c r="F49" s="1421"/>
      <c r="G49" s="1421"/>
      <c r="H49" s="1421"/>
      <c r="I49" s="1421"/>
      <c r="J49" s="1421"/>
      <c r="K49" s="786"/>
      <c r="L49" s="1147"/>
      <c r="M49" s="1148"/>
      <c r="N49" s="1135"/>
      <c r="O49" s="1148"/>
      <c r="P49" s="3294" t="str">
        <f>A49</f>
        <v>估价对象XX用房的比较价值（楼面单价，元/平方米）</v>
      </c>
      <c r="Q49" s="3295"/>
      <c r="R49" s="3296" t="e">
        <f>IF(F1="售价",ROUND(AVERAGE(R48:V48),0),ROUND(AVERAGE(R48:V48),1))</f>
        <v>#DIV/0!</v>
      </c>
      <c r="S49" s="3296"/>
      <c r="T49" s="3296"/>
      <c r="U49" s="3296"/>
      <c r="V49" s="3296"/>
      <c r="W49" s="329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2549</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2551</v>
      </c>
      <c r="B61" s="511"/>
      <c r="C61" s="523" t="s">
        <v>2653</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2559</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2564</v>
      </c>
      <c r="B100" s="529" t="s">
        <v>2682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2617</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2619</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2683</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2684</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2685</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2686</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2703</v>
      </c>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IF(C2="——",ROUND(C43*D3/10000,0),ROUND(C43*D3/10000,0)-D2)</f>
        <v>#DIV/0!</v>
      </c>
      <c r="C2" s="2593"/>
      <c r="D2" s="1128"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2645</v>
      </c>
      <c r="D3" s="400">
        <f>IF(D1="",'数据-汇总表'!E3,SUMIF('数据-汇总表'!$C19:$C33,D1,'数据-汇总表'!$E19:$E33))</f>
        <v>1952.76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63" t="s">
        <v>2649</v>
      </c>
      <c r="AC4" s="3297" t="s">
        <v>2650</v>
      </c>
    </row>
    <row r="5" spans="1:29"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63"/>
      <c r="AC5" s="3263"/>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301"/>
      <c r="Q6" s="3242"/>
      <c r="R6" s="3245"/>
      <c r="S6" s="3246"/>
      <c r="T6" s="3247"/>
      <c r="U6" s="3248"/>
      <c r="V6" s="3250"/>
      <c r="W6" s="3250"/>
      <c r="X6" s="1818"/>
      <c r="Y6" s="3247"/>
      <c r="Z6" s="3248"/>
      <c r="AA6" s="3264"/>
      <c r="AB6" s="3264"/>
      <c r="AC6" s="3264"/>
    </row>
    <row r="7" spans="1:29" s="117" customFormat="1" ht="15.75" thickBot="1">
      <c r="A7" s="409" t="s">
        <v>2549</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57" t="s">
        <v>2550</v>
      </c>
      <c r="Q7" s="3258"/>
      <c r="R7" s="771" t="s">
        <v>17</v>
      </c>
      <c r="S7" s="772">
        <f t="shared" ref="S7:S15" si="0">F7</f>
        <v>0</v>
      </c>
      <c r="T7" s="771" t="s">
        <v>17</v>
      </c>
      <c r="U7" s="772">
        <f t="shared" ref="U7:U15" si="1">H7</f>
        <v>0</v>
      </c>
      <c r="V7" s="771" t="s">
        <v>17</v>
      </c>
      <c r="W7" s="772">
        <f t="shared" ref="W7:W15" si="2">J7</f>
        <v>0</v>
      </c>
      <c r="X7" s="773"/>
      <c r="Y7" s="3257" t="s">
        <v>2550</v>
      </c>
      <c r="Z7" s="3256"/>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16"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16"/>
      <c r="Q10" s="1800" t="str">
        <f t="shared" si="6"/>
        <v>土地使用年限（年）</v>
      </c>
      <c r="R10" s="771" t="s">
        <v>17</v>
      </c>
      <c r="S10" s="772">
        <f t="shared" si="0"/>
        <v>100</v>
      </c>
      <c r="T10" s="771" t="s">
        <v>17</v>
      </c>
      <c r="U10" s="772">
        <f t="shared" si="1"/>
        <v>100</v>
      </c>
      <c r="V10" s="771" t="s">
        <v>17</v>
      </c>
      <c r="W10" s="772">
        <f t="shared" si="2"/>
        <v>100</v>
      </c>
      <c r="X10" s="773"/>
      <c r="Y10" s="3070"/>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16"/>
      <c r="Q11" s="1800" t="str">
        <f t="shared" si="6"/>
        <v>容积率</v>
      </c>
      <c r="R11" s="771" t="s">
        <v>17</v>
      </c>
      <c r="S11" s="772" t="e">
        <f t="shared" si="0"/>
        <v>#N/A</v>
      </c>
      <c r="T11" s="771" t="s">
        <v>17</v>
      </c>
      <c r="U11" s="772" t="e">
        <f t="shared" si="1"/>
        <v>#N/A</v>
      </c>
      <c r="V11" s="771" t="s">
        <v>17</v>
      </c>
      <c r="W11" s="772" t="e">
        <f t="shared" si="2"/>
        <v>#N/A</v>
      </c>
      <c r="X11" s="773"/>
      <c r="Y11" s="3070"/>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16"/>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16"/>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16"/>
      <c r="Q14" s="1800">
        <f t="shared" si="6"/>
        <v>111</v>
      </c>
      <c r="R14" s="771" t="s">
        <v>17</v>
      </c>
      <c r="S14" s="772">
        <f t="shared" si="0"/>
        <v>100</v>
      </c>
      <c r="T14" s="771" t="s">
        <v>17</v>
      </c>
      <c r="U14" s="772">
        <f t="shared" si="1"/>
        <v>100</v>
      </c>
      <c r="V14" s="771" t="s">
        <v>17</v>
      </c>
      <c r="W14" s="772">
        <f t="shared" si="2"/>
        <v>100</v>
      </c>
      <c r="X14" s="773"/>
      <c r="Y14" s="3070"/>
      <c r="Z14" s="55">
        <f t="shared" si="7"/>
        <v>111</v>
      </c>
      <c r="AA14" s="774">
        <f t="shared" si="3"/>
        <v>1</v>
      </c>
      <c r="AB14" s="774">
        <f t="shared" si="4"/>
        <v>1</v>
      </c>
      <c r="AC14" s="774">
        <f t="shared" si="5"/>
        <v>1</v>
      </c>
    </row>
    <row r="15" spans="1:29" ht="57">
      <c r="A15" s="441" t="s">
        <v>2560</v>
      </c>
      <c r="B15" s="69" t="s">
        <v>2704</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23" t="s">
        <v>2561</v>
      </c>
      <c r="Q15" s="1815" t="str">
        <f t="shared" si="6"/>
        <v>产业集聚程度</v>
      </c>
      <c r="R15" s="775" t="s">
        <v>17</v>
      </c>
      <c r="S15" s="776">
        <f t="shared" si="0"/>
        <v>100</v>
      </c>
      <c r="T15" s="775" t="s">
        <v>17</v>
      </c>
      <c r="U15" s="776">
        <f t="shared" si="1"/>
        <v>100</v>
      </c>
      <c r="V15" s="775" t="s">
        <v>17</v>
      </c>
      <c r="W15" s="776">
        <f t="shared" si="2"/>
        <v>100</v>
      </c>
      <c r="X15" s="1818"/>
      <c r="Y15" s="3223"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24"/>
      <c r="Q16" s="1815"/>
      <c r="R16" s="775"/>
      <c r="S16" s="776"/>
      <c r="T16" s="775"/>
      <c r="U16" s="776"/>
      <c r="V16" s="775"/>
      <c r="W16" s="776"/>
      <c r="X16" s="1818"/>
      <c r="Y16" s="3224"/>
      <c r="Z16" s="1819"/>
      <c r="AA16" s="1816">
        <v>1</v>
      </c>
      <c r="AB16" s="1816">
        <v>1</v>
      </c>
      <c r="AC16" s="1816">
        <v>1</v>
      </c>
    </row>
    <row r="17" spans="1:29" ht="85.5">
      <c r="A17" s="429"/>
      <c r="B17" s="452" t="s">
        <v>2097</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24"/>
      <c r="Q17" s="1815" t="str">
        <f>B17</f>
        <v>交通便捷度</v>
      </c>
      <c r="R17" s="775" t="s">
        <v>17</v>
      </c>
      <c r="S17" s="776">
        <f>F17</f>
        <v>100</v>
      </c>
      <c r="T17" s="775" t="s">
        <v>17</v>
      </c>
      <c r="U17" s="776">
        <f>H17</f>
        <v>100</v>
      </c>
      <c r="V17" s="775" t="s">
        <v>17</v>
      </c>
      <c r="W17" s="776">
        <f>J17</f>
        <v>100</v>
      </c>
      <c r="X17" s="1818"/>
      <c r="Y17" s="3224"/>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24"/>
      <c r="Q18" s="1815"/>
      <c r="R18" s="775"/>
      <c r="S18" s="776"/>
      <c r="T18" s="775"/>
      <c r="U18" s="776"/>
      <c r="V18" s="775"/>
      <c r="W18" s="776"/>
      <c r="X18" s="1818"/>
      <c r="Y18" s="3224"/>
      <c r="Z18" s="1819"/>
      <c r="AA18" s="1816">
        <v>1</v>
      </c>
      <c r="AB18" s="1816">
        <v>1</v>
      </c>
      <c r="AC18" s="1816">
        <v>1</v>
      </c>
    </row>
    <row r="19" spans="1:29" ht="42.75">
      <c r="A19" s="429"/>
      <c r="B19" s="452" t="s">
        <v>2689</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24"/>
      <c r="Q19" s="1815" t="str">
        <f>B19</f>
        <v>公共配套设施</v>
      </c>
      <c r="R19" s="775" t="s">
        <v>17</v>
      </c>
      <c r="S19" s="776">
        <f>F19</f>
        <v>100</v>
      </c>
      <c r="T19" s="775" t="s">
        <v>17</v>
      </c>
      <c r="U19" s="776">
        <f>H19</f>
        <v>100</v>
      </c>
      <c r="V19" s="775" t="s">
        <v>17</v>
      </c>
      <c r="W19" s="776">
        <f>J19</f>
        <v>100</v>
      </c>
      <c r="X19" s="1818"/>
      <c r="Y19" s="3224"/>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24"/>
      <c r="Q20" s="1815"/>
      <c r="R20" s="775"/>
      <c r="S20" s="776"/>
      <c r="T20" s="775"/>
      <c r="U20" s="776"/>
      <c r="V20" s="775"/>
      <c r="W20" s="776"/>
      <c r="X20" s="1818"/>
      <c r="Y20" s="3224"/>
      <c r="Z20" s="1819"/>
      <c r="AA20" s="1816">
        <v>1</v>
      </c>
      <c r="AB20" s="1816">
        <v>1</v>
      </c>
      <c r="AC20" s="1816">
        <v>1</v>
      </c>
    </row>
    <row r="21" spans="1:29" ht="28.5">
      <c r="A21" s="429"/>
      <c r="B21" s="1388" t="s">
        <v>2690</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24"/>
      <c r="Q21" s="1815" t="str">
        <f>B21</f>
        <v>基础设施水平</v>
      </c>
      <c r="R21" s="775" t="s">
        <v>17</v>
      </c>
      <c r="S21" s="776">
        <f>F21</f>
        <v>100</v>
      </c>
      <c r="T21" s="775" t="s">
        <v>17</v>
      </c>
      <c r="U21" s="776">
        <f>H21</f>
        <v>100</v>
      </c>
      <c r="V21" s="775" t="s">
        <v>17</v>
      </c>
      <c r="W21" s="776">
        <f>J21</f>
        <v>100</v>
      </c>
      <c r="X21" s="1818"/>
      <c r="Y21" s="3224"/>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24"/>
      <c r="Q22" s="1815"/>
      <c r="R22" s="775"/>
      <c r="S22" s="776"/>
      <c r="T22" s="775"/>
      <c r="U22" s="776"/>
      <c r="V22" s="775"/>
      <c r="W22" s="776"/>
      <c r="X22" s="1818"/>
      <c r="Y22" s="3224"/>
      <c r="Z22" s="1819"/>
      <c r="AA22" s="1816">
        <v>1</v>
      </c>
      <c r="AB22" s="1816">
        <v>1</v>
      </c>
      <c r="AC22" s="1816">
        <v>1</v>
      </c>
    </row>
    <row r="23" spans="1:29" ht="71.25">
      <c r="A23" s="429"/>
      <c r="B23" s="452" t="s">
        <v>2691</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24"/>
      <c r="Q23" s="1815" t="str">
        <f>B23</f>
        <v>环境质量</v>
      </c>
      <c r="R23" s="775" t="s">
        <v>17</v>
      </c>
      <c r="S23" s="776">
        <f>F23</f>
        <v>100</v>
      </c>
      <c r="T23" s="775" t="s">
        <v>17</v>
      </c>
      <c r="U23" s="776">
        <f>H23</f>
        <v>100</v>
      </c>
      <c r="V23" s="775" t="s">
        <v>17</v>
      </c>
      <c r="W23" s="776">
        <f>J23</f>
        <v>100</v>
      </c>
      <c r="X23" s="1818"/>
      <c r="Y23" s="3224"/>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24"/>
      <c r="Q24" s="1815"/>
      <c r="R24" s="775"/>
      <c r="S24" s="776"/>
      <c r="T24" s="775"/>
      <c r="U24" s="776"/>
      <c r="V24" s="775"/>
      <c r="W24" s="776"/>
      <c r="X24" s="1818"/>
      <c r="Y24" s="3224"/>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24"/>
      <c r="Q25" s="1815">
        <f>B25</f>
        <v>111</v>
      </c>
      <c r="R25" s="775" t="s">
        <v>17</v>
      </c>
      <c r="S25" s="776">
        <f>F25</f>
        <v>100</v>
      </c>
      <c r="T25" s="775" t="s">
        <v>17</v>
      </c>
      <c r="U25" s="776">
        <f>H25</f>
        <v>100</v>
      </c>
      <c r="V25" s="775" t="s">
        <v>17</v>
      </c>
      <c r="W25" s="776">
        <f>J25</f>
        <v>100</v>
      </c>
      <c r="X25" s="1818"/>
      <c r="Y25" s="3224"/>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24"/>
      <c r="Q26" s="1815">
        <f t="shared" ref="Q26:Q40" si="11">B26</f>
        <v>111</v>
      </c>
      <c r="R26" s="775" t="s">
        <v>17</v>
      </c>
      <c r="S26" s="776">
        <f>F26</f>
        <v>100</v>
      </c>
      <c r="T26" s="775" t="s">
        <v>17</v>
      </c>
      <c r="U26" s="776">
        <f>H26</f>
        <v>100</v>
      </c>
      <c r="V26" s="775" t="s">
        <v>17</v>
      </c>
      <c r="W26" s="776">
        <f>J26</f>
        <v>100</v>
      </c>
      <c r="X26" s="1818"/>
      <c r="Y26" s="3224"/>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24"/>
      <c r="Q27" s="1800">
        <f t="shared" si="11"/>
        <v>111</v>
      </c>
      <c r="R27" s="771" t="s">
        <v>17</v>
      </c>
      <c r="S27" s="772">
        <f>F27</f>
        <v>100</v>
      </c>
      <c r="T27" s="771" t="s">
        <v>17</v>
      </c>
      <c r="U27" s="772">
        <f>H27</f>
        <v>100</v>
      </c>
      <c r="V27" s="771" t="s">
        <v>17</v>
      </c>
      <c r="W27" s="772">
        <f>J27</f>
        <v>100</v>
      </c>
      <c r="X27" s="773"/>
      <c r="Y27" s="3224"/>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24"/>
      <c r="Q28" s="1815">
        <f t="shared" si="11"/>
        <v>111</v>
      </c>
      <c r="R28" s="775" t="s">
        <v>17</v>
      </c>
      <c r="S28" s="776">
        <f t="shared" ref="S28:S40" si="12">F28</f>
        <v>100</v>
      </c>
      <c r="T28" s="775" t="s">
        <v>17</v>
      </c>
      <c r="U28" s="776">
        <f t="shared" ref="U28:U40" si="13">H28</f>
        <v>100</v>
      </c>
      <c r="V28" s="775" t="s">
        <v>17</v>
      </c>
      <c r="W28" s="776">
        <f t="shared" ref="W28:W40" si="14">J28</f>
        <v>100</v>
      </c>
      <c r="X28" s="1818"/>
      <c r="Y28" s="3224"/>
      <c r="Z28" s="1819">
        <f t="shared" ref="Z28:Z40" si="15">Q28</f>
        <v>111</v>
      </c>
      <c r="AA28" s="1816">
        <f t="shared" si="3"/>
        <v>1</v>
      </c>
      <c r="AB28" s="1816">
        <f t="shared" si="4"/>
        <v>1</v>
      </c>
      <c r="AC28" s="1816">
        <f t="shared" si="5"/>
        <v>1</v>
      </c>
    </row>
    <row r="29" spans="1:29" ht="15">
      <c r="A29" s="467" t="s">
        <v>2564</v>
      </c>
      <c r="B29" s="71" t="s">
        <v>2694</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05" t="s">
        <v>2566</v>
      </c>
      <c r="Q29" s="1815" t="str">
        <f t="shared" si="11"/>
        <v>建筑类型</v>
      </c>
      <c r="R29" s="775" t="s">
        <v>17</v>
      </c>
      <c r="S29" s="776">
        <f t="shared" si="12"/>
        <v>100</v>
      </c>
      <c r="T29" s="775" t="s">
        <v>17</v>
      </c>
      <c r="U29" s="776">
        <f t="shared" si="13"/>
        <v>100</v>
      </c>
      <c r="V29" s="775" t="s">
        <v>17</v>
      </c>
      <c r="W29" s="776">
        <f t="shared" si="14"/>
        <v>100</v>
      </c>
      <c r="X29" s="1818"/>
      <c r="Y29" s="3228"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28"/>
      <c r="Q30" s="777" t="str">
        <f t="shared" si="11"/>
        <v>项目建筑规模</v>
      </c>
      <c r="R30" s="778" t="s">
        <v>17</v>
      </c>
      <c r="S30" s="779" t="e">
        <f t="shared" si="12"/>
        <v>#N/A</v>
      </c>
      <c r="T30" s="778" t="s">
        <v>17</v>
      </c>
      <c r="U30" s="779" t="e">
        <f t="shared" si="13"/>
        <v>#N/A</v>
      </c>
      <c r="V30" s="778" t="s">
        <v>17</v>
      </c>
      <c r="W30" s="779" t="e">
        <f t="shared" si="14"/>
        <v>#N/A</v>
      </c>
      <c r="X30" s="780"/>
      <c r="Y30" s="3228"/>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28"/>
      <c r="Q31" s="1815" t="str">
        <f t="shared" si="11"/>
        <v>建筑结构</v>
      </c>
      <c r="R31" s="775" t="s">
        <v>17</v>
      </c>
      <c r="S31" s="776">
        <f t="shared" si="12"/>
        <v>100</v>
      </c>
      <c r="T31" s="775" t="s">
        <v>17</v>
      </c>
      <c r="U31" s="776">
        <f t="shared" si="13"/>
        <v>100</v>
      </c>
      <c r="V31" s="775" t="s">
        <v>17</v>
      </c>
      <c r="W31" s="776">
        <f t="shared" si="14"/>
        <v>100</v>
      </c>
      <c r="X31" s="1818"/>
      <c r="Y31" s="3228"/>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28"/>
      <c r="Q32" s="1815" t="str">
        <f t="shared" si="11"/>
        <v>公共部分装修</v>
      </c>
      <c r="R32" s="775" t="s">
        <v>17</v>
      </c>
      <c r="S32" s="776">
        <f t="shared" si="12"/>
        <v>100</v>
      </c>
      <c r="T32" s="775" t="s">
        <v>17</v>
      </c>
      <c r="U32" s="776">
        <f t="shared" si="13"/>
        <v>100</v>
      </c>
      <c r="V32" s="775" t="s">
        <v>17</v>
      </c>
      <c r="W32" s="776">
        <f t="shared" si="14"/>
        <v>100</v>
      </c>
      <c r="X32" s="1818"/>
      <c r="Y32" s="3228"/>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28"/>
      <c r="Q33" s="1815" t="str">
        <f t="shared" si="11"/>
        <v>成新度</v>
      </c>
      <c r="R33" s="775" t="s">
        <v>17</v>
      </c>
      <c r="S33" s="776" t="e">
        <f t="shared" si="12"/>
        <v>#N/A</v>
      </c>
      <c r="T33" s="775" t="s">
        <v>17</v>
      </c>
      <c r="U33" s="776" t="e">
        <f t="shared" si="13"/>
        <v>#N/A</v>
      </c>
      <c r="V33" s="775" t="s">
        <v>17</v>
      </c>
      <c r="W33" s="776" t="e">
        <f t="shared" si="14"/>
        <v>#N/A</v>
      </c>
      <c r="X33" s="1818"/>
      <c r="Y33" s="3228"/>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28"/>
      <c r="Q34" s="1800" t="str">
        <f t="shared" si="11"/>
        <v>物业管理</v>
      </c>
      <c r="R34" s="771" t="s">
        <v>17</v>
      </c>
      <c r="S34" s="772">
        <f t="shared" si="12"/>
        <v>100</v>
      </c>
      <c r="T34" s="771" t="s">
        <v>17</v>
      </c>
      <c r="U34" s="772">
        <f t="shared" si="13"/>
        <v>100</v>
      </c>
      <c r="V34" s="771" t="s">
        <v>17</v>
      </c>
      <c r="W34" s="772">
        <f t="shared" si="14"/>
        <v>100</v>
      </c>
      <c r="X34" s="773"/>
      <c r="Y34" s="3228"/>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28" t="s">
        <v>2566</v>
      </c>
      <c r="Q35" s="1815" t="str">
        <f t="shared" si="11"/>
        <v>市政基础设施</v>
      </c>
      <c r="R35" s="775" t="s">
        <v>17</v>
      </c>
      <c r="S35" s="776">
        <f t="shared" si="12"/>
        <v>100</v>
      </c>
      <c r="T35" s="775" t="s">
        <v>17</v>
      </c>
      <c r="U35" s="776">
        <f t="shared" si="13"/>
        <v>100</v>
      </c>
      <c r="V35" s="775" t="s">
        <v>17</v>
      </c>
      <c r="W35" s="776">
        <f t="shared" si="14"/>
        <v>100</v>
      </c>
      <c r="X35" s="1818"/>
      <c r="Y35" s="3228"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28"/>
      <c r="Q36" s="1815" t="str">
        <f t="shared" si="11"/>
        <v>内部装修</v>
      </c>
      <c r="R36" s="775" t="s">
        <v>17</v>
      </c>
      <c r="S36" s="776">
        <f t="shared" si="12"/>
        <v>100</v>
      </c>
      <c r="T36" s="775" t="s">
        <v>17</v>
      </c>
      <c r="U36" s="776">
        <f t="shared" si="13"/>
        <v>100</v>
      </c>
      <c r="V36" s="775" t="s">
        <v>17</v>
      </c>
      <c r="W36" s="776">
        <f t="shared" si="14"/>
        <v>100</v>
      </c>
      <c r="X36" s="1818"/>
      <c r="Y36" s="3228"/>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28"/>
      <c r="Q37" s="1815" t="str">
        <f t="shared" si="11"/>
        <v>内部装修状况</v>
      </c>
      <c r="R37" s="775" t="s">
        <v>17</v>
      </c>
      <c r="S37" s="776">
        <f t="shared" si="12"/>
        <v>100</v>
      </c>
      <c r="T37" s="775" t="s">
        <v>17</v>
      </c>
      <c r="U37" s="776">
        <f t="shared" si="13"/>
        <v>100</v>
      </c>
      <c r="V37" s="775" t="s">
        <v>17</v>
      </c>
      <c r="W37" s="776">
        <f t="shared" si="14"/>
        <v>100</v>
      </c>
      <c r="X37" s="1818"/>
      <c r="Y37" s="3228"/>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28"/>
      <c r="Q38" s="777">
        <f t="shared" si="11"/>
        <v>111</v>
      </c>
      <c r="R38" s="778" t="s">
        <v>17</v>
      </c>
      <c r="S38" s="779">
        <f t="shared" si="12"/>
        <v>100</v>
      </c>
      <c r="T38" s="778" t="s">
        <v>17</v>
      </c>
      <c r="U38" s="779">
        <f t="shared" si="13"/>
        <v>100</v>
      </c>
      <c r="V38" s="778" t="s">
        <v>17</v>
      </c>
      <c r="W38" s="779">
        <f t="shared" si="14"/>
        <v>100</v>
      </c>
      <c r="X38" s="780"/>
      <c r="Y38" s="3228"/>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28"/>
      <c r="Q39" s="1815">
        <f t="shared" si="11"/>
        <v>111</v>
      </c>
      <c r="R39" s="775" t="s">
        <v>17</v>
      </c>
      <c r="S39" s="776">
        <f t="shared" si="12"/>
        <v>100</v>
      </c>
      <c r="T39" s="775" t="s">
        <v>17</v>
      </c>
      <c r="U39" s="776">
        <f t="shared" si="13"/>
        <v>100</v>
      </c>
      <c r="V39" s="775" t="s">
        <v>17</v>
      </c>
      <c r="W39" s="776">
        <f t="shared" si="14"/>
        <v>100</v>
      </c>
      <c r="X39" s="1818"/>
      <c r="Y39" s="3228"/>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29"/>
      <c r="Q40" s="1815">
        <f t="shared" si="11"/>
        <v>111</v>
      </c>
      <c r="R40" s="775" t="s">
        <v>17</v>
      </c>
      <c r="S40" s="776">
        <f t="shared" si="12"/>
        <v>100</v>
      </c>
      <c r="T40" s="775" t="s">
        <v>17</v>
      </c>
      <c r="U40" s="776">
        <f t="shared" si="13"/>
        <v>100</v>
      </c>
      <c r="V40" s="775" t="s">
        <v>17</v>
      </c>
      <c r="W40" s="776">
        <f t="shared" si="14"/>
        <v>100</v>
      </c>
      <c r="X40" s="1818"/>
      <c r="Y40" s="3229"/>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216" t="str">
        <f>A41</f>
        <v>成交单价（元/平方米）</v>
      </c>
      <c r="Q41" s="3216"/>
      <c r="R41" s="3217">
        <f>E41</f>
        <v>0</v>
      </c>
      <c r="S41" s="3217"/>
      <c r="T41" s="3217">
        <f>G41</f>
        <v>0</v>
      </c>
      <c r="U41" s="3217"/>
      <c r="V41" s="3217">
        <f>I41</f>
        <v>0</v>
      </c>
      <c r="W41" s="3217"/>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294" t="str">
        <f>A43</f>
        <v>估价对象XX用房的比较价值（楼面单价，元/平方米）</v>
      </c>
      <c r="Q43" s="3295"/>
      <c r="R43" s="3296" t="e">
        <f>IF(F1="售价",ROUND(AVERAGE(R42:V42),0),ROUND(AVERAGE(R42:V42),1))</f>
        <v>#DIV/0!</v>
      </c>
      <c r="S43" s="3296"/>
      <c r="T43" s="3296"/>
      <c r="U43" s="3296"/>
      <c r="V43" s="3296"/>
      <c r="W43" s="3296"/>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1613</v>
      </c>
    </row>
    <row r="6" spans="1:1" ht="18.75">
      <c r="A6" s="1955" t="s">
        <v>1614</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1619</v>
      </c>
    </row>
    <row r="15" spans="1:1" ht="18">
      <c r="A15" s="1959" t="str">
        <f>TEXT(项目基本情况!D3,"yyyy年m月d日;;")&amp;IF(项目基本情况!D3=项目基本情况!B3,"（评估专业人员实地查勘之日）","")</f>
        <v>2017年11月8日（评估专业人员实地查勘之日）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91"/>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2328</v>
      </c>
      <c r="B2" s="1422" t="e">
        <f ca="1">IF(C2="——",IF(B37="元/平方米",ROUND(C39*D3/10000,0),ROUND(F3*C39/10000,0)),IF(B37="元/平方米",ROUND(C39*D3/10000,0),ROUND(F3*C39/10000,0))-D2)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2330</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63" t="s">
        <v>2649</v>
      </c>
      <c r="AC4" s="3297" t="s">
        <v>2650</v>
      </c>
    </row>
    <row r="5" spans="1:29"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63"/>
      <c r="AC5" s="3263"/>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301"/>
      <c r="Q6" s="3242"/>
      <c r="R6" s="3245"/>
      <c r="S6" s="3246"/>
      <c r="T6" s="3247"/>
      <c r="U6" s="3248"/>
      <c r="V6" s="3250"/>
      <c r="W6" s="3250"/>
      <c r="X6" s="1818"/>
      <c r="Y6" s="3247"/>
      <c r="Z6" s="3248"/>
      <c r="AA6" s="3264"/>
      <c r="AB6" s="3264"/>
      <c r="AC6" s="3264"/>
    </row>
    <row r="7" spans="1:29" s="117" customFormat="1" ht="15.75" thickBot="1">
      <c r="A7" s="409" t="s">
        <v>2549</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57" t="s">
        <v>2550</v>
      </c>
      <c r="Q7" s="3258"/>
      <c r="R7" s="771" t="s">
        <v>17</v>
      </c>
      <c r="S7" s="772">
        <f t="shared" ref="S7:S14" si="0">F7</f>
        <v>0</v>
      </c>
      <c r="T7" s="771" t="s">
        <v>17</v>
      </c>
      <c r="U7" s="772">
        <f t="shared" ref="U7:U14" si="1">H7</f>
        <v>0</v>
      </c>
      <c r="V7" s="771" t="s">
        <v>17</v>
      </c>
      <c r="W7" s="772">
        <f t="shared" ref="W7:W14" si="2">J7</f>
        <v>0</v>
      </c>
      <c r="X7" s="773"/>
      <c r="Y7" s="3257" t="s">
        <v>2550</v>
      </c>
      <c r="Z7" s="3256"/>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16" t="s">
        <v>2556</v>
      </c>
      <c r="Q9" s="1800" t="str">
        <f t="shared" ref="Q9:Q14" si="6">B9</f>
        <v>用途</v>
      </c>
      <c r="R9" s="771" t="s">
        <v>17</v>
      </c>
      <c r="S9" s="772">
        <f t="shared" si="0"/>
        <v>100</v>
      </c>
      <c r="T9" s="771" t="s">
        <v>17</v>
      </c>
      <c r="U9" s="772">
        <f t="shared" si="1"/>
        <v>100</v>
      </c>
      <c r="V9" s="771" t="s">
        <v>17</v>
      </c>
      <c r="W9" s="772">
        <f t="shared" si="2"/>
        <v>100</v>
      </c>
      <c r="X9" s="773"/>
      <c r="Y9" s="3070"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7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16"/>
      <c r="Q11" s="1800">
        <f t="shared" si="6"/>
        <v>111</v>
      </c>
      <c r="R11" s="771" t="s">
        <v>17</v>
      </c>
      <c r="S11" s="772">
        <f t="shared" si="0"/>
        <v>100</v>
      </c>
      <c r="T11" s="771" t="s">
        <v>17</v>
      </c>
      <c r="U11" s="772">
        <f t="shared" si="1"/>
        <v>100</v>
      </c>
      <c r="V11" s="771" t="s">
        <v>17</v>
      </c>
      <c r="W11" s="772">
        <f t="shared" si="2"/>
        <v>100</v>
      </c>
      <c r="X11" s="773"/>
      <c r="Y11" s="307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774">
        <f t="shared" si="5"/>
        <v>1</v>
      </c>
    </row>
    <row r="14" spans="1:29" ht="85.5">
      <c r="A14" s="402" t="s">
        <v>2560</v>
      </c>
      <c r="B14" s="630" t="s">
        <v>2710</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23" t="s">
        <v>2561</v>
      </c>
      <c r="Q14" s="1815" t="str">
        <f t="shared" si="6"/>
        <v>交通便捷度</v>
      </c>
      <c r="R14" s="775" t="s">
        <v>17</v>
      </c>
      <c r="S14" s="776">
        <f t="shared" si="0"/>
        <v>100</v>
      </c>
      <c r="T14" s="775" t="s">
        <v>17</v>
      </c>
      <c r="U14" s="776">
        <f t="shared" si="1"/>
        <v>100</v>
      </c>
      <c r="V14" s="775" t="s">
        <v>17</v>
      </c>
      <c r="W14" s="776">
        <f t="shared" si="2"/>
        <v>100</v>
      </c>
      <c r="X14" s="1818"/>
      <c r="Y14" s="3223"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24"/>
      <c r="Q15" s="1815"/>
      <c r="R15" s="775"/>
      <c r="S15" s="776"/>
      <c r="T15" s="775"/>
      <c r="U15" s="776"/>
      <c r="V15" s="775"/>
      <c r="W15" s="776"/>
      <c r="X15" s="1818"/>
      <c r="Y15" s="3224"/>
      <c r="Z15" s="1819"/>
      <c r="AA15" s="1816">
        <v>1</v>
      </c>
      <c r="AB15" s="1816">
        <v>1</v>
      </c>
      <c r="AC15" s="1816">
        <v>1</v>
      </c>
    </row>
    <row r="16" spans="1:29" ht="42.75">
      <c r="A16" s="405"/>
      <c r="B16" s="632" t="s">
        <v>2689</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24"/>
      <c r="Q16" s="1815" t="str">
        <f>B16</f>
        <v>公共配套设施</v>
      </c>
      <c r="R16" s="775" t="s">
        <v>17</v>
      </c>
      <c r="S16" s="776">
        <f>F16</f>
        <v>100</v>
      </c>
      <c r="T16" s="775" t="s">
        <v>17</v>
      </c>
      <c r="U16" s="776">
        <f>H16</f>
        <v>100</v>
      </c>
      <c r="V16" s="775" t="s">
        <v>17</v>
      </c>
      <c r="W16" s="776">
        <f>J16</f>
        <v>100</v>
      </c>
      <c r="X16" s="1818"/>
      <c r="Y16" s="3224"/>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24"/>
      <c r="Q17" s="1815"/>
      <c r="R17" s="775"/>
      <c r="S17" s="776"/>
      <c r="T17" s="775"/>
      <c r="U17" s="776"/>
      <c r="V17" s="775"/>
      <c r="W17" s="776"/>
      <c r="X17" s="1818"/>
      <c r="Y17" s="3224"/>
      <c r="Z17" s="1819"/>
      <c r="AA17" s="1816">
        <v>1</v>
      </c>
      <c r="AB17" s="1816">
        <v>1</v>
      </c>
      <c r="AC17" s="1816">
        <v>1</v>
      </c>
    </row>
    <row r="18" spans="1:29" ht="28.5">
      <c r="A18" s="405"/>
      <c r="B18" s="634" t="s">
        <v>2690</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24"/>
      <c r="Q18" s="1815" t="str">
        <f>B18</f>
        <v>基础设施水平</v>
      </c>
      <c r="R18" s="775" t="s">
        <v>17</v>
      </c>
      <c r="S18" s="776">
        <f>F18</f>
        <v>100</v>
      </c>
      <c r="T18" s="775" t="s">
        <v>17</v>
      </c>
      <c r="U18" s="776">
        <f>H18</f>
        <v>100</v>
      </c>
      <c r="V18" s="775" t="s">
        <v>17</v>
      </c>
      <c r="W18" s="776">
        <f>J18</f>
        <v>100</v>
      </c>
      <c r="X18" s="1818"/>
      <c r="Y18" s="3224"/>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24"/>
      <c r="Q19" s="1815"/>
      <c r="R19" s="775"/>
      <c r="S19" s="776"/>
      <c r="T19" s="775"/>
      <c r="U19" s="776"/>
      <c r="V19" s="775"/>
      <c r="W19" s="776"/>
      <c r="X19" s="1818"/>
      <c r="Y19" s="3224"/>
      <c r="Z19" s="1819"/>
      <c r="AA19" s="1816">
        <v>1</v>
      </c>
      <c r="AB19" s="1816">
        <v>1</v>
      </c>
      <c r="AC19" s="1816">
        <v>1</v>
      </c>
    </row>
    <row r="20" spans="1:29" ht="57">
      <c r="A20" s="405"/>
      <c r="B20" s="632" t="s">
        <v>2711</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24"/>
      <c r="Q20" s="1815" t="str">
        <f>B20</f>
        <v>自然及人文环境</v>
      </c>
      <c r="R20" s="775" t="s">
        <v>17</v>
      </c>
      <c r="S20" s="776">
        <f>F20</f>
        <v>100</v>
      </c>
      <c r="T20" s="775" t="s">
        <v>17</v>
      </c>
      <c r="U20" s="776">
        <f>H20</f>
        <v>100</v>
      </c>
      <c r="V20" s="775" t="s">
        <v>17</v>
      </c>
      <c r="W20" s="776">
        <f>J20</f>
        <v>100</v>
      </c>
      <c r="X20" s="1818"/>
      <c r="Y20" s="3224"/>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24"/>
      <c r="Q21" s="1815"/>
      <c r="R21" s="775"/>
      <c r="S21" s="776"/>
      <c r="T21" s="775"/>
      <c r="U21" s="776"/>
      <c r="V21" s="775"/>
      <c r="W21" s="776"/>
      <c r="X21" s="1818"/>
      <c r="Y21" s="3224"/>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24"/>
      <c r="Q22" s="1815" t="str">
        <f>B22</f>
        <v>楼层</v>
      </c>
      <c r="R22" s="775" t="s">
        <v>17</v>
      </c>
      <c r="S22" s="776">
        <f>F22</f>
        <v>100</v>
      </c>
      <c r="T22" s="775" t="s">
        <v>17</v>
      </c>
      <c r="U22" s="776">
        <f>H22</f>
        <v>100</v>
      </c>
      <c r="V22" s="775" t="s">
        <v>17</v>
      </c>
      <c r="W22" s="776">
        <f>J22</f>
        <v>100</v>
      </c>
      <c r="X22" s="1818"/>
      <c r="Y22" s="3224"/>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24"/>
      <c r="Q23" s="1815">
        <f>B23</f>
        <v>111</v>
      </c>
      <c r="R23" s="775" t="s">
        <v>17</v>
      </c>
      <c r="S23" s="776">
        <f>F23</f>
        <v>100</v>
      </c>
      <c r="T23" s="775" t="s">
        <v>17</v>
      </c>
      <c r="U23" s="776">
        <f>H23</f>
        <v>100</v>
      </c>
      <c r="V23" s="775" t="s">
        <v>17</v>
      </c>
      <c r="W23" s="776">
        <f>J23</f>
        <v>100</v>
      </c>
      <c r="X23" s="1818"/>
      <c r="Y23" s="3224"/>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24"/>
      <c r="Q24" s="1815">
        <f t="shared" ref="Q24:Q36" si="11">B24</f>
        <v>111</v>
      </c>
      <c r="R24" s="775" t="s">
        <v>17</v>
      </c>
      <c r="S24" s="776">
        <f>F24</f>
        <v>100</v>
      </c>
      <c r="T24" s="775" t="s">
        <v>17</v>
      </c>
      <c r="U24" s="776">
        <f>H24</f>
        <v>100</v>
      </c>
      <c r="V24" s="775" t="s">
        <v>17</v>
      </c>
      <c r="W24" s="776">
        <f>J24</f>
        <v>100</v>
      </c>
      <c r="X24" s="1818"/>
      <c r="Y24" s="3224"/>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24"/>
      <c r="Q25" s="1800">
        <f t="shared" si="11"/>
        <v>111</v>
      </c>
      <c r="R25" s="771" t="s">
        <v>17</v>
      </c>
      <c r="S25" s="772">
        <f>F25</f>
        <v>100</v>
      </c>
      <c r="T25" s="771" t="s">
        <v>17</v>
      </c>
      <c r="U25" s="772">
        <f>H25</f>
        <v>100</v>
      </c>
      <c r="V25" s="771" t="s">
        <v>17</v>
      </c>
      <c r="W25" s="772">
        <f>J25</f>
        <v>100</v>
      </c>
      <c r="X25" s="773"/>
      <c r="Y25" s="3224"/>
      <c r="Z25" s="55">
        <f>Q25</f>
        <v>111</v>
      </c>
      <c r="AA25" s="1816">
        <f>D25/F25</f>
        <v>1</v>
      </c>
      <c r="AB25" s="1816">
        <f>D25/H25</f>
        <v>1</v>
      </c>
      <c r="AC25" s="1816">
        <f>D25/J25</f>
        <v>1</v>
      </c>
    </row>
    <row r="26" spans="1:29" ht="15">
      <c r="A26" s="653" t="s">
        <v>2564</v>
      </c>
      <c r="B26" s="70" t="s">
        <v>2713</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5"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28"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28"/>
      <c r="Q27" s="777" t="str">
        <f t="shared" si="11"/>
        <v>项目停车位配比</v>
      </c>
      <c r="R27" s="778" t="s">
        <v>17</v>
      </c>
      <c r="S27" s="779">
        <f t="shared" si="12"/>
        <v>100</v>
      </c>
      <c r="T27" s="778" t="s">
        <v>17</v>
      </c>
      <c r="U27" s="779">
        <f t="shared" si="13"/>
        <v>100</v>
      </c>
      <c r="V27" s="778" t="s">
        <v>17</v>
      </c>
      <c r="W27" s="779">
        <f t="shared" si="14"/>
        <v>100</v>
      </c>
      <c r="X27" s="780"/>
      <c r="Y27" s="3228"/>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28"/>
      <c r="Q28" s="1815" t="str">
        <f t="shared" si="11"/>
        <v>公共部分装修</v>
      </c>
      <c r="R28" s="775" t="s">
        <v>17</v>
      </c>
      <c r="S28" s="776">
        <f t="shared" si="12"/>
        <v>100</v>
      </c>
      <c r="T28" s="775" t="s">
        <v>17</v>
      </c>
      <c r="U28" s="776">
        <f t="shared" si="13"/>
        <v>100</v>
      </c>
      <c r="V28" s="775" t="s">
        <v>17</v>
      </c>
      <c r="W28" s="776">
        <f t="shared" si="14"/>
        <v>100</v>
      </c>
      <c r="X28" s="1818"/>
      <c r="Y28" s="3228"/>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28"/>
      <c r="Q29" s="1815" t="str">
        <f t="shared" si="11"/>
        <v>成新率</v>
      </c>
      <c r="R29" s="775" t="s">
        <v>17</v>
      </c>
      <c r="S29" s="776" t="e">
        <f t="shared" si="12"/>
        <v>#N/A</v>
      </c>
      <c r="T29" s="775" t="s">
        <v>17</v>
      </c>
      <c r="U29" s="776" t="e">
        <f t="shared" si="13"/>
        <v>#N/A</v>
      </c>
      <c r="V29" s="775" t="s">
        <v>17</v>
      </c>
      <c r="W29" s="776" t="e">
        <f t="shared" si="14"/>
        <v>#N/A</v>
      </c>
      <c r="X29" s="1818"/>
      <c r="Y29" s="3228"/>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28"/>
      <c r="Q30" s="1815" t="str">
        <f t="shared" si="11"/>
        <v>物业等级</v>
      </c>
      <c r="R30" s="775" t="s">
        <v>17</v>
      </c>
      <c r="S30" s="776">
        <f t="shared" si="12"/>
        <v>100</v>
      </c>
      <c r="T30" s="775" t="s">
        <v>17</v>
      </c>
      <c r="U30" s="776">
        <f t="shared" si="13"/>
        <v>100</v>
      </c>
      <c r="V30" s="775" t="s">
        <v>17</v>
      </c>
      <c r="W30" s="776">
        <f t="shared" si="14"/>
        <v>100</v>
      </c>
      <c r="X30" s="1818"/>
      <c r="Y30" s="3228"/>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28"/>
      <c r="Q31" s="1800" t="str">
        <f t="shared" si="11"/>
        <v>停车位面积</v>
      </c>
      <c r="R31" s="771" t="s">
        <v>17</v>
      </c>
      <c r="S31" s="772" t="e">
        <f t="shared" si="12"/>
        <v>#N/A</v>
      </c>
      <c r="T31" s="771" t="s">
        <v>17</v>
      </c>
      <c r="U31" s="772" t="e">
        <f t="shared" si="13"/>
        <v>#N/A</v>
      </c>
      <c r="V31" s="771" t="s">
        <v>17</v>
      </c>
      <c r="W31" s="772" t="e">
        <f t="shared" si="14"/>
        <v>#N/A</v>
      </c>
      <c r="X31" s="773"/>
      <c r="Y31" s="3228"/>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28" t="s">
        <v>2566</v>
      </c>
      <c r="Q32" s="1815" t="str">
        <f t="shared" si="11"/>
        <v>车位类型</v>
      </c>
      <c r="R32" s="775" t="s">
        <v>17</v>
      </c>
      <c r="S32" s="776">
        <f t="shared" si="12"/>
        <v>100</v>
      </c>
      <c r="T32" s="775" t="s">
        <v>17</v>
      </c>
      <c r="U32" s="776">
        <f t="shared" si="13"/>
        <v>100</v>
      </c>
      <c r="V32" s="775" t="s">
        <v>17</v>
      </c>
      <c r="W32" s="776">
        <f t="shared" si="14"/>
        <v>100</v>
      </c>
      <c r="X32" s="1818"/>
      <c r="Y32" s="3228"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28"/>
      <c r="Q33" s="1815" t="str">
        <f t="shared" si="11"/>
        <v>是否直接入户</v>
      </c>
      <c r="R33" s="775" t="s">
        <v>17</v>
      </c>
      <c r="S33" s="776">
        <f t="shared" si="12"/>
        <v>100</v>
      </c>
      <c r="T33" s="775" t="s">
        <v>17</v>
      </c>
      <c r="U33" s="776">
        <f t="shared" si="13"/>
        <v>100</v>
      </c>
      <c r="V33" s="775" t="s">
        <v>17</v>
      </c>
      <c r="W33" s="776">
        <f t="shared" si="14"/>
        <v>100</v>
      </c>
      <c r="X33" s="1818"/>
      <c r="Y33" s="3228"/>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28"/>
      <c r="Q34" s="1815">
        <f t="shared" si="11"/>
        <v>111</v>
      </c>
      <c r="R34" s="775" t="s">
        <v>17</v>
      </c>
      <c r="S34" s="776">
        <f t="shared" si="12"/>
        <v>100</v>
      </c>
      <c r="T34" s="775" t="s">
        <v>17</v>
      </c>
      <c r="U34" s="776">
        <f t="shared" si="13"/>
        <v>100</v>
      </c>
      <c r="V34" s="775" t="s">
        <v>17</v>
      </c>
      <c r="W34" s="776">
        <f t="shared" si="14"/>
        <v>100</v>
      </c>
      <c r="X34" s="1818"/>
      <c r="Y34" s="3228"/>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28"/>
      <c r="Q35" s="777">
        <f t="shared" si="11"/>
        <v>111</v>
      </c>
      <c r="R35" s="778" t="s">
        <v>17</v>
      </c>
      <c r="S35" s="779">
        <f t="shared" si="12"/>
        <v>100</v>
      </c>
      <c r="T35" s="778" t="s">
        <v>17</v>
      </c>
      <c r="U35" s="779">
        <f t="shared" si="13"/>
        <v>100</v>
      </c>
      <c r="V35" s="778" t="s">
        <v>17</v>
      </c>
      <c r="W35" s="779">
        <f t="shared" si="14"/>
        <v>100</v>
      </c>
      <c r="X35" s="780"/>
      <c r="Y35" s="3228"/>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28"/>
      <c r="Q36" s="1815">
        <f t="shared" si="11"/>
        <v>111</v>
      </c>
      <c r="R36" s="775" t="s">
        <v>17</v>
      </c>
      <c r="S36" s="776">
        <f t="shared" si="12"/>
        <v>100</v>
      </c>
      <c r="T36" s="775" t="s">
        <v>17</v>
      </c>
      <c r="U36" s="776">
        <f t="shared" si="13"/>
        <v>100</v>
      </c>
      <c r="V36" s="775" t="s">
        <v>17</v>
      </c>
      <c r="W36" s="776">
        <f t="shared" si="14"/>
        <v>100</v>
      </c>
      <c r="X36" s="1818"/>
      <c r="Y36" s="3228"/>
      <c r="Z36" s="1819">
        <f t="shared" si="15"/>
        <v>111</v>
      </c>
      <c r="AA36" s="1816">
        <f t="shared" si="3"/>
        <v>1</v>
      </c>
      <c r="AB36" s="1816">
        <f t="shared" si="4"/>
        <v>1</v>
      </c>
      <c r="AC36" s="1816">
        <f t="shared" si="5"/>
        <v>1</v>
      </c>
    </row>
    <row r="37" spans="1:29" ht="15">
      <c r="A37" s="480" t="s">
        <v>2721</v>
      </c>
      <c r="B37" s="2702" t="s">
        <v>2722</v>
      </c>
      <c r="C37" s="1411" t="s">
        <v>1</v>
      </c>
      <c r="D37" s="1412"/>
      <c r="E37" s="1413"/>
      <c r="F37" s="1414"/>
      <c r="G37" s="1415"/>
      <c r="H37" s="1416"/>
      <c r="I37" s="1413"/>
      <c r="J37" s="1416"/>
      <c r="K37" s="620"/>
      <c r="L37" s="1147"/>
      <c r="M37" s="1148"/>
      <c r="N37" s="1135"/>
      <c r="O37" s="1148"/>
      <c r="P37" s="3216" t="str">
        <f>A37</f>
        <v>成交单价</v>
      </c>
      <c r="Q37" s="3216"/>
      <c r="R37" s="3217">
        <f>E37</f>
        <v>0</v>
      </c>
      <c r="S37" s="3217"/>
      <c r="T37" s="3217">
        <f>G37</f>
        <v>0</v>
      </c>
      <c r="U37" s="3217"/>
      <c r="V37" s="3217">
        <f>I37</f>
        <v>0</v>
      </c>
      <c r="W37" s="3217"/>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294" t="str">
        <f>A39</f>
        <v>估价对象XX用房的比较价值（楼面单价，元/平方米）</v>
      </c>
      <c r="Q39" s="3295"/>
      <c r="R39" s="3296" t="e">
        <f>IF(F1="售价",ROUND(AVERAGE(R38:V38),0),ROUND(AVERAGE(R38:V38),1))</f>
        <v>#DIV/0!</v>
      </c>
      <c r="S39" s="3296"/>
      <c r="T39" s="3296"/>
      <c r="U39" s="3296"/>
      <c r="V39" s="3296"/>
      <c r="W39" s="3296"/>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IF(C2="——",ROUND(C37*D3/10000,0),ROUND(C37*D3/10000,0)-D2)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63" t="s">
        <v>2649</v>
      </c>
      <c r="AC4" s="3297" t="s">
        <v>2650</v>
      </c>
    </row>
    <row r="5" spans="1:29"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63"/>
      <c r="AC5" s="3263"/>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301"/>
      <c r="Q6" s="3242"/>
      <c r="R6" s="3245"/>
      <c r="S6" s="3246"/>
      <c r="T6" s="3247"/>
      <c r="U6" s="3248"/>
      <c r="V6" s="3250"/>
      <c r="W6" s="3250"/>
      <c r="X6" s="1818"/>
      <c r="Y6" s="3247"/>
      <c r="Z6" s="3248"/>
      <c r="AA6" s="3264"/>
      <c r="AB6" s="3264"/>
      <c r="AC6" s="3264"/>
    </row>
    <row r="7" spans="1:29" s="117" customFormat="1" ht="15.75" thickBot="1">
      <c r="A7" s="409" t="s">
        <v>2549</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57" t="s">
        <v>2550</v>
      </c>
      <c r="Q7" s="3258"/>
      <c r="R7" s="771" t="s">
        <v>17</v>
      </c>
      <c r="S7" s="772">
        <f t="shared" ref="S7:S14" si="0">F7</f>
        <v>0</v>
      </c>
      <c r="T7" s="771" t="s">
        <v>17</v>
      </c>
      <c r="U7" s="772">
        <f t="shared" ref="U7:U14" si="1">H7</f>
        <v>0</v>
      </c>
      <c r="V7" s="771" t="s">
        <v>17</v>
      </c>
      <c r="W7" s="772">
        <f t="shared" ref="W7:W14" si="2">J7</f>
        <v>0</v>
      </c>
      <c r="X7" s="773"/>
      <c r="Y7" s="3257" t="s">
        <v>2550</v>
      </c>
      <c r="Z7" s="3256"/>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16" t="s">
        <v>2556</v>
      </c>
      <c r="Q9" s="1800" t="str">
        <f t="shared" ref="Q9:Q14" si="6">B9</f>
        <v>用途</v>
      </c>
      <c r="R9" s="771" t="s">
        <v>17</v>
      </c>
      <c r="S9" s="772">
        <f t="shared" si="0"/>
        <v>100</v>
      </c>
      <c r="T9" s="771" t="s">
        <v>17</v>
      </c>
      <c r="U9" s="772">
        <f t="shared" si="1"/>
        <v>100</v>
      </c>
      <c r="V9" s="771" t="s">
        <v>17</v>
      </c>
      <c r="W9" s="772">
        <f t="shared" si="2"/>
        <v>100</v>
      </c>
      <c r="X9" s="773"/>
      <c r="Y9" s="3070"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16"/>
      <c r="Q10" s="1800" t="str">
        <f t="shared" si="6"/>
        <v>土地使用年限（年）</v>
      </c>
      <c r="R10" s="771" t="s">
        <v>17</v>
      </c>
      <c r="S10" s="772">
        <f t="shared" si="0"/>
        <v>100</v>
      </c>
      <c r="T10" s="771" t="s">
        <v>17</v>
      </c>
      <c r="U10" s="772">
        <f t="shared" si="1"/>
        <v>100</v>
      </c>
      <c r="V10" s="771" t="s">
        <v>17</v>
      </c>
      <c r="W10" s="772">
        <f t="shared" si="2"/>
        <v>100</v>
      </c>
      <c r="X10" s="773"/>
      <c r="Y10" s="3070"/>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16"/>
      <c r="Q11" s="1800">
        <f t="shared" si="6"/>
        <v>111</v>
      </c>
      <c r="R11" s="771" t="s">
        <v>17</v>
      </c>
      <c r="S11" s="772">
        <f t="shared" si="0"/>
        <v>100</v>
      </c>
      <c r="T11" s="771" t="s">
        <v>17</v>
      </c>
      <c r="U11" s="772">
        <f t="shared" si="1"/>
        <v>100</v>
      </c>
      <c r="V11" s="771" t="s">
        <v>17</v>
      </c>
      <c r="W11" s="772">
        <f t="shared" si="2"/>
        <v>100</v>
      </c>
      <c r="X11" s="773"/>
      <c r="Y11" s="3070"/>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16"/>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16"/>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774">
        <f t="shared" si="5"/>
        <v>1</v>
      </c>
    </row>
    <row r="14" spans="1:29" ht="85.5">
      <c r="A14" s="441" t="s">
        <v>2560</v>
      </c>
      <c r="B14" s="69" t="s">
        <v>2710</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23" t="s">
        <v>2561</v>
      </c>
      <c r="Q14" s="1815" t="str">
        <f t="shared" si="6"/>
        <v>交通便捷度</v>
      </c>
      <c r="R14" s="775" t="s">
        <v>17</v>
      </c>
      <c r="S14" s="776">
        <f t="shared" si="0"/>
        <v>100</v>
      </c>
      <c r="T14" s="775" t="s">
        <v>17</v>
      </c>
      <c r="U14" s="776">
        <f t="shared" si="1"/>
        <v>100</v>
      </c>
      <c r="V14" s="775" t="s">
        <v>17</v>
      </c>
      <c r="W14" s="776">
        <f t="shared" si="2"/>
        <v>100</v>
      </c>
      <c r="X14" s="1818"/>
      <c r="Y14" s="3223"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24"/>
      <c r="Q15" s="1815"/>
      <c r="R15" s="775"/>
      <c r="S15" s="776"/>
      <c r="T15" s="775"/>
      <c r="U15" s="776"/>
      <c r="V15" s="775"/>
      <c r="W15" s="776"/>
      <c r="X15" s="1818"/>
      <c r="Y15" s="3224"/>
      <c r="Z15" s="1819"/>
      <c r="AA15" s="1816">
        <v>1</v>
      </c>
      <c r="AB15" s="1816">
        <v>1</v>
      </c>
      <c r="AC15" s="1816">
        <v>1</v>
      </c>
    </row>
    <row r="16" spans="1:29" ht="42.75">
      <c r="A16" s="429"/>
      <c r="B16" s="452" t="s">
        <v>2689</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24"/>
      <c r="Q16" s="1815" t="str">
        <f>B16</f>
        <v>公共配套设施</v>
      </c>
      <c r="R16" s="775" t="s">
        <v>17</v>
      </c>
      <c r="S16" s="776">
        <f>F16</f>
        <v>100</v>
      </c>
      <c r="T16" s="775" t="s">
        <v>17</v>
      </c>
      <c r="U16" s="776">
        <f>H16</f>
        <v>100</v>
      </c>
      <c r="V16" s="775" t="s">
        <v>17</v>
      </c>
      <c r="W16" s="776">
        <f>J16</f>
        <v>100</v>
      </c>
      <c r="X16" s="1818"/>
      <c r="Y16" s="3224"/>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24"/>
      <c r="Q17" s="1815"/>
      <c r="R17" s="775"/>
      <c r="S17" s="776"/>
      <c r="T17" s="775"/>
      <c r="U17" s="776"/>
      <c r="V17" s="775"/>
      <c r="W17" s="776"/>
      <c r="X17" s="1818"/>
      <c r="Y17" s="3224"/>
      <c r="Z17" s="1819"/>
      <c r="AA17" s="1816">
        <v>1</v>
      </c>
      <c r="AB17" s="1816">
        <v>1</v>
      </c>
      <c r="AC17" s="1816">
        <v>1</v>
      </c>
    </row>
    <row r="18" spans="1:29" ht="28.5">
      <c r="A18" s="429"/>
      <c r="B18" s="1388" t="s">
        <v>2690</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24"/>
      <c r="Q18" s="1815" t="str">
        <f>B18</f>
        <v>基础设施水平</v>
      </c>
      <c r="R18" s="775" t="s">
        <v>17</v>
      </c>
      <c r="S18" s="776">
        <f>F18</f>
        <v>100</v>
      </c>
      <c r="T18" s="775" t="s">
        <v>17</v>
      </c>
      <c r="U18" s="776">
        <f>H18</f>
        <v>100</v>
      </c>
      <c r="V18" s="775" t="s">
        <v>17</v>
      </c>
      <c r="W18" s="776">
        <f>J18</f>
        <v>100</v>
      </c>
      <c r="X18" s="1818"/>
      <c r="Y18" s="3224"/>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24"/>
      <c r="Q19" s="1815"/>
      <c r="R19" s="775"/>
      <c r="S19" s="776"/>
      <c r="T19" s="775"/>
      <c r="U19" s="776"/>
      <c r="V19" s="775"/>
      <c r="W19" s="776"/>
      <c r="X19" s="1818"/>
      <c r="Y19" s="3224"/>
      <c r="Z19" s="1819"/>
      <c r="AA19" s="1816">
        <v>1</v>
      </c>
      <c r="AB19" s="1816">
        <v>1</v>
      </c>
      <c r="AC19" s="1816">
        <v>1</v>
      </c>
    </row>
    <row r="20" spans="1:29" ht="57">
      <c r="A20" s="429"/>
      <c r="B20" s="452" t="s">
        <v>2711</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24"/>
      <c r="Q20" s="1815" t="str">
        <f>B20</f>
        <v>自然及人文环境</v>
      </c>
      <c r="R20" s="775" t="s">
        <v>17</v>
      </c>
      <c r="S20" s="776">
        <f>F20</f>
        <v>100</v>
      </c>
      <c r="T20" s="775" t="s">
        <v>17</v>
      </c>
      <c r="U20" s="776">
        <f>H20</f>
        <v>100</v>
      </c>
      <c r="V20" s="775" t="s">
        <v>17</v>
      </c>
      <c r="W20" s="776">
        <f>J20</f>
        <v>100</v>
      </c>
      <c r="X20" s="1818"/>
      <c r="Y20" s="3224"/>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24"/>
      <c r="Q21" s="1815"/>
      <c r="R21" s="775"/>
      <c r="S21" s="776"/>
      <c r="T21" s="775"/>
      <c r="U21" s="776"/>
      <c r="V21" s="775"/>
      <c r="W21" s="776"/>
      <c r="X21" s="1818"/>
      <c r="Y21" s="3224"/>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24"/>
      <c r="Q22" s="1815" t="str">
        <f>B22</f>
        <v>楼层</v>
      </c>
      <c r="R22" s="775" t="s">
        <v>17</v>
      </c>
      <c r="S22" s="776">
        <f>F22</f>
        <v>100</v>
      </c>
      <c r="T22" s="775" t="s">
        <v>17</v>
      </c>
      <c r="U22" s="776">
        <f>H22</f>
        <v>100</v>
      </c>
      <c r="V22" s="775" t="s">
        <v>17</v>
      </c>
      <c r="W22" s="776">
        <f>J22</f>
        <v>100</v>
      </c>
      <c r="X22" s="1818"/>
      <c r="Y22" s="3224"/>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24"/>
      <c r="Q23" s="1815">
        <f>B23</f>
        <v>111</v>
      </c>
      <c r="R23" s="775" t="s">
        <v>17</v>
      </c>
      <c r="S23" s="776">
        <f>F23</f>
        <v>100</v>
      </c>
      <c r="T23" s="775" t="s">
        <v>17</v>
      </c>
      <c r="U23" s="776">
        <f>H23</f>
        <v>100</v>
      </c>
      <c r="V23" s="775" t="s">
        <v>17</v>
      </c>
      <c r="W23" s="776">
        <f>J23</f>
        <v>100</v>
      </c>
      <c r="X23" s="1818"/>
      <c r="Y23" s="3224"/>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24"/>
      <c r="Q24" s="1815">
        <f t="shared" ref="Q24:Q34" si="11">B24</f>
        <v>111</v>
      </c>
      <c r="R24" s="775" t="s">
        <v>17</v>
      </c>
      <c r="S24" s="776">
        <f>F24</f>
        <v>100</v>
      </c>
      <c r="T24" s="775" t="s">
        <v>17</v>
      </c>
      <c r="U24" s="776">
        <f>H24</f>
        <v>100</v>
      </c>
      <c r="V24" s="775" t="s">
        <v>17</v>
      </c>
      <c r="W24" s="776">
        <f>J24</f>
        <v>100</v>
      </c>
      <c r="X24" s="1818"/>
      <c r="Y24" s="3224"/>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24"/>
      <c r="Q25" s="1800">
        <f t="shared" si="11"/>
        <v>111</v>
      </c>
      <c r="R25" s="771" t="s">
        <v>17</v>
      </c>
      <c r="S25" s="772">
        <f>F25</f>
        <v>100</v>
      </c>
      <c r="T25" s="771" t="s">
        <v>17</v>
      </c>
      <c r="U25" s="772">
        <f>H25</f>
        <v>100</v>
      </c>
      <c r="V25" s="771" t="s">
        <v>17</v>
      </c>
      <c r="W25" s="772">
        <f>J25</f>
        <v>100</v>
      </c>
      <c r="X25" s="773"/>
      <c r="Y25" s="3224"/>
      <c r="Z25" s="55">
        <f>Q25</f>
        <v>111</v>
      </c>
      <c r="AA25" s="1816">
        <f>D25/F25</f>
        <v>1</v>
      </c>
      <c r="AB25" s="1816">
        <f>D25/H25</f>
        <v>1</v>
      </c>
      <c r="AC25" s="1816">
        <f>D25/J25</f>
        <v>1</v>
      </c>
    </row>
    <row r="26" spans="1:29" ht="15">
      <c r="A26" s="467" t="s">
        <v>2564</v>
      </c>
      <c r="B26" s="71" t="s">
        <v>2715</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05"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28"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28"/>
      <c r="Q27" s="777" t="str">
        <f t="shared" si="11"/>
        <v>成新率</v>
      </c>
      <c r="R27" s="778" t="s">
        <v>17</v>
      </c>
      <c r="S27" s="779" t="e">
        <f t="shared" si="12"/>
        <v>#N/A</v>
      </c>
      <c r="T27" s="778" t="s">
        <v>17</v>
      </c>
      <c r="U27" s="779" t="e">
        <f t="shared" si="13"/>
        <v>#N/A</v>
      </c>
      <c r="V27" s="778" t="s">
        <v>17</v>
      </c>
      <c r="W27" s="779" t="e">
        <f t="shared" si="14"/>
        <v>#N/A</v>
      </c>
      <c r="X27" s="780"/>
      <c r="Y27" s="3228"/>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28"/>
      <c r="Q28" s="1815" t="str">
        <f t="shared" si="11"/>
        <v>物业等级</v>
      </c>
      <c r="R28" s="775" t="s">
        <v>17</v>
      </c>
      <c r="S28" s="776">
        <f t="shared" si="12"/>
        <v>100</v>
      </c>
      <c r="T28" s="775" t="s">
        <v>17</v>
      </c>
      <c r="U28" s="776">
        <f t="shared" si="13"/>
        <v>100</v>
      </c>
      <c r="V28" s="775" t="s">
        <v>17</v>
      </c>
      <c r="W28" s="776">
        <f t="shared" si="14"/>
        <v>100</v>
      </c>
      <c r="X28" s="1818"/>
      <c r="Y28" s="3228"/>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28"/>
      <c r="Q29" s="1815" t="str">
        <f t="shared" si="11"/>
        <v>有无电梯</v>
      </c>
      <c r="R29" s="775" t="s">
        <v>17</v>
      </c>
      <c r="S29" s="776">
        <f t="shared" si="12"/>
        <v>100</v>
      </c>
      <c r="T29" s="775" t="s">
        <v>17</v>
      </c>
      <c r="U29" s="776">
        <f t="shared" si="13"/>
        <v>100</v>
      </c>
      <c r="V29" s="775" t="s">
        <v>17</v>
      </c>
      <c r="W29" s="776">
        <f t="shared" si="14"/>
        <v>100</v>
      </c>
      <c r="X29" s="1818"/>
      <c r="Y29" s="3228"/>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28"/>
      <c r="Q30" s="1815" t="str">
        <f t="shared" si="11"/>
        <v>建筑面积</v>
      </c>
      <c r="R30" s="775" t="s">
        <v>17</v>
      </c>
      <c r="S30" s="776" t="e">
        <f t="shared" si="12"/>
        <v>#N/A</v>
      </c>
      <c r="T30" s="775" t="s">
        <v>17</v>
      </c>
      <c r="U30" s="776" t="e">
        <f t="shared" si="13"/>
        <v>#N/A</v>
      </c>
      <c r="V30" s="775" t="s">
        <v>17</v>
      </c>
      <c r="W30" s="776" t="e">
        <f t="shared" si="14"/>
        <v>#N/A</v>
      </c>
      <c r="X30" s="1818"/>
      <c r="Y30" s="3228"/>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28"/>
      <c r="Q31" s="1800" t="str">
        <f t="shared" si="11"/>
        <v>是否封闭</v>
      </c>
      <c r="R31" s="771" t="s">
        <v>17</v>
      </c>
      <c r="S31" s="772">
        <f t="shared" si="12"/>
        <v>100</v>
      </c>
      <c r="T31" s="771" t="s">
        <v>17</v>
      </c>
      <c r="U31" s="772">
        <f t="shared" si="13"/>
        <v>100</v>
      </c>
      <c r="V31" s="771" t="s">
        <v>17</v>
      </c>
      <c r="W31" s="772">
        <f t="shared" si="14"/>
        <v>100</v>
      </c>
      <c r="X31" s="773"/>
      <c r="Y31" s="3228"/>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28" t="s">
        <v>2566</v>
      </c>
      <c r="Q32" s="1815">
        <f t="shared" si="11"/>
        <v>111</v>
      </c>
      <c r="R32" s="775" t="s">
        <v>17</v>
      </c>
      <c r="S32" s="776">
        <f t="shared" si="12"/>
        <v>100</v>
      </c>
      <c r="T32" s="775" t="s">
        <v>17</v>
      </c>
      <c r="U32" s="776">
        <f t="shared" si="13"/>
        <v>100</v>
      </c>
      <c r="V32" s="775" t="s">
        <v>17</v>
      </c>
      <c r="W32" s="776">
        <f t="shared" si="14"/>
        <v>100</v>
      </c>
      <c r="X32" s="1818"/>
      <c r="Y32" s="3228" t="s">
        <v>2566</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28"/>
      <c r="Q33" s="1815">
        <f t="shared" si="11"/>
        <v>111</v>
      </c>
      <c r="R33" s="775" t="s">
        <v>17</v>
      </c>
      <c r="S33" s="776">
        <f t="shared" si="12"/>
        <v>100</v>
      </c>
      <c r="T33" s="775" t="s">
        <v>17</v>
      </c>
      <c r="U33" s="776">
        <f t="shared" si="13"/>
        <v>100</v>
      </c>
      <c r="V33" s="775" t="s">
        <v>17</v>
      </c>
      <c r="W33" s="776">
        <f t="shared" si="14"/>
        <v>100</v>
      </c>
      <c r="X33" s="1818"/>
      <c r="Y33" s="3228"/>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28"/>
      <c r="Q34" s="1815">
        <f t="shared" si="11"/>
        <v>111</v>
      </c>
      <c r="R34" s="775" t="s">
        <v>17</v>
      </c>
      <c r="S34" s="776">
        <f t="shared" si="12"/>
        <v>100</v>
      </c>
      <c r="T34" s="775" t="s">
        <v>17</v>
      </c>
      <c r="U34" s="776">
        <f t="shared" si="13"/>
        <v>100</v>
      </c>
      <c r="V34" s="775" t="s">
        <v>17</v>
      </c>
      <c r="W34" s="776">
        <f t="shared" si="14"/>
        <v>100</v>
      </c>
      <c r="X34" s="1818"/>
      <c r="Y34" s="3228"/>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216" t="str">
        <f>A35</f>
        <v>成交单价（元/平方米）</v>
      </c>
      <c r="Q35" s="3216"/>
      <c r="R35" s="3217">
        <f>E35</f>
        <v>0</v>
      </c>
      <c r="S35" s="3217"/>
      <c r="T35" s="3217">
        <f>G35</f>
        <v>0</v>
      </c>
      <c r="U35" s="3217"/>
      <c r="V35" s="3217">
        <f>I35</f>
        <v>0</v>
      </c>
      <c r="W35" s="3217"/>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294" t="str">
        <f>A37</f>
        <v>估价对象XX用房的比较价值（楼面单价，元/平方米）</v>
      </c>
      <c r="Q37" s="3295"/>
      <c r="R37" s="3296" t="e">
        <f>IF(F1="售价",ROUND(AVERAGE(R36:V36),0),ROUND(AVERAGE(R36:V36),1))</f>
        <v>#DIV/0!</v>
      </c>
      <c r="S37" s="3296"/>
      <c r="T37" s="3296"/>
      <c r="U37" s="3296"/>
      <c r="V37" s="3296"/>
      <c r="W37" s="3296"/>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63" t="s">
        <v>2649</v>
      </c>
      <c r="AC4" s="3297" t="s">
        <v>2650</v>
      </c>
    </row>
    <row r="5" spans="1:30"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63"/>
      <c r="AC5" s="3263"/>
    </row>
    <row r="6" spans="1:30" ht="15.75" thickBot="1">
      <c r="A6" s="407"/>
      <c r="B6" s="408"/>
      <c r="C6" s="3251" t="s">
        <v>2547</v>
      </c>
      <c r="D6" s="3252"/>
      <c r="E6" s="3260" t="s">
        <v>2547</v>
      </c>
      <c r="F6" s="3261"/>
      <c r="G6" s="3251" t="s">
        <v>2547</v>
      </c>
      <c r="H6" s="3252"/>
      <c r="I6" s="3251" t="s">
        <v>2547</v>
      </c>
      <c r="J6" s="3252"/>
      <c r="K6" s="611" t="s">
        <v>2548</v>
      </c>
      <c r="L6" s="1134"/>
      <c r="M6" s="1135"/>
      <c r="N6" s="1135"/>
      <c r="O6" s="1135"/>
      <c r="P6" s="3301"/>
      <c r="Q6" s="3242"/>
      <c r="R6" s="3245"/>
      <c r="S6" s="3246"/>
      <c r="T6" s="3247"/>
      <c r="U6" s="3248"/>
      <c r="V6" s="3250"/>
      <c r="W6" s="3250"/>
      <c r="X6" s="1818"/>
      <c r="Y6" s="3247"/>
      <c r="Z6" s="3248"/>
      <c r="AA6" s="3264"/>
      <c r="AB6" s="3264"/>
      <c r="AC6" s="3264"/>
    </row>
    <row r="7" spans="1:30" s="117" customFormat="1" ht="15.75" thickBot="1">
      <c r="A7" s="409" t="s">
        <v>2549</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57" t="s">
        <v>2550</v>
      </c>
      <c r="Q7" s="3258"/>
      <c r="R7" s="771" t="s">
        <v>17</v>
      </c>
      <c r="S7" s="772">
        <f t="shared" ref="S7:S15" si="0">F7</f>
        <v>0</v>
      </c>
      <c r="T7" s="771" t="s">
        <v>17</v>
      </c>
      <c r="U7" s="772">
        <f t="shared" ref="U7:U15" si="1">H7</f>
        <v>0</v>
      </c>
      <c r="V7" s="771" t="s">
        <v>17</v>
      </c>
      <c r="W7" s="772">
        <f t="shared" ref="W7:W15" si="2">J7</f>
        <v>0</v>
      </c>
      <c r="X7" s="773"/>
      <c r="Y7" s="3257" t="s">
        <v>2550</v>
      </c>
      <c r="Z7" s="3256"/>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45" si="3">D8/F8</f>
        <v>#DIV/0!</v>
      </c>
      <c r="AB8" s="774" t="e">
        <f t="shared" ref="AB8:AB45" si="4">D8/H8</f>
        <v>#DIV/0!</v>
      </c>
      <c r="AC8" s="774" t="e">
        <f t="shared" ref="AC8:AC45" si="5">D8/J8</f>
        <v>#DIV/0!</v>
      </c>
    </row>
    <row r="9" spans="1:30" s="117" customFormat="1">
      <c r="A9" s="416" t="s">
        <v>2554</v>
      </c>
      <c r="B9" s="71" t="s">
        <v>2555</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16"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108</v>
      </c>
      <c r="G10" s="464"/>
      <c r="H10" s="136">
        <f>ROUND(100/'数据-取费表'!G16,0)</f>
        <v>108</v>
      </c>
      <c r="I10" s="464"/>
      <c r="J10" s="136">
        <f>ROUND(100/'数据-取费表'!G16,0)</f>
        <v>108</v>
      </c>
      <c r="K10" s="673"/>
      <c r="L10" s="1139"/>
      <c r="M10" s="1140"/>
      <c r="N10" s="1140"/>
      <c r="O10" s="1141"/>
      <c r="P10" s="3216"/>
      <c r="Q10" s="1800" t="str">
        <f t="shared" si="6"/>
        <v>土地使用年限（年）</v>
      </c>
      <c r="R10" s="771" t="s">
        <v>17</v>
      </c>
      <c r="S10" s="772">
        <f t="shared" si="0"/>
        <v>108</v>
      </c>
      <c r="T10" s="771" t="s">
        <v>17</v>
      </c>
      <c r="U10" s="772">
        <f t="shared" si="1"/>
        <v>108</v>
      </c>
      <c r="V10" s="771" t="s">
        <v>17</v>
      </c>
      <c r="W10" s="772">
        <f t="shared" si="2"/>
        <v>108</v>
      </c>
      <c r="X10" s="773"/>
      <c r="Y10" s="3070"/>
      <c r="Z10" s="55" t="str">
        <f t="shared" si="7"/>
        <v>土地使用年限（年）</v>
      </c>
      <c r="AA10" s="774">
        <f t="shared" si="3"/>
        <v>0.92592592592592593</v>
      </c>
      <c r="AB10" s="774">
        <f t="shared" si="4"/>
        <v>0.92592592592592593</v>
      </c>
      <c r="AC10" s="774">
        <f t="shared" si="5"/>
        <v>0.92592592592592593</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16"/>
      <c r="Q11" s="1800" t="str">
        <f t="shared" si="6"/>
        <v>容积率</v>
      </c>
      <c r="R11" s="771" t="s">
        <v>17</v>
      </c>
      <c r="S11" s="772" t="e">
        <f t="shared" si="0"/>
        <v>#N/A</v>
      </c>
      <c r="T11" s="771" t="s">
        <v>17</v>
      </c>
      <c r="U11" s="772" t="e">
        <f t="shared" si="1"/>
        <v>#N/A</v>
      </c>
      <c r="V11" s="771" t="s">
        <v>17</v>
      </c>
      <c r="W11" s="772" t="e">
        <f t="shared" si="2"/>
        <v>#N/A</v>
      </c>
      <c r="X11" s="773"/>
      <c r="Y11" s="3070"/>
      <c r="Z11" s="55" t="str">
        <f t="shared" si="7"/>
        <v>容积率</v>
      </c>
      <c r="AA11" s="774" t="e">
        <f t="shared" si="3"/>
        <v>#N/A</v>
      </c>
      <c r="AB11" s="774" t="e">
        <f t="shared" si="4"/>
        <v>#N/A</v>
      </c>
      <c r="AC11" s="774" t="e">
        <f t="shared" si="5"/>
        <v>#N/A</v>
      </c>
    </row>
    <row r="12" spans="1:30" s="117" customFormat="1" ht="15">
      <c r="A12" s="432"/>
      <c r="B12" s="2607"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16"/>
      <c r="Q12" s="1800" t="str">
        <f t="shared" si="6"/>
        <v>配建</v>
      </c>
      <c r="R12" s="771" t="s">
        <v>17</v>
      </c>
      <c r="S12" s="772">
        <f t="shared" si="0"/>
        <v>100</v>
      </c>
      <c r="T12" s="771" t="s">
        <v>17</v>
      </c>
      <c r="U12" s="772">
        <f t="shared" si="1"/>
        <v>100</v>
      </c>
      <c r="V12" s="771" t="s">
        <v>17</v>
      </c>
      <c r="W12" s="772">
        <f t="shared" si="2"/>
        <v>100</v>
      </c>
      <c r="X12" s="773"/>
      <c r="Y12" s="3070"/>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16"/>
      <c r="Q13" s="1800">
        <f t="shared" si="6"/>
        <v>111</v>
      </c>
      <c r="R13" s="771" t="s">
        <v>17</v>
      </c>
      <c r="S13" s="772">
        <f t="shared" si="0"/>
        <v>100</v>
      </c>
      <c r="T13" s="771" t="s">
        <v>17</v>
      </c>
      <c r="U13" s="772">
        <f t="shared" si="1"/>
        <v>100</v>
      </c>
      <c r="V13" s="771" t="s">
        <v>17</v>
      </c>
      <c r="W13" s="772">
        <f t="shared" si="2"/>
        <v>100</v>
      </c>
      <c r="X13" s="773"/>
      <c r="Y13" s="3070"/>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16"/>
      <c r="Q14" s="1800">
        <f t="shared" si="6"/>
        <v>111</v>
      </c>
      <c r="R14" s="771" t="s">
        <v>17</v>
      </c>
      <c r="S14" s="772">
        <f t="shared" si="0"/>
        <v>100</v>
      </c>
      <c r="T14" s="771" t="s">
        <v>17</v>
      </c>
      <c r="U14" s="772">
        <f t="shared" si="1"/>
        <v>100</v>
      </c>
      <c r="V14" s="771" t="s">
        <v>17</v>
      </c>
      <c r="W14" s="772">
        <f t="shared" si="2"/>
        <v>100</v>
      </c>
      <c r="X14" s="773"/>
      <c r="Y14" s="3070"/>
      <c r="Z14" s="55">
        <f t="shared" si="7"/>
        <v>111</v>
      </c>
      <c r="AA14" s="774">
        <f>D14/F14</f>
        <v>1</v>
      </c>
      <c r="AB14" s="774">
        <f>D14/H14</f>
        <v>1</v>
      </c>
      <c r="AC14" s="774">
        <f>D14/J14</f>
        <v>1</v>
      </c>
    </row>
    <row r="15" spans="1:30" ht="99.75">
      <c r="A15" s="441" t="s">
        <v>2560</v>
      </c>
      <c r="B15" s="69" t="s">
        <v>2085</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23" t="s">
        <v>2561</v>
      </c>
      <c r="Q15" s="1815" t="str">
        <f t="shared" si="6"/>
        <v>居住社区成熟度</v>
      </c>
      <c r="R15" s="775" t="s">
        <v>17</v>
      </c>
      <c r="S15" s="776">
        <f t="shared" si="0"/>
        <v>100</v>
      </c>
      <c r="T15" s="775" t="s">
        <v>17</v>
      </c>
      <c r="U15" s="776">
        <f t="shared" si="1"/>
        <v>100</v>
      </c>
      <c r="V15" s="775" t="s">
        <v>17</v>
      </c>
      <c r="W15" s="776">
        <f t="shared" si="2"/>
        <v>100</v>
      </c>
      <c r="X15" s="1818"/>
      <c r="Y15" s="3223" t="s">
        <v>2561</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24"/>
      <c r="Q16" s="1815"/>
      <c r="R16" s="775"/>
      <c r="S16" s="776"/>
      <c r="T16" s="775"/>
      <c r="U16" s="776"/>
      <c r="V16" s="775"/>
      <c r="W16" s="776"/>
      <c r="X16" s="1818"/>
      <c r="Y16" s="3224"/>
      <c r="Z16" s="1819"/>
      <c r="AA16" s="1816">
        <v>1</v>
      </c>
      <c r="AB16" s="1816">
        <v>1</v>
      </c>
      <c r="AC16" s="1816">
        <v>1</v>
      </c>
    </row>
    <row r="17" spans="1:29" ht="71.25">
      <c r="A17" s="429"/>
      <c r="B17" s="452" t="s">
        <v>2654</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24"/>
      <c r="Q17" s="1815" t="str">
        <f>B17</f>
        <v>商业繁华度</v>
      </c>
      <c r="R17" s="775" t="s">
        <v>17</v>
      </c>
      <c r="S17" s="776">
        <f>F17</f>
        <v>100</v>
      </c>
      <c r="T17" s="775" t="s">
        <v>17</v>
      </c>
      <c r="U17" s="776">
        <f>H17</f>
        <v>100</v>
      </c>
      <c r="V17" s="775" t="s">
        <v>17</v>
      </c>
      <c r="W17" s="776">
        <f>J17</f>
        <v>100</v>
      </c>
      <c r="X17" s="1818"/>
      <c r="Y17" s="3224"/>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24"/>
      <c r="Q18" s="1815"/>
      <c r="R18" s="775"/>
      <c r="S18" s="776"/>
      <c r="T18" s="775"/>
      <c r="U18" s="776"/>
      <c r="V18" s="775"/>
      <c r="W18" s="776"/>
      <c r="X18" s="1818"/>
      <c r="Y18" s="3224"/>
      <c r="Z18" s="1819"/>
      <c r="AA18" s="1816">
        <v>1</v>
      </c>
      <c r="AB18" s="1816">
        <v>1</v>
      </c>
      <c r="AC18" s="1816">
        <v>1</v>
      </c>
    </row>
    <row r="19" spans="1:29" ht="71.25">
      <c r="A19" s="429"/>
      <c r="B19" s="452" t="s">
        <v>2688</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24"/>
      <c r="Q19" s="1815" t="str">
        <f>B19</f>
        <v>办公集聚程度</v>
      </c>
      <c r="R19" s="775" t="s">
        <v>17</v>
      </c>
      <c r="S19" s="776">
        <f>F19</f>
        <v>100</v>
      </c>
      <c r="T19" s="775" t="s">
        <v>17</v>
      </c>
      <c r="U19" s="776">
        <f>H19</f>
        <v>100</v>
      </c>
      <c r="V19" s="775" t="s">
        <v>17</v>
      </c>
      <c r="W19" s="776">
        <f>J19</f>
        <v>100</v>
      </c>
      <c r="X19" s="1818"/>
      <c r="Y19" s="3224"/>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24"/>
      <c r="Q20" s="1815"/>
      <c r="R20" s="775"/>
      <c r="S20" s="776"/>
      <c r="T20" s="775"/>
      <c r="U20" s="776"/>
      <c r="V20" s="775"/>
      <c r="W20" s="776"/>
      <c r="X20" s="1818"/>
      <c r="Y20" s="3224"/>
      <c r="Z20" s="1819"/>
      <c r="AA20" s="1816">
        <v>1</v>
      </c>
      <c r="AB20" s="1816">
        <v>1</v>
      </c>
      <c r="AC20" s="1816">
        <v>1</v>
      </c>
    </row>
    <row r="21" spans="1:29" ht="85.5">
      <c r="A21" s="429"/>
      <c r="B21" s="452" t="s">
        <v>2710</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24"/>
      <c r="Q21" s="1815" t="str">
        <f>B21</f>
        <v>交通便捷度</v>
      </c>
      <c r="R21" s="775" t="s">
        <v>17</v>
      </c>
      <c r="S21" s="776">
        <f>F21</f>
        <v>100</v>
      </c>
      <c r="T21" s="775" t="s">
        <v>17</v>
      </c>
      <c r="U21" s="776">
        <f>H21</f>
        <v>100</v>
      </c>
      <c r="V21" s="775" t="s">
        <v>17</v>
      </c>
      <c r="W21" s="776">
        <f>J21</f>
        <v>100</v>
      </c>
      <c r="X21" s="1818"/>
      <c r="Y21" s="3224"/>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24"/>
      <c r="Q22" s="1815"/>
      <c r="R22" s="775"/>
      <c r="S22" s="776"/>
      <c r="T22" s="775"/>
      <c r="U22" s="776"/>
      <c r="V22" s="775"/>
      <c r="W22" s="776"/>
      <c r="X22" s="1818"/>
      <c r="Y22" s="3224"/>
      <c r="Z22" s="1819"/>
      <c r="AA22" s="1816">
        <v>1</v>
      </c>
      <c r="AB22" s="1816">
        <v>1</v>
      </c>
      <c r="AC22" s="1816">
        <v>1</v>
      </c>
    </row>
    <row r="23" spans="1:29" ht="15">
      <c r="A23" s="405"/>
      <c r="B23" s="452" t="s">
        <v>2749</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24"/>
      <c r="Q23" s="1815" t="str">
        <f t="shared" ref="Q23:Q37" si="8">B23</f>
        <v>区域土地利用方向</v>
      </c>
      <c r="R23" s="775" t="s">
        <v>17</v>
      </c>
      <c r="S23" s="776">
        <f>F23</f>
        <v>100</v>
      </c>
      <c r="T23" s="775" t="s">
        <v>17</v>
      </c>
      <c r="U23" s="776">
        <f>H23</f>
        <v>100</v>
      </c>
      <c r="V23" s="775" t="s">
        <v>17</v>
      </c>
      <c r="W23" s="776">
        <f>J23</f>
        <v>100</v>
      </c>
      <c r="X23" s="1818"/>
      <c r="Y23" s="3224"/>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24"/>
      <c r="Q24" s="1815"/>
      <c r="R24" s="775"/>
      <c r="S24" s="776"/>
      <c r="T24" s="775"/>
      <c r="U24" s="776"/>
      <c r="V24" s="775"/>
      <c r="W24" s="776"/>
      <c r="X24" s="1818"/>
      <c r="Y24" s="3224"/>
      <c r="Z24" s="1819"/>
      <c r="AA24" s="1816"/>
      <c r="AB24" s="1816"/>
      <c r="AC24" s="1816"/>
    </row>
    <row r="25" spans="1:29" ht="57">
      <c r="A25" s="405"/>
      <c r="B25" s="1388" t="s">
        <v>2750</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24"/>
      <c r="Q25" s="1815" t="str">
        <f t="shared" si="8"/>
        <v>自然及人文环境状况</v>
      </c>
      <c r="R25" s="775" t="s">
        <v>17</v>
      </c>
      <c r="S25" s="776">
        <f>F25</f>
        <v>100</v>
      </c>
      <c r="T25" s="775" t="s">
        <v>17</v>
      </c>
      <c r="U25" s="776">
        <f>H25</f>
        <v>100</v>
      </c>
      <c r="V25" s="775" t="s">
        <v>17</v>
      </c>
      <c r="W25" s="776">
        <f>J25</f>
        <v>100</v>
      </c>
      <c r="X25" s="1818"/>
      <c r="Y25" s="3224"/>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24"/>
      <c r="Q26" s="1815"/>
      <c r="R26" s="775"/>
      <c r="S26" s="776"/>
      <c r="T26" s="775"/>
      <c r="U26" s="776"/>
      <c r="V26" s="775"/>
      <c r="W26" s="776"/>
      <c r="X26" s="1818"/>
      <c r="Y26" s="3224"/>
      <c r="Z26" s="1819"/>
      <c r="AA26" s="1816">
        <v>1</v>
      </c>
      <c r="AB26" s="1816">
        <v>1</v>
      </c>
      <c r="AC26" s="1816">
        <v>1</v>
      </c>
    </row>
    <row r="27" spans="1:29" s="117" customFormat="1" ht="42.75">
      <c r="A27" s="650"/>
      <c r="B27" s="1388" t="s">
        <v>2655</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24"/>
      <c r="Q27" s="1800" t="str">
        <f t="shared" si="8"/>
        <v>公共配套设施</v>
      </c>
      <c r="R27" s="771" t="s">
        <v>17</v>
      </c>
      <c r="S27" s="772">
        <f>F27</f>
        <v>100</v>
      </c>
      <c r="T27" s="771" t="s">
        <v>17</v>
      </c>
      <c r="U27" s="772">
        <f>H27</f>
        <v>100</v>
      </c>
      <c r="V27" s="771" t="s">
        <v>17</v>
      </c>
      <c r="W27" s="772">
        <f>J27</f>
        <v>100</v>
      </c>
      <c r="X27" s="773"/>
      <c r="Y27" s="3224"/>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24"/>
      <c r="Q28" s="1800"/>
      <c r="R28" s="771"/>
      <c r="S28" s="772"/>
      <c r="T28" s="771"/>
      <c r="U28" s="772"/>
      <c r="V28" s="771"/>
      <c r="W28" s="772"/>
      <c r="X28" s="773"/>
      <c r="Y28" s="3224"/>
      <c r="Z28" s="55"/>
      <c r="AA28" s="1816">
        <v>1</v>
      </c>
      <c r="AB28" s="1816">
        <v>1</v>
      </c>
      <c r="AC28" s="1816">
        <v>1</v>
      </c>
    </row>
    <row r="29" spans="1:29" s="117" customFormat="1" ht="28.5">
      <c r="A29" s="650"/>
      <c r="B29" s="1388" t="s">
        <v>2656</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24"/>
      <c r="Q29" s="1800" t="str">
        <f t="shared" ref="Q29" si="9">B29</f>
        <v>基础设施水平</v>
      </c>
      <c r="R29" s="771" t="s">
        <v>17</v>
      </c>
      <c r="S29" s="772">
        <f>F29</f>
        <v>100</v>
      </c>
      <c r="T29" s="771" t="s">
        <v>17</v>
      </c>
      <c r="U29" s="772">
        <f>H29</f>
        <v>100</v>
      </c>
      <c r="V29" s="771" t="s">
        <v>17</v>
      </c>
      <c r="W29" s="772">
        <f>J29</f>
        <v>100</v>
      </c>
      <c r="X29" s="773"/>
      <c r="Y29" s="3224"/>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24"/>
      <c r="Q30" s="1800"/>
      <c r="R30" s="771"/>
      <c r="S30" s="772"/>
      <c r="T30" s="771"/>
      <c r="U30" s="772"/>
      <c r="V30" s="771"/>
      <c r="W30" s="772"/>
      <c r="X30" s="773"/>
      <c r="Y30" s="3224"/>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24"/>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24"/>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24"/>
      <c r="Q32" s="1815" t="str">
        <f t="shared" si="8"/>
        <v>毗邻道路的类型与等级</v>
      </c>
      <c r="R32" s="775" t="s">
        <v>17</v>
      </c>
      <c r="S32" s="776">
        <f t="shared" si="10"/>
        <v>100</v>
      </c>
      <c r="T32" s="775" t="s">
        <v>17</v>
      </c>
      <c r="U32" s="776">
        <f t="shared" si="11"/>
        <v>100</v>
      </c>
      <c r="V32" s="775" t="s">
        <v>17</v>
      </c>
      <c r="W32" s="776">
        <f t="shared" si="12"/>
        <v>100</v>
      </c>
      <c r="X32" s="1818"/>
      <c r="Y32" s="3224"/>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24"/>
      <c r="Q33" s="1815"/>
      <c r="R33" s="775"/>
      <c r="S33" s="776"/>
      <c r="T33" s="775"/>
      <c r="U33" s="776"/>
      <c r="V33" s="775"/>
      <c r="W33" s="776"/>
      <c r="X33" s="1818"/>
      <c r="Y33" s="3224"/>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24"/>
      <c r="Q34" s="1815" t="str">
        <f t="shared" si="8"/>
        <v>土地级别</v>
      </c>
      <c r="R34" s="775" t="s">
        <v>17</v>
      </c>
      <c r="S34" s="776">
        <f t="shared" si="10"/>
        <v>100</v>
      </c>
      <c r="T34" s="775" t="s">
        <v>17</v>
      </c>
      <c r="U34" s="776">
        <f t="shared" si="11"/>
        <v>100</v>
      </c>
      <c r="V34" s="775" t="s">
        <v>17</v>
      </c>
      <c r="W34" s="776">
        <f t="shared" si="12"/>
        <v>100</v>
      </c>
      <c r="X34" s="1818"/>
      <c r="Y34" s="3224"/>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24"/>
      <c r="Q35" s="1815">
        <f t="shared" si="8"/>
        <v>111</v>
      </c>
      <c r="R35" s="775" t="s">
        <v>17</v>
      </c>
      <c r="S35" s="776">
        <f t="shared" si="10"/>
        <v>100</v>
      </c>
      <c r="T35" s="775" t="s">
        <v>17</v>
      </c>
      <c r="U35" s="776">
        <f t="shared" si="11"/>
        <v>100</v>
      </c>
      <c r="V35" s="775" t="s">
        <v>17</v>
      </c>
      <c r="W35" s="776">
        <f t="shared" si="12"/>
        <v>100</v>
      </c>
      <c r="X35" s="1818"/>
      <c r="Y35" s="3224"/>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5" t="s">
        <v>2566</v>
      </c>
      <c r="Q36" s="1815">
        <f t="shared" si="8"/>
        <v>111</v>
      </c>
      <c r="R36" s="775" t="s">
        <v>17</v>
      </c>
      <c r="S36" s="776">
        <f t="shared" si="10"/>
        <v>100</v>
      </c>
      <c r="T36" s="775" t="s">
        <v>17</v>
      </c>
      <c r="U36" s="776">
        <f t="shared" si="11"/>
        <v>100</v>
      </c>
      <c r="V36" s="775" t="s">
        <v>17</v>
      </c>
      <c r="W36" s="776">
        <f t="shared" si="12"/>
        <v>100</v>
      </c>
      <c r="X36" s="1818"/>
      <c r="Y36" s="3228"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28"/>
      <c r="Q37" s="1815">
        <f t="shared" si="8"/>
        <v>111</v>
      </c>
      <c r="R37" s="778" t="s">
        <v>17</v>
      </c>
      <c r="S37" s="779">
        <f t="shared" si="10"/>
        <v>100</v>
      </c>
      <c r="T37" s="778" t="s">
        <v>17</v>
      </c>
      <c r="U37" s="779">
        <f t="shared" si="11"/>
        <v>100</v>
      </c>
      <c r="V37" s="778" t="s">
        <v>17</v>
      </c>
      <c r="W37" s="779">
        <f t="shared" si="12"/>
        <v>100</v>
      </c>
      <c r="X37" s="780"/>
      <c r="Y37" s="3228"/>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28"/>
      <c r="Q38" s="1815" t="str">
        <f>B38</f>
        <v>宗地面积</v>
      </c>
      <c r="R38" s="775" t="s">
        <v>17</v>
      </c>
      <c r="S38" s="776" t="e">
        <f t="shared" si="10"/>
        <v>#N/A</v>
      </c>
      <c r="T38" s="775" t="s">
        <v>17</v>
      </c>
      <c r="U38" s="776" t="e">
        <f t="shared" si="11"/>
        <v>#N/A</v>
      </c>
      <c r="V38" s="775" t="s">
        <v>17</v>
      </c>
      <c r="W38" s="776" t="e">
        <f t="shared" si="12"/>
        <v>#N/A</v>
      </c>
      <c r="X38" s="1818"/>
      <c r="Y38" s="3228"/>
      <c r="Z38" s="1819" t="str">
        <f t="shared" si="13"/>
        <v>宗地面积</v>
      </c>
      <c r="AA38" s="1816" t="e">
        <f t="shared" si="3"/>
        <v>#N/A</v>
      </c>
      <c r="AB38" s="1816" t="e">
        <f t="shared" si="4"/>
        <v>#N/A</v>
      </c>
      <c r="AC38" s="1816" t="e">
        <f t="shared" si="5"/>
        <v>#N/A</v>
      </c>
    </row>
    <row r="39" spans="1:29" ht="15">
      <c r="A39" s="473"/>
      <c r="B39" s="423" t="s">
        <v>2753</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28"/>
      <c r="Q39" s="1815" t="str">
        <f t="shared" ref="Q39:Q45" si="14">B39</f>
        <v>宗地形状</v>
      </c>
      <c r="R39" s="775" t="s">
        <v>17</v>
      </c>
      <c r="S39" s="776">
        <f t="shared" si="10"/>
        <v>100</v>
      </c>
      <c r="T39" s="775" t="s">
        <v>17</v>
      </c>
      <c r="U39" s="776">
        <f t="shared" si="11"/>
        <v>100</v>
      </c>
      <c r="V39" s="775" t="s">
        <v>17</v>
      </c>
      <c r="W39" s="776">
        <f t="shared" si="12"/>
        <v>100</v>
      </c>
      <c r="X39" s="1818"/>
      <c r="Y39" s="3228"/>
      <c r="Z39" s="1819" t="str">
        <f t="shared" si="13"/>
        <v>宗地形状</v>
      </c>
      <c r="AA39" s="1816">
        <f t="shared" si="3"/>
        <v>1</v>
      </c>
      <c r="AB39" s="1816">
        <f t="shared" si="4"/>
        <v>1</v>
      </c>
      <c r="AC39" s="1816">
        <f t="shared" si="5"/>
        <v>1</v>
      </c>
    </row>
    <row r="40" spans="1:29" ht="15">
      <c r="A40" s="473"/>
      <c r="B40" s="423" t="s">
        <v>2754</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28"/>
      <c r="Q40" s="1815" t="str">
        <f t="shared" si="14"/>
        <v>临街宽度及深度</v>
      </c>
      <c r="R40" s="775" t="s">
        <v>17</v>
      </c>
      <c r="S40" s="776">
        <f t="shared" si="10"/>
        <v>100</v>
      </c>
      <c r="T40" s="775" t="s">
        <v>17</v>
      </c>
      <c r="U40" s="776">
        <f t="shared" si="11"/>
        <v>100</v>
      </c>
      <c r="V40" s="775" t="s">
        <v>17</v>
      </c>
      <c r="W40" s="776">
        <f t="shared" si="12"/>
        <v>100</v>
      </c>
      <c r="X40" s="1818"/>
      <c r="Y40" s="3228"/>
      <c r="Z40" s="1819" t="str">
        <f t="shared" si="13"/>
        <v>临街宽度及深度</v>
      </c>
      <c r="AA40" s="1816">
        <f t="shared" si="3"/>
        <v>1</v>
      </c>
      <c r="AB40" s="1816">
        <f t="shared" si="4"/>
        <v>1</v>
      </c>
      <c r="AC40" s="1816">
        <f t="shared" si="5"/>
        <v>1</v>
      </c>
    </row>
    <row r="41" spans="1:29" s="117" customFormat="1" ht="15">
      <c r="A41" s="474"/>
      <c r="B41" s="423" t="s">
        <v>2755</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28"/>
      <c r="Q41" s="1815" t="str">
        <f t="shared" si="14"/>
        <v>宗地开发程度</v>
      </c>
      <c r="R41" s="771" t="s">
        <v>17</v>
      </c>
      <c r="S41" s="772">
        <f t="shared" si="10"/>
        <v>100</v>
      </c>
      <c r="T41" s="771" t="s">
        <v>17</v>
      </c>
      <c r="U41" s="772">
        <f t="shared" si="11"/>
        <v>100</v>
      </c>
      <c r="V41" s="771" t="s">
        <v>17</v>
      </c>
      <c r="W41" s="772">
        <f t="shared" si="12"/>
        <v>100</v>
      </c>
      <c r="X41" s="773"/>
      <c r="Y41" s="3228"/>
      <c r="Z41" s="55" t="str">
        <f t="shared" si="13"/>
        <v>宗地开发程度</v>
      </c>
      <c r="AA41" s="774">
        <f t="shared" si="3"/>
        <v>1</v>
      </c>
      <c r="AB41" s="774">
        <f t="shared" si="4"/>
        <v>1</v>
      </c>
      <c r="AC41" s="774">
        <f t="shared" si="5"/>
        <v>1</v>
      </c>
    </row>
    <row r="42" spans="1:29" ht="15">
      <c r="A42" s="473"/>
      <c r="B42" s="423" t="s">
        <v>2756</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28" t="s">
        <v>2566</v>
      </c>
      <c r="Q42" s="1815" t="str">
        <f t="shared" si="14"/>
        <v>工程地质条件</v>
      </c>
      <c r="R42" s="775" t="s">
        <v>17</v>
      </c>
      <c r="S42" s="776">
        <f t="shared" si="10"/>
        <v>100</v>
      </c>
      <c r="T42" s="775" t="s">
        <v>17</v>
      </c>
      <c r="U42" s="776">
        <f t="shared" si="11"/>
        <v>100</v>
      </c>
      <c r="V42" s="775" t="s">
        <v>17</v>
      </c>
      <c r="W42" s="776">
        <f t="shared" si="12"/>
        <v>100</v>
      </c>
      <c r="X42" s="1818"/>
      <c r="Y42" s="3228"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28"/>
      <c r="Q43" s="1815">
        <f t="shared" si="14"/>
        <v>111</v>
      </c>
      <c r="R43" s="775" t="s">
        <v>17</v>
      </c>
      <c r="S43" s="776">
        <f t="shared" si="10"/>
        <v>100</v>
      </c>
      <c r="T43" s="775" t="s">
        <v>17</v>
      </c>
      <c r="U43" s="776">
        <f t="shared" si="11"/>
        <v>100</v>
      </c>
      <c r="V43" s="775" t="s">
        <v>17</v>
      </c>
      <c r="W43" s="776">
        <f t="shared" si="12"/>
        <v>100</v>
      </c>
      <c r="X43" s="1818"/>
      <c r="Y43" s="3228"/>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28"/>
      <c r="Q44" s="1815">
        <f t="shared" si="14"/>
        <v>111</v>
      </c>
      <c r="R44" s="775" t="s">
        <v>17</v>
      </c>
      <c r="S44" s="776">
        <f t="shared" si="10"/>
        <v>100</v>
      </c>
      <c r="T44" s="775" t="s">
        <v>17</v>
      </c>
      <c r="U44" s="776">
        <f t="shared" si="11"/>
        <v>100</v>
      </c>
      <c r="V44" s="775" t="s">
        <v>17</v>
      </c>
      <c r="W44" s="776">
        <f t="shared" si="12"/>
        <v>100</v>
      </c>
      <c r="X44" s="1818"/>
      <c r="Y44" s="3228"/>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28"/>
      <c r="Q45" s="1815">
        <f t="shared" si="14"/>
        <v>111</v>
      </c>
      <c r="R45" s="778" t="s">
        <v>17</v>
      </c>
      <c r="S45" s="779">
        <f t="shared" si="10"/>
        <v>100</v>
      </c>
      <c r="T45" s="778" t="s">
        <v>17</v>
      </c>
      <c r="U45" s="779">
        <f t="shared" si="11"/>
        <v>100</v>
      </c>
      <c r="V45" s="778" t="s">
        <v>17</v>
      </c>
      <c r="W45" s="779">
        <f t="shared" si="12"/>
        <v>100</v>
      </c>
      <c r="X45" s="780"/>
      <c r="Y45" s="3228"/>
      <c r="Z45" s="781">
        <f t="shared" si="13"/>
        <v>111</v>
      </c>
      <c r="AA45" s="1816">
        <f t="shared" si="3"/>
        <v>1</v>
      </c>
      <c r="AB45" s="1816">
        <f t="shared" si="4"/>
        <v>1</v>
      </c>
      <c r="AC45" s="1816">
        <f t="shared" si="5"/>
        <v>1</v>
      </c>
    </row>
    <row r="46" spans="1:29" ht="15">
      <c r="A46" s="480" t="s">
        <v>2721</v>
      </c>
      <c r="B46" s="2711" t="s">
        <v>2757</v>
      </c>
      <c r="C46" s="683" t="s">
        <v>1</v>
      </c>
      <c r="D46" s="482"/>
      <c r="E46" s="483"/>
      <c r="F46" s="484"/>
      <c r="G46" s="485"/>
      <c r="H46" s="486"/>
      <c r="I46" s="483"/>
      <c r="J46" s="486"/>
      <c r="K46" s="784"/>
      <c r="L46" s="1147"/>
      <c r="M46" s="1148"/>
      <c r="N46" s="1135"/>
      <c r="O46" s="1148"/>
      <c r="P46" s="3216" t="str">
        <f>A46</f>
        <v>成交单价</v>
      </c>
      <c r="Q46" s="3216"/>
      <c r="R46" s="3250">
        <f>E46</f>
        <v>0</v>
      </c>
      <c r="S46" s="3250"/>
      <c r="T46" s="3250">
        <f>G46</f>
        <v>0</v>
      </c>
      <c r="U46" s="3250"/>
      <c r="V46" s="3250">
        <f>I46</f>
        <v>0</v>
      </c>
      <c r="W46" s="3250"/>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216" t="str">
        <f>A47</f>
        <v>比较价值（元/平方米）</v>
      </c>
      <c r="Q47" s="3216"/>
      <c r="R47" s="3306" t="e">
        <f>ROUND(PRODUCT(R46,AA7:AA45),0)</f>
        <v>#DIV/0!</v>
      </c>
      <c r="S47" s="3306"/>
      <c r="T47" s="3306" t="e">
        <f>ROUND(PRODUCT(T46,AB7:AB45),0)</f>
        <v>#DIV/0!</v>
      </c>
      <c r="U47" s="3306"/>
      <c r="V47" s="3306" t="e">
        <f>ROUND(PRODUCT(V46,AC7:AC45),0)</f>
        <v>#DIV/0!</v>
      </c>
      <c r="W47" s="3306"/>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294" t="str">
        <f>A48</f>
        <v>估价对象XX用房的比较价值（楼面单价，元/平方米）</v>
      </c>
      <c r="Q48" s="3295"/>
      <c r="R48" s="3307" t="e">
        <f>ROUND(AVERAGE(R47:V47),0)</f>
        <v>#DIV/0!</v>
      </c>
      <c r="S48" s="3307"/>
      <c r="T48" s="3307"/>
      <c r="U48" s="3307"/>
      <c r="V48" s="3307"/>
      <c r="W48" s="3307"/>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12" t="s">
        <v>2761</v>
      </c>
      <c r="D55" s="2713" t="s">
        <v>2762</v>
      </c>
      <c r="E55" s="687" t="s">
        <v>2763</v>
      </c>
      <c r="F55" s="1111" t="s">
        <v>2764</v>
      </c>
      <c r="G55" s="3233" t="s">
        <v>2765</v>
      </c>
      <c r="H55" s="3308"/>
      <c r="I55" s="144" t="s">
        <v>2766</v>
      </c>
      <c r="J55" s="2714">
        <f>项目基本情况!F35</f>
        <v>0</v>
      </c>
      <c r="K55" s="2715" t="s">
        <v>2767</v>
      </c>
      <c r="L55" s="1110"/>
      <c r="M55" s="1148"/>
      <c r="N55" s="1148"/>
      <c r="O55" s="1148"/>
    </row>
    <row r="56" spans="1:15" s="693" customFormat="1">
      <c r="A56" s="689" t="s">
        <v>2768</v>
      </c>
      <c r="B56" s="690" t="e">
        <f>C48</f>
        <v>#DIV/0!</v>
      </c>
      <c r="C56" s="691">
        <v>1</v>
      </c>
      <c r="D56" s="1167">
        <v>1</v>
      </c>
      <c r="E56" s="691">
        <f>'数据-汇总表'!E8+'数据-汇总表'!E9</f>
        <v>1952.76</v>
      </c>
      <c r="F56" s="1107" t="e">
        <f t="shared" ref="F56:F65" si="15">ROUND(B56*E56/10000,0)</f>
        <v>#DIV/0!</v>
      </c>
      <c r="G56" s="3215"/>
      <c r="H56" s="3216"/>
      <c r="I56" s="1112">
        <v>1</v>
      </c>
      <c r="J56" s="1115">
        <v>1</v>
      </c>
      <c r="K56" s="1149"/>
      <c r="L56" s="945"/>
      <c r="M56" s="945"/>
      <c r="N56" s="945"/>
      <c r="O56" s="945"/>
    </row>
    <row r="57" spans="1:15" s="693" customFormat="1">
      <c r="A57" s="694" t="s">
        <v>2769</v>
      </c>
      <c r="B57" s="263" t="e">
        <f>ROUND($C$48*C57*D57,0)</f>
        <v>#DIV/0!</v>
      </c>
      <c r="C57" s="201">
        <f t="shared" ref="C57:C65" si="16">IF($C$55="北京市系数",I57,J57)</f>
        <v>0</v>
      </c>
      <c r="D57" s="1168">
        <v>0.25</v>
      </c>
      <c r="E57" s="695"/>
      <c r="F57" s="1107" t="e">
        <f t="shared" si="15"/>
        <v>#DIV/0!</v>
      </c>
      <c r="G57" s="3309" t="s">
        <v>2770</v>
      </c>
      <c r="H57" s="1108">
        <f>项目基本情况!B37</f>
        <v>0</v>
      </c>
      <c r="I57" s="1112">
        <f>SUMIF(修正!A45:A56,H57,修正!B45:B56)</f>
        <v>0</v>
      </c>
      <c r="J57" s="1116"/>
      <c r="K57" s="1148"/>
      <c r="L57" s="945"/>
      <c r="M57" s="945"/>
      <c r="N57" s="945"/>
      <c r="O57" s="945"/>
    </row>
    <row r="58" spans="1:15" s="693" customFormat="1">
      <c r="A58" s="694" t="s">
        <v>2771</v>
      </c>
      <c r="B58" s="263" t="e">
        <f t="shared" ref="B58:B65" si="17">ROUND($C$48*C58*D58,0)</f>
        <v>#DIV/0!</v>
      </c>
      <c r="C58" s="201">
        <f t="shared" si="16"/>
        <v>0</v>
      </c>
      <c r="D58" s="1168">
        <v>0.25</v>
      </c>
      <c r="E58" s="695"/>
      <c r="F58" s="1107" t="e">
        <f t="shared" si="15"/>
        <v>#DIV/0!</v>
      </c>
      <c r="G58" s="3309"/>
      <c r="H58" s="1108">
        <f>项目基本情况!B37</f>
        <v>0</v>
      </c>
      <c r="I58" s="1112">
        <f>SUMIF(修正!A45:A56,H58,修正!C45:C56)</f>
        <v>0</v>
      </c>
      <c r="J58" s="1116"/>
      <c r="K58" s="1149"/>
      <c r="L58" s="945"/>
      <c r="M58" s="945"/>
      <c r="N58" s="945"/>
      <c r="O58" s="945"/>
    </row>
    <row r="59" spans="1:15" s="693" customFormat="1">
      <c r="A59" s="694" t="s">
        <v>2772</v>
      </c>
      <c r="B59" s="263" t="e">
        <f t="shared" si="17"/>
        <v>#DIV/0!</v>
      </c>
      <c r="C59" s="201">
        <f t="shared" si="16"/>
        <v>0</v>
      </c>
      <c r="D59" s="1168">
        <v>0.25</v>
      </c>
      <c r="E59" s="695"/>
      <c r="F59" s="1107" t="e">
        <f t="shared" si="15"/>
        <v>#DIV/0!</v>
      </c>
      <c r="G59" s="3309"/>
      <c r="H59" s="1108">
        <f>项目基本情况!B37</f>
        <v>0</v>
      </c>
      <c r="I59" s="1112">
        <f>SUMIF(修正!A45:A56,H59,修正!D45:D56)</f>
        <v>0</v>
      </c>
      <c r="J59" s="1116"/>
      <c r="K59" s="1148"/>
      <c r="L59" s="945"/>
      <c r="M59" s="945"/>
      <c r="N59" s="945"/>
      <c r="O59" s="945"/>
    </row>
    <row r="60" spans="1:15" s="693" customFormat="1">
      <c r="A60" s="694" t="s">
        <v>2773</v>
      </c>
      <c r="B60" s="263" t="e">
        <f t="shared" si="17"/>
        <v>#DIV/0!</v>
      </c>
      <c r="C60" s="201">
        <f t="shared" si="16"/>
        <v>0</v>
      </c>
      <c r="D60" s="1168">
        <v>0.25</v>
      </c>
      <c r="E60" s="695"/>
      <c r="F60" s="1107" t="e">
        <f t="shared" si="15"/>
        <v>#DIV/0!</v>
      </c>
      <c r="G60" s="3309"/>
      <c r="H60" s="1108">
        <f>项目基本情况!B37</f>
        <v>0</v>
      </c>
      <c r="I60" s="1112">
        <f>SUMIF(修正!A45:A56,H60,修正!E45:E56)</f>
        <v>0</v>
      </c>
      <c r="J60" s="1116"/>
      <c r="K60" s="1149"/>
      <c r="L60" s="945"/>
      <c r="M60" s="945"/>
      <c r="N60" s="945"/>
      <c r="O60" s="945"/>
    </row>
    <row r="61" spans="1:15" s="693" customFormat="1">
      <c r="A61" s="694" t="s">
        <v>2774</v>
      </c>
      <c r="B61" s="263" t="e">
        <f t="shared" si="17"/>
        <v>#DIV/0!</v>
      </c>
      <c r="C61" s="201">
        <f t="shared" si="16"/>
        <v>0</v>
      </c>
      <c r="D61" s="1168">
        <v>0.25</v>
      </c>
      <c r="E61" s="262">
        <f>'数据-汇总表'!E11</f>
        <v>0</v>
      </c>
      <c r="F61" s="1107" t="e">
        <f t="shared" si="15"/>
        <v>#DIV/0!</v>
      </c>
      <c r="G61" s="2716" t="s">
        <v>2775</v>
      </c>
      <c r="H61" s="1108">
        <f>项目基本情况!C37</f>
        <v>0</v>
      </c>
      <c r="I61" s="1112">
        <f>SUMIF(修正!A45:A56,H61,修正!F45:F56)</f>
        <v>0</v>
      </c>
      <c r="J61" s="1116"/>
      <c r="K61" s="1148"/>
      <c r="L61" s="945"/>
      <c r="M61" s="945"/>
      <c r="N61" s="945"/>
      <c r="O61" s="945"/>
    </row>
    <row r="62" spans="1:15" s="693" customFormat="1">
      <c r="A62" s="694" t="s">
        <v>2776</v>
      </c>
      <c r="B62" s="263" t="e">
        <f t="shared" si="17"/>
        <v>#DIV/0!</v>
      </c>
      <c r="C62" s="201">
        <f t="shared" si="16"/>
        <v>0</v>
      </c>
      <c r="D62" s="1168">
        <v>0.25</v>
      </c>
      <c r="E62" s="262">
        <f>'数据-汇总表'!E12</f>
        <v>0</v>
      </c>
      <c r="F62" s="1107" t="e">
        <f t="shared" si="15"/>
        <v>#DIV/0!</v>
      </c>
      <c r="G62" s="1113" t="s">
        <v>2777</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v>
      </c>
      <c r="D64" s="1168">
        <v>0.25</v>
      </c>
      <c r="E64" s="262">
        <f>'数据-汇总表'!E14</f>
        <v>0</v>
      </c>
      <c r="F64" s="1107" t="e">
        <f t="shared" si="15"/>
        <v>#DIV/0!</v>
      </c>
      <c r="G64" s="2716" t="s">
        <v>2770</v>
      </c>
      <c r="H64" s="1108">
        <f>项目基本情况!B37</f>
        <v>0</v>
      </c>
      <c r="I64" s="1112">
        <f>SUMIF(修正!A45:A56,H64,修正!H45:H56)</f>
        <v>0</v>
      </c>
      <c r="J64" s="1116"/>
      <c r="K64" s="1149"/>
      <c r="L64" s="945"/>
      <c r="M64" s="945"/>
      <c r="N64" s="945"/>
      <c r="O64" s="945"/>
    </row>
    <row r="65" spans="1:17" s="693" customFormat="1" ht="15" thickBot="1">
      <c r="A65" s="694" t="s">
        <v>2781</v>
      </c>
      <c r="B65" s="263" t="e">
        <f t="shared" si="17"/>
        <v>#DIV/0!</v>
      </c>
      <c r="C65" s="201">
        <f t="shared" si="16"/>
        <v>0</v>
      </c>
      <c r="D65" s="1168">
        <v>0.25</v>
      </c>
      <c r="E65" s="262">
        <f>'数据-汇总表'!E15</f>
        <v>0</v>
      </c>
      <c r="F65" s="1107" t="e">
        <f t="shared" si="15"/>
        <v>#DIV/0!</v>
      </c>
      <c r="G65" s="2717" t="s">
        <v>2775</v>
      </c>
      <c r="H65" s="1118">
        <f>项目基本情况!C37</f>
        <v>0</v>
      </c>
      <c r="I65" s="1114">
        <f>SUMIF(修正!A45:A56,H65,修正!H45:H56)</f>
        <v>0</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1952.76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8" t="s">
        <v>2783</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2784</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3" t="s">
        <v>2647</v>
      </c>
      <c r="D4" s="3234"/>
      <c r="E4" s="3235" t="s">
        <v>2648</v>
      </c>
      <c r="F4" s="3236"/>
      <c r="G4" s="3233" t="s">
        <v>2649</v>
      </c>
      <c r="H4" s="3234"/>
      <c r="I4" s="3233" t="s">
        <v>2650</v>
      </c>
      <c r="J4" s="3234"/>
      <c r="K4" s="611" t="s">
        <v>2651</v>
      </c>
      <c r="L4" s="1134"/>
      <c r="M4" s="1135"/>
      <c r="N4" s="1135"/>
      <c r="O4" s="1135"/>
      <c r="P4" s="3298" t="s">
        <v>2652</v>
      </c>
      <c r="Q4" s="3299"/>
      <c r="R4" s="3302" t="s">
        <v>2648</v>
      </c>
      <c r="S4" s="3303"/>
      <c r="T4" s="3302" t="s">
        <v>2649</v>
      </c>
      <c r="U4" s="3303"/>
      <c r="V4" s="3250" t="s">
        <v>2650</v>
      </c>
      <c r="W4" s="3250"/>
      <c r="X4" s="1818"/>
      <c r="Y4" s="3302" t="s">
        <v>2652</v>
      </c>
      <c r="Z4" s="3303"/>
      <c r="AA4" s="3297" t="s">
        <v>2648</v>
      </c>
      <c r="AB4" s="3263" t="s">
        <v>2649</v>
      </c>
      <c r="AC4" s="3297" t="s">
        <v>2650</v>
      </c>
    </row>
    <row r="5" spans="1:29" ht="15">
      <c r="A5" s="405"/>
      <c r="B5" s="406"/>
      <c r="C5" s="3259" t="s">
        <v>2543</v>
      </c>
      <c r="D5" s="3254"/>
      <c r="E5" s="3304" t="s">
        <v>2544</v>
      </c>
      <c r="F5" s="3266"/>
      <c r="G5" s="3259" t="s">
        <v>2545</v>
      </c>
      <c r="H5" s="3254"/>
      <c r="I5" s="3259" t="s">
        <v>2546</v>
      </c>
      <c r="J5" s="3254"/>
      <c r="K5" s="611"/>
      <c r="L5" s="1134"/>
      <c r="M5" s="1135"/>
      <c r="N5" s="1135"/>
      <c r="O5" s="1135"/>
      <c r="P5" s="3300"/>
      <c r="Q5" s="3240"/>
      <c r="R5" s="3245"/>
      <c r="S5" s="3246"/>
      <c r="T5" s="3245"/>
      <c r="U5" s="3246"/>
      <c r="V5" s="3250"/>
      <c r="W5" s="3250"/>
      <c r="X5" s="1818"/>
      <c r="Y5" s="3245"/>
      <c r="Z5" s="3246"/>
      <c r="AA5" s="3263"/>
      <c r="AB5" s="3263"/>
      <c r="AC5" s="3263"/>
    </row>
    <row r="6" spans="1:29" ht="15.75" thickBot="1">
      <c r="A6" s="407"/>
      <c r="B6" s="408"/>
      <c r="C6" s="3310" t="s">
        <v>2798</v>
      </c>
      <c r="D6" s="3311"/>
      <c r="E6" s="3312" t="s">
        <v>2798</v>
      </c>
      <c r="F6" s="3313"/>
      <c r="G6" s="3310" t="s">
        <v>2798</v>
      </c>
      <c r="H6" s="3311"/>
      <c r="I6" s="3310" t="s">
        <v>2798</v>
      </c>
      <c r="J6" s="3311"/>
      <c r="K6" s="611" t="s">
        <v>2548</v>
      </c>
      <c r="L6" s="1134"/>
      <c r="M6" s="1135"/>
      <c r="N6" s="1135"/>
      <c r="O6" s="1135"/>
      <c r="P6" s="3301"/>
      <c r="Q6" s="3242"/>
      <c r="R6" s="3245"/>
      <c r="S6" s="3246"/>
      <c r="T6" s="3247"/>
      <c r="U6" s="3248"/>
      <c r="V6" s="3250"/>
      <c r="W6" s="3250"/>
      <c r="X6" s="1818"/>
      <c r="Y6" s="3247"/>
      <c r="Z6" s="3248"/>
      <c r="AA6" s="3264"/>
      <c r="AB6" s="3264"/>
      <c r="AC6" s="3264"/>
    </row>
    <row r="7" spans="1:29" s="117" customFormat="1" ht="15.75" thickBot="1">
      <c r="A7" s="409" t="s">
        <v>2549</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57" t="s">
        <v>2550</v>
      </c>
      <c r="Q7" s="3258"/>
      <c r="R7" s="771" t="s">
        <v>17</v>
      </c>
      <c r="S7" s="772">
        <f t="shared" ref="S7:S15" si="0">F7</f>
        <v>0</v>
      </c>
      <c r="T7" s="771" t="s">
        <v>17</v>
      </c>
      <c r="U7" s="772">
        <f t="shared" ref="U7:U15" si="1">H7</f>
        <v>0</v>
      </c>
      <c r="V7" s="771" t="s">
        <v>17</v>
      </c>
      <c r="W7" s="772">
        <f t="shared" ref="W7:W15" si="2">J7</f>
        <v>0</v>
      </c>
      <c r="X7" s="773"/>
      <c r="Y7" s="3257" t="s">
        <v>2550</v>
      </c>
      <c r="Z7" s="3256"/>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57" t="s">
        <v>2553</v>
      </c>
      <c r="Q8" s="3256"/>
      <c r="R8" s="771" t="s">
        <v>17</v>
      </c>
      <c r="S8" s="772">
        <f t="shared" si="0"/>
        <v>0</v>
      </c>
      <c r="T8" s="771" t="s">
        <v>17</v>
      </c>
      <c r="U8" s="772">
        <f t="shared" si="1"/>
        <v>0</v>
      </c>
      <c r="V8" s="771" t="s">
        <v>17</v>
      </c>
      <c r="W8" s="772">
        <f t="shared" si="2"/>
        <v>0</v>
      </c>
      <c r="X8" s="773"/>
      <c r="Y8" s="3257" t="s">
        <v>2553</v>
      </c>
      <c r="Z8" s="3256"/>
      <c r="AA8" s="774" t="e">
        <f t="shared" ref="AA8:AA40" si="3">D8/F8</f>
        <v>#DIV/0!</v>
      </c>
      <c r="AB8" s="774" t="e">
        <f t="shared" ref="AB8:AB40" si="4">D8/H8</f>
        <v>#DIV/0!</v>
      </c>
      <c r="AC8" s="774" t="e">
        <f t="shared" ref="AC8:AC40" si="5">D8/J8</f>
        <v>#DIV/0!</v>
      </c>
    </row>
    <row r="9" spans="1:29" s="117" customFormat="1">
      <c r="A9" s="416" t="s">
        <v>2554</v>
      </c>
      <c r="B9" s="71" t="s">
        <v>2555</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16" t="s">
        <v>2556</v>
      </c>
      <c r="Q9" s="1800" t="str">
        <f t="shared" ref="Q9:Q15" si="6">B9</f>
        <v>用途</v>
      </c>
      <c r="R9" s="771" t="s">
        <v>17</v>
      </c>
      <c r="S9" s="772">
        <f t="shared" si="0"/>
        <v>100</v>
      </c>
      <c r="T9" s="771" t="s">
        <v>17</v>
      </c>
      <c r="U9" s="772">
        <f t="shared" si="1"/>
        <v>100</v>
      </c>
      <c r="V9" s="771" t="s">
        <v>17</v>
      </c>
      <c r="W9" s="772">
        <f t="shared" si="2"/>
        <v>100</v>
      </c>
      <c r="X9" s="773"/>
      <c r="Y9" s="3070"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108</v>
      </c>
      <c r="G10" s="433"/>
      <c r="H10" s="136">
        <f>ROUND(100/'数据-取费表'!G16,0)</f>
        <v>108</v>
      </c>
      <c r="I10" s="433"/>
      <c r="J10" s="136">
        <f>ROUND(100/'数据-取费表'!G16,0)</f>
        <v>108</v>
      </c>
      <c r="K10" s="673"/>
      <c r="L10" s="1139"/>
      <c r="M10" s="1140"/>
      <c r="N10" s="1140"/>
      <c r="O10" s="1141"/>
      <c r="P10" s="3216"/>
      <c r="Q10" s="1800" t="str">
        <f t="shared" si="6"/>
        <v>土地使用年限（年）</v>
      </c>
      <c r="R10" s="771" t="s">
        <v>17</v>
      </c>
      <c r="S10" s="772">
        <f t="shared" si="0"/>
        <v>108</v>
      </c>
      <c r="T10" s="771" t="s">
        <v>17</v>
      </c>
      <c r="U10" s="772">
        <f t="shared" si="1"/>
        <v>108</v>
      </c>
      <c r="V10" s="771" t="s">
        <v>17</v>
      </c>
      <c r="W10" s="772">
        <f t="shared" si="2"/>
        <v>108</v>
      </c>
      <c r="X10" s="773"/>
      <c r="Y10" s="3070"/>
      <c r="Z10" s="55" t="str">
        <f t="shared" si="7"/>
        <v>土地使用年限（年）</v>
      </c>
      <c r="AA10" s="774">
        <f t="shared" si="3"/>
        <v>0.92592592592592593</v>
      </c>
      <c r="AB10" s="774">
        <f t="shared" si="4"/>
        <v>0.92592592592592593</v>
      </c>
      <c r="AC10" s="774">
        <f t="shared" si="5"/>
        <v>0.92592592592592593</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16"/>
      <c r="Q11" s="1800" t="str">
        <f t="shared" si="6"/>
        <v>容积率</v>
      </c>
      <c r="R11" s="771" t="s">
        <v>17</v>
      </c>
      <c r="S11" s="772" t="e">
        <f t="shared" si="0"/>
        <v>#N/A</v>
      </c>
      <c r="T11" s="771" t="s">
        <v>17</v>
      </c>
      <c r="U11" s="772" t="e">
        <f t="shared" si="1"/>
        <v>#N/A</v>
      </c>
      <c r="V11" s="771" t="s">
        <v>17</v>
      </c>
      <c r="W11" s="772" t="e">
        <f t="shared" si="2"/>
        <v>#N/A</v>
      </c>
      <c r="X11" s="773"/>
      <c r="Y11" s="3070"/>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16"/>
      <c r="Q12" s="1800">
        <f t="shared" si="6"/>
        <v>111</v>
      </c>
      <c r="R12" s="771" t="s">
        <v>17</v>
      </c>
      <c r="S12" s="772">
        <f t="shared" si="0"/>
        <v>100</v>
      </c>
      <c r="T12" s="771" t="s">
        <v>17</v>
      </c>
      <c r="U12" s="772">
        <f t="shared" si="1"/>
        <v>100</v>
      </c>
      <c r="V12" s="771" t="s">
        <v>17</v>
      </c>
      <c r="W12" s="772">
        <f t="shared" si="2"/>
        <v>100</v>
      </c>
      <c r="X12" s="773"/>
      <c r="Y12" s="3070"/>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16"/>
      <c r="Q13" s="1800">
        <f t="shared" si="6"/>
        <v>111</v>
      </c>
      <c r="R13" s="771" t="s">
        <v>17</v>
      </c>
      <c r="S13" s="772">
        <f t="shared" si="0"/>
        <v>100</v>
      </c>
      <c r="T13" s="771" t="s">
        <v>17</v>
      </c>
      <c r="U13" s="772">
        <f t="shared" si="1"/>
        <v>100</v>
      </c>
      <c r="V13" s="771" t="s">
        <v>17</v>
      </c>
      <c r="W13" s="772">
        <f t="shared" si="2"/>
        <v>100</v>
      </c>
      <c r="X13" s="773"/>
      <c r="Y13" s="3070"/>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16"/>
      <c r="Q14" s="1800">
        <f t="shared" si="6"/>
        <v>111</v>
      </c>
      <c r="R14" s="771" t="s">
        <v>17</v>
      </c>
      <c r="S14" s="772">
        <f t="shared" si="0"/>
        <v>100</v>
      </c>
      <c r="T14" s="771" t="s">
        <v>17</v>
      </c>
      <c r="U14" s="772">
        <f t="shared" si="1"/>
        <v>100</v>
      </c>
      <c r="V14" s="771" t="s">
        <v>17</v>
      </c>
      <c r="W14" s="772">
        <f t="shared" si="2"/>
        <v>100</v>
      </c>
      <c r="X14" s="773"/>
      <c r="Y14" s="3070"/>
      <c r="Z14" s="55">
        <f t="shared" si="7"/>
        <v>111</v>
      </c>
      <c r="AA14" s="774">
        <f t="shared" si="3"/>
        <v>1</v>
      </c>
      <c r="AB14" s="774">
        <f t="shared" si="4"/>
        <v>1</v>
      </c>
      <c r="AC14" s="774">
        <f t="shared" si="5"/>
        <v>1</v>
      </c>
    </row>
    <row r="15" spans="1:29" ht="57">
      <c r="A15" s="441" t="s">
        <v>2560</v>
      </c>
      <c r="B15" s="630" t="s">
        <v>2799</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23" t="s">
        <v>2561</v>
      </c>
      <c r="Q15" s="1815" t="str">
        <f t="shared" si="6"/>
        <v>产业集聚程度</v>
      </c>
      <c r="R15" s="775" t="s">
        <v>17</v>
      </c>
      <c r="S15" s="776">
        <f t="shared" si="0"/>
        <v>100</v>
      </c>
      <c r="T15" s="775" t="s">
        <v>17</v>
      </c>
      <c r="U15" s="776">
        <f t="shared" si="1"/>
        <v>100</v>
      </c>
      <c r="V15" s="775" t="s">
        <v>17</v>
      </c>
      <c r="W15" s="776">
        <f t="shared" si="2"/>
        <v>100</v>
      </c>
      <c r="X15" s="1818"/>
      <c r="Y15" s="3223" t="s">
        <v>2561</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24"/>
      <c r="Q16" s="1815"/>
      <c r="R16" s="775"/>
      <c r="S16" s="776"/>
      <c r="T16" s="775"/>
      <c r="U16" s="776"/>
      <c r="V16" s="775"/>
      <c r="W16" s="776"/>
      <c r="X16" s="1818"/>
      <c r="Y16" s="3224"/>
      <c r="Z16" s="1819"/>
      <c r="AA16" s="1816">
        <v>1</v>
      </c>
      <c r="AB16" s="1816">
        <v>1</v>
      </c>
      <c r="AC16" s="1816">
        <v>1</v>
      </c>
    </row>
    <row r="17" spans="1:29" ht="85.5">
      <c r="A17" s="429"/>
      <c r="B17" s="632" t="s">
        <v>2710</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24"/>
      <c r="Q17" s="1815" t="str">
        <f>B17</f>
        <v>交通便捷度</v>
      </c>
      <c r="R17" s="775" t="s">
        <v>17</v>
      </c>
      <c r="S17" s="776">
        <f>F17</f>
        <v>100</v>
      </c>
      <c r="T17" s="775" t="s">
        <v>17</v>
      </c>
      <c r="U17" s="776">
        <f>H17</f>
        <v>100</v>
      </c>
      <c r="V17" s="775" t="s">
        <v>17</v>
      </c>
      <c r="W17" s="776">
        <f>J17</f>
        <v>100</v>
      </c>
      <c r="X17" s="1818"/>
      <c r="Y17" s="3224"/>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24"/>
      <c r="Q18" s="1815"/>
      <c r="R18" s="775"/>
      <c r="S18" s="776"/>
      <c r="T18" s="775"/>
      <c r="U18" s="776"/>
      <c r="V18" s="775"/>
      <c r="W18" s="776"/>
      <c r="X18" s="1818"/>
      <c r="Y18" s="3224"/>
      <c r="Z18" s="1819"/>
      <c r="AA18" s="1816">
        <v>1</v>
      </c>
      <c r="AB18" s="1816">
        <v>1</v>
      </c>
      <c r="AC18" s="1816">
        <v>1</v>
      </c>
    </row>
    <row r="19" spans="1:29" ht="15">
      <c r="A19" s="429"/>
      <c r="B19" s="632" t="s">
        <v>2749</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24"/>
      <c r="Q19" s="1815" t="str">
        <f t="shared" ref="Q19:Q33" si="8">B19</f>
        <v>区域土地利用方向</v>
      </c>
      <c r="R19" s="775" t="s">
        <v>17</v>
      </c>
      <c r="S19" s="776">
        <f>F19</f>
        <v>100</v>
      </c>
      <c r="T19" s="775" t="s">
        <v>17</v>
      </c>
      <c r="U19" s="776">
        <f>H19</f>
        <v>100</v>
      </c>
      <c r="V19" s="775" t="s">
        <v>17</v>
      </c>
      <c r="W19" s="776">
        <f>J19</f>
        <v>100</v>
      </c>
      <c r="X19" s="1818"/>
      <c r="Y19" s="3224"/>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24"/>
      <c r="Q20" s="1815"/>
      <c r="R20" s="775"/>
      <c r="S20" s="776"/>
      <c r="T20" s="775"/>
      <c r="U20" s="776"/>
      <c r="V20" s="775"/>
      <c r="W20" s="776"/>
      <c r="X20" s="1818"/>
      <c r="Y20" s="3224"/>
      <c r="Z20" s="1819"/>
      <c r="AA20" s="1816"/>
      <c r="AB20" s="1816"/>
      <c r="AC20" s="1816"/>
    </row>
    <row r="21" spans="1:29" ht="71.25">
      <c r="A21" s="405"/>
      <c r="B21" s="632" t="s">
        <v>2800</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24"/>
      <c r="Q21" s="1815" t="str">
        <f t="shared" si="8"/>
        <v>环境状况</v>
      </c>
      <c r="R21" s="775" t="s">
        <v>17</v>
      </c>
      <c r="S21" s="776">
        <f>F21</f>
        <v>100</v>
      </c>
      <c r="T21" s="775" t="s">
        <v>17</v>
      </c>
      <c r="U21" s="776">
        <f>H21</f>
        <v>100</v>
      </c>
      <c r="V21" s="775" t="s">
        <v>17</v>
      </c>
      <c r="W21" s="776">
        <f>J21</f>
        <v>100</v>
      </c>
      <c r="X21" s="1818"/>
      <c r="Y21" s="3224"/>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24"/>
      <c r="Q22" s="1815"/>
      <c r="R22" s="775"/>
      <c r="S22" s="776"/>
      <c r="T22" s="775"/>
      <c r="U22" s="776"/>
      <c r="V22" s="775"/>
      <c r="W22" s="776"/>
      <c r="X22" s="1818"/>
      <c r="Y22" s="3224"/>
      <c r="Z22" s="1819"/>
      <c r="AA22" s="1816">
        <v>1</v>
      </c>
      <c r="AB22" s="1816">
        <v>1</v>
      </c>
      <c r="AC22" s="1816">
        <v>1</v>
      </c>
    </row>
    <row r="23" spans="1:29" s="117" customFormat="1" ht="42.75">
      <c r="A23" s="650"/>
      <c r="B23" s="634" t="s">
        <v>2655</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24"/>
      <c r="Q23" s="1800" t="str">
        <f t="shared" si="8"/>
        <v>公共配套设施</v>
      </c>
      <c r="R23" s="771" t="s">
        <v>17</v>
      </c>
      <c r="S23" s="772">
        <f>F23</f>
        <v>100</v>
      </c>
      <c r="T23" s="771" t="s">
        <v>17</v>
      </c>
      <c r="U23" s="772">
        <f>H23</f>
        <v>100</v>
      </c>
      <c r="V23" s="771" t="s">
        <v>17</v>
      </c>
      <c r="W23" s="772">
        <f>J23</f>
        <v>100</v>
      </c>
      <c r="X23" s="773"/>
      <c r="Y23" s="3224"/>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24"/>
      <c r="Q24" s="1800"/>
      <c r="R24" s="771"/>
      <c r="S24" s="772"/>
      <c r="T24" s="771"/>
      <c r="U24" s="772"/>
      <c r="V24" s="771"/>
      <c r="W24" s="772"/>
      <c r="X24" s="773"/>
      <c r="Y24" s="3224"/>
      <c r="Z24" s="55"/>
      <c r="AA24" s="774">
        <v>1</v>
      </c>
      <c r="AB24" s="774">
        <v>1</v>
      </c>
      <c r="AC24" s="774">
        <v>1</v>
      </c>
    </row>
    <row r="25" spans="1:29" s="117" customFormat="1" ht="28.5">
      <c r="A25" s="650"/>
      <c r="B25" s="634" t="s">
        <v>2656</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24"/>
      <c r="Q25" s="1800" t="str">
        <f t="shared" ref="Q25" si="9">B25</f>
        <v>基础设施水平</v>
      </c>
      <c r="R25" s="771" t="s">
        <v>17</v>
      </c>
      <c r="S25" s="772">
        <f>F25</f>
        <v>100</v>
      </c>
      <c r="T25" s="771" t="s">
        <v>17</v>
      </c>
      <c r="U25" s="772">
        <f>H25</f>
        <v>100</v>
      </c>
      <c r="V25" s="771" t="s">
        <v>17</v>
      </c>
      <c r="W25" s="772">
        <f>J25</f>
        <v>100</v>
      </c>
      <c r="X25" s="773"/>
      <c r="Y25" s="3224"/>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24"/>
      <c r="Q26" s="1800"/>
      <c r="R26" s="771"/>
      <c r="S26" s="772"/>
      <c r="T26" s="771"/>
      <c r="U26" s="772"/>
      <c r="V26" s="771"/>
      <c r="W26" s="772"/>
      <c r="X26" s="773"/>
      <c r="Y26" s="3224"/>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24"/>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24"/>
      <c r="Z27" s="1819" t="str">
        <f t="shared" ref="Z27:Z40" si="13">Q27</f>
        <v>临街状况</v>
      </c>
      <c r="AA27" s="1816">
        <f t="shared" si="3"/>
        <v>1</v>
      </c>
      <c r="AB27" s="1816">
        <f t="shared" si="4"/>
        <v>1</v>
      </c>
      <c r="AC27" s="1816">
        <f t="shared" si="5"/>
        <v>1</v>
      </c>
    </row>
    <row r="28" spans="1:29" ht="27">
      <c r="A28" s="429"/>
      <c r="B28" s="634" t="s">
        <v>2692</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24"/>
      <c r="Q28" s="1815" t="str">
        <f t="shared" si="8"/>
        <v>毗邻道路的类型与等级</v>
      </c>
      <c r="R28" s="775" t="s">
        <v>17</v>
      </c>
      <c r="S28" s="776">
        <f t="shared" si="10"/>
        <v>100</v>
      </c>
      <c r="T28" s="775" t="s">
        <v>17</v>
      </c>
      <c r="U28" s="776">
        <f t="shared" si="11"/>
        <v>100</v>
      </c>
      <c r="V28" s="775" t="s">
        <v>17</v>
      </c>
      <c r="W28" s="776">
        <f t="shared" si="12"/>
        <v>100</v>
      </c>
      <c r="X28" s="1818"/>
      <c r="Y28" s="3224"/>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24"/>
      <c r="Q29" s="1815"/>
      <c r="R29" s="775"/>
      <c r="S29" s="776"/>
      <c r="T29" s="775"/>
      <c r="U29" s="776"/>
      <c r="V29" s="775"/>
      <c r="W29" s="776"/>
      <c r="X29" s="1818"/>
      <c r="Y29" s="3224"/>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24"/>
      <c r="Q30" s="1815" t="str">
        <f t="shared" si="8"/>
        <v>土地级别</v>
      </c>
      <c r="R30" s="775" t="s">
        <v>17</v>
      </c>
      <c r="S30" s="776">
        <f t="shared" si="10"/>
        <v>100</v>
      </c>
      <c r="T30" s="775" t="s">
        <v>17</v>
      </c>
      <c r="U30" s="776">
        <f t="shared" si="11"/>
        <v>100</v>
      </c>
      <c r="V30" s="775" t="s">
        <v>17</v>
      </c>
      <c r="W30" s="776">
        <f t="shared" si="12"/>
        <v>100</v>
      </c>
      <c r="X30" s="1818"/>
      <c r="Y30" s="3224"/>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24"/>
      <c r="Q31" s="1815">
        <f t="shared" si="8"/>
        <v>111</v>
      </c>
      <c r="R31" s="775" t="s">
        <v>17</v>
      </c>
      <c r="S31" s="776">
        <f t="shared" si="10"/>
        <v>100</v>
      </c>
      <c r="T31" s="775" t="s">
        <v>17</v>
      </c>
      <c r="U31" s="776">
        <f t="shared" si="11"/>
        <v>100</v>
      </c>
      <c r="V31" s="775" t="s">
        <v>17</v>
      </c>
      <c r="W31" s="776">
        <f t="shared" si="12"/>
        <v>100</v>
      </c>
      <c r="X31" s="1818"/>
      <c r="Y31" s="3224"/>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5" t="s">
        <v>2566</v>
      </c>
      <c r="Q32" s="1815">
        <f t="shared" si="8"/>
        <v>111</v>
      </c>
      <c r="R32" s="775" t="s">
        <v>17</v>
      </c>
      <c r="S32" s="776">
        <f t="shared" si="10"/>
        <v>100</v>
      </c>
      <c r="T32" s="775" t="s">
        <v>17</v>
      </c>
      <c r="U32" s="776">
        <f t="shared" si="11"/>
        <v>100</v>
      </c>
      <c r="V32" s="775" t="s">
        <v>17</v>
      </c>
      <c r="W32" s="776">
        <f t="shared" si="12"/>
        <v>100</v>
      </c>
      <c r="X32" s="1818"/>
      <c r="Y32" s="3228" t="s">
        <v>2566</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28"/>
      <c r="Q33" s="1815">
        <f t="shared" si="8"/>
        <v>111</v>
      </c>
      <c r="R33" s="778" t="s">
        <v>17</v>
      </c>
      <c r="S33" s="779">
        <f t="shared" si="10"/>
        <v>100</v>
      </c>
      <c r="T33" s="778" t="s">
        <v>17</v>
      </c>
      <c r="U33" s="779">
        <f t="shared" si="11"/>
        <v>100</v>
      </c>
      <c r="V33" s="778" t="s">
        <v>17</v>
      </c>
      <c r="W33" s="779">
        <f t="shared" si="12"/>
        <v>100</v>
      </c>
      <c r="X33" s="780"/>
      <c r="Y33" s="3228"/>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28"/>
      <c r="Q34" s="1815" t="str">
        <f>B34</f>
        <v>宗地面积</v>
      </c>
      <c r="R34" s="775" t="s">
        <v>17</v>
      </c>
      <c r="S34" s="776" t="e">
        <f t="shared" si="10"/>
        <v>#N/A</v>
      </c>
      <c r="T34" s="775" t="s">
        <v>17</v>
      </c>
      <c r="U34" s="776" t="e">
        <f t="shared" si="11"/>
        <v>#N/A</v>
      </c>
      <c r="V34" s="775" t="s">
        <v>17</v>
      </c>
      <c r="W34" s="776" t="e">
        <f t="shared" si="12"/>
        <v>#N/A</v>
      </c>
      <c r="X34" s="1818"/>
      <c r="Y34" s="3228"/>
      <c r="Z34" s="1819" t="str">
        <f t="shared" si="13"/>
        <v>宗地面积</v>
      </c>
      <c r="AA34" s="1816" t="e">
        <f t="shared" si="3"/>
        <v>#N/A</v>
      </c>
      <c r="AB34" s="1816" t="e">
        <f t="shared" si="4"/>
        <v>#N/A</v>
      </c>
      <c r="AC34" s="1816" t="e">
        <f t="shared" si="5"/>
        <v>#N/A</v>
      </c>
    </row>
    <row r="35" spans="1:29" ht="15">
      <c r="A35" s="473"/>
      <c r="B35" s="423" t="s">
        <v>2753</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28"/>
      <c r="Q35" s="1815" t="str">
        <f t="shared" ref="Q35:Q40" si="14">B35</f>
        <v>宗地形状</v>
      </c>
      <c r="R35" s="775" t="s">
        <v>17</v>
      </c>
      <c r="S35" s="776">
        <f t="shared" si="10"/>
        <v>100</v>
      </c>
      <c r="T35" s="775" t="s">
        <v>17</v>
      </c>
      <c r="U35" s="776">
        <f t="shared" si="11"/>
        <v>100</v>
      </c>
      <c r="V35" s="775" t="s">
        <v>17</v>
      </c>
      <c r="W35" s="776">
        <f t="shared" si="12"/>
        <v>100</v>
      </c>
      <c r="X35" s="1818"/>
      <c r="Y35" s="3228"/>
      <c r="Z35" s="1819" t="str">
        <f t="shared" si="13"/>
        <v>宗地形状</v>
      </c>
      <c r="AA35" s="1816">
        <f t="shared" si="3"/>
        <v>1</v>
      </c>
      <c r="AB35" s="1816">
        <f t="shared" si="4"/>
        <v>1</v>
      </c>
      <c r="AC35" s="1816">
        <f t="shared" si="5"/>
        <v>1</v>
      </c>
    </row>
    <row r="36" spans="1:29" s="117" customFormat="1" ht="15">
      <c r="A36" s="474"/>
      <c r="B36" s="423" t="s">
        <v>2755</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28"/>
      <c r="Q36" s="1815" t="str">
        <f t="shared" si="14"/>
        <v>宗地开发程度</v>
      </c>
      <c r="R36" s="771" t="s">
        <v>17</v>
      </c>
      <c r="S36" s="772">
        <f t="shared" si="10"/>
        <v>100</v>
      </c>
      <c r="T36" s="771" t="s">
        <v>17</v>
      </c>
      <c r="U36" s="772">
        <f t="shared" si="11"/>
        <v>100</v>
      </c>
      <c r="V36" s="771" t="s">
        <v>17</v>
      </c>
      <c r="W36" s="772">
        <f t="shared" si="12"/>
        <v>100</v>
      </c>
      <c r="X36" s="773"/>
      <c r="Y36" s="3228"/>
      <c r="Z36" s="55" t="str">
        <f t="shared" si="13"/>
        <v>宗地开发程度</v>
      </c>
      <c r="AA36" s="774">
        <f t="shared" si="3"/>
        <v>1</v>
      </c>
      <c r="AB36" s="774">
        <f t="shared" si="4"/>
        <v>1</v>
      </c>
      <c r="AC36" s="774">
        <f t="shared" si="5"/>
        <v>1</v>
      </c>
    </row>
    <row r="37" spans="1:29" ht="15">
      <c r="A37" s="473"/>
      <c r="B37" s="423" t="s">
        <v>2756</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28" t="s">
        <v>2566</v>
      </c>
      <c r="Q37" s="1815" t="str">
        <f t="shared" si="14"/>
        <v>工程地质条件</v>
      </c>
      <c r="R37" s="775" t="s">
        <v>17</v>
      </c>
      <c r="S37" s="776">
        <f t="shared" si="10"/>
        <v>100</v>
      </c>
      <c r="T37" s="775" t="s">
        <v>17</v>
      </c>
      <c r="U37" s="776">
        <f t="shared" si="11"/>
        <v>100</v>
      </c>
      <c r="V37" s="775" t="s">
        <v>17</v>
      </c>
      <c r="W37" s="776">
        <f t="shared" si="12"/>
        <v>100</v>
      </c>
      <c r="X37" s="1818"/>
      <c r="Y37" s="3228"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28"/>
      <c r="Q38" s="1815">
        <f t="shared" si="14"/>
        <v>111</v>
      </c>
      <c r="R38" s="775" t="s">
        <v>17</v>
      </c>
      <c r="S38" s="776">
        <f t="shared" si="10"/>
        <v>100</v>
      </c>
      <c r="T38" s="775" t="s">
        <v>17</v>
      </c>
      <c r="U38" s="776">
        <f t="shared" si="11"/>
        <v>100</v>
      </c>
      <c r="V38" s="775" t="s">
        <v>17</v>
      </c>
      <c r="W38" s="776">
        <f t="shared" si="12"/>
        <v>100</v>
      </c>
      <c r="X38" s="1818"/>
      <c r="Y38" s="3228"/>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28"/>
      <c r="Q39" s="1815">
        <f t="shared" si="14"/>
        <v>111</v>
      </c>
      <c r="R39" s="775" t="s">
        <v>17</v>
      </c>
      <c r="S39" s="776">
        <f t="shared" si="10"/>
        <v>100</v>
      </c>
      <c r="T39" s="775" t="s">
        <v>17</v>
      </c>
      <c r="U39" s="776">
        <f t="shared" si="11"/>
        <v>100</v>
      </c>
      <c r="V39" s="775" t="s">
        <v>17</v>
      </c>
      <c r="W39" s="776">
        <f t="shared" si="12"/>
        <v>100</v>
      </c>
      <c r="X39" s="1818"/>
      <c r="Y39" s="3228"/>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28"/>
      <c r="Q40" s="1815">
        <f t="shared" si="14"/>
        <v>111</v>
      </c>
      <c r="R40" s="778" t="s">
        <v>17</v>
      </c>
      <c r="S40" s="779">
        <f t="shared" si="10"/>
        <v>100</v>
      </c>
      <c r="T40" s="778" t="s">
        <v>17</v>
      </c>
      <c r="U40" s="779">
        <f t="shared" si="11"/>
        <v>100</v>
      </c>
      <c r="V40" s="778" t="s">
        <v>17</v>
      </c>
      <c r="W40" s="779">
        <f t="shared" si="12"/>
        <v>100</v>
      </c>
      <c r="X40" s="780"/>
      <c r="Y40" s="3228"/>
      <c r="Z40" s="781">
        <f t="shared" si="13"/>
        <v>111</v>
      </c>
      <c r="AA40" s="1816">
        <f t="shared" si="3"/>
        <v>1</v>
      </c>
      <c r="AB40" s="1816">
        <f t="shared" si="4"/>
        <v>1</v>
      </c>
      <c r="AC40" s="1816">
        <f t="shared" si="5"/>
        <v>1</v>
      </c>
    </row>
    <row r="41" spans="1:29" ht="15">
      <c r="A41" s="480" t="s">
        <v>2721</v>
      </c>
      <c r="B41" s="2711" t="s">
        <v>2801</v>
      </c>
      <c r="C41" s="683" t="s">
        <v>1</v>
      </c>
      <c r="D41" s="482"/>
      <c r="E41" s="483"/>
      <c r="F41" s="484"/>
      <c r="G41" s="485"/>
      <c r="H41" s="486"/>
      <c r="I41" s="483"/>
      <c r="J41" s="486"/>
      <c r="K41" s="784"/>
      <c r="L41" s="1147"/>
      <c r="M41" s="1135"/>
      <c r="N41" s="1135"/>
      <c r="O41" s="1148"/>
      <c r="P41" s="3216" t="str">
        <f>A41</f>
        <v>成交单价</v>
      </c>
      <c r="Q41" s="3216"/>
      <c r="R41" s="3250">
        <f>E41</f>
        <v>0</v>
      </c>
      <c r="S41" s="3250"/>
      <c r="T41" s="3250">
        <f>G41</f>
        <v>0</v>
      </c>
      <c r="U41" s="3250"/>
      <c r="V41" s="3250">
        <f>I41</f>
        <v>0</v>
      </c>
      <c r="W41" s="3250"/>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216" t="str">
        <f>A42</f>
        <v>比较价值（元/平方米）</v>
      </c>
      <c r="Q42" s="3216"/>
      <c r="R42" s="3306" t="e">
        <f>ROUND(PRODUCT(R41,AA7:AA40),0)</f>
        <v>#DIV/0!</v>
      </c>
      <c r="S42" s="3306"/>
      <c r="T42" s="3306" t="e">
        <f>ROUND(PRODUCT(T41,AB7:AB40),0)</f>
        <v>#DIV/0!</v>
      </c>
      <c r="U42" s="3306"/>
      <c r="V42" s="3306" t="e">
        <f>ROUND(PRODUCT(V41,AC7:AC40),0)</f>
        <v>#DIV/0!</v>
      </c>
      <c r="W42" s="3306"/>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294" t="str">
        <f>A43</f>
        <v>估价对象XX用房的比较价值（楼面单价，元/平方米）</v>
      </c>
      <c r="Q43" s="3295"/>
      <c r="R43" s="3307" t="e">
        <f>ROUND(AVERAGE(R42:V42),0)</f>
        <v>#DIV/0!</v>
      </c>
      <c r="S43" s="3307"/>
      <c r="T43" s="3307"/>
      <c r="U43" s="3307"/>
      <c r="V43" s="3307"/>
      <c r="W43" s="3307"/>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12" t="s">
        <v>2761</v>
      </c>
      <c r="D50" s="2713" t="s">
        <v>2762</v>
      </c>
      <c r="E50" s="687" t="s">
        <v>2763</v>
      </c>
      <c r="F50" s="688" t="s">
        <v>2764</v>
      </c>
      <c r="G50" s="3233" t="s">
        <v>2765</v>
      </c>
      <c r="H50" s="3308"/>
      <c r="I50" s="1819" t="s">
        <v>2802</v>
      </c>
      <c r="J50" s="1819">
        <f>项目基本情况!F35</f>
        <v>0</v>
      </c>
      <c r="K50" s="2715" t="s">
        <v>2767</v>
      </c>
      <c r="L50" s="1110"/>
      <c r="M50" s="1148"/>
      <c r="N50" s="1148"/>
      <c r="O50" s="1148"/>
    </row>
    <row r="51" spans="1:17" s="693" customFormat="1">
      <c r="A51" s="689" t="s">
        <v>2768</v>
      </c>
      <c r="B51" s="690" t="e">
        <f>C43</f>
        <v>#DIV/0!</v>
      </c>
      <c r="C51" s="691">
        <v>1</v>
      </c>
      <c r="D51" s="1167">
        <v>1</v>
      </c>
      <c r="E51" s="691">
        <f>'数据-汇总表'!E8+'数据-汇总表'!E9</f>
        <v>1952.76</v>
      </c>
      <c r="F51" s="692" t="e">
        <f t="shared" ref="F51:F60" si="15">ROUND(B51*E51/10000,0)</f>
        <v>#DIV/0!</v>
      </c>
      <c r="G51" s="3215"/>
      <c r="H51" s="3216"/>
      <c r="I51" s="946">
        <v>1</v>
      </c>
      <c r="J51" s="946">
        <v>1</v>
      </c>
      <c r="K51" s="1149"/>
      <c r="L51" s="945"/>
      <c r="M51" s="945"/>
      <c r="N51" s="945"/>
      <c r="O51" s="945"/>
    </row>
    <row r="52" spans="1:17" s="693" customFormat="1">
      <c r="A52" s="694" t="s">
        <v>2769</v>
      </c>
      <c r="B52" s="263" t="e">
        <f>ROUND($C$43*C52*D52,0)</f>
        <v>#DIV/0!</v>
      </c>
      <c r="C52" s="201">
        <f t="shared" ref="C52:C60" si="16">IF($C$50="北京市系数",I52,J52)</f>
        <v>0</v>
      </c>
      <c r="D52" s="1168">
        <v>0.25</v>
      </c>
      <c r="E52" s="695"/>
      <c r="F52" s="692" t="e">
        <f t="shared" si="15"/>
        <v>#DIV/0!</v>
      </c>
      <c r="G52" s="3309" t="s">
        <v>2770</v>
      </c>
      <c r="H52" s="1108">
        <f>项目基本情况!B37</f>
        <v>0</v>
      </c>
      <c r="I52" s="946">
        <f>SUMIF(修正!A45:A56,H52,修正!B45:B56)</f>
        <v>0</v>
      </c>
      <c r="J52" s="947"/>
      <c r="K52" s="1148"/>
      <c r="L52" s="945"/>
      <c r="M52" s="945"/>
      <c r="N52" s="945"/>
      <c r="O52" s="945"/>
    </row>
    <row r="53" spans="1:17" s="693" customFormat="1">
      <c r="A53" s="694" t="s">
        <v>2771</v>
      </c>
      <c r="B53" s="263" t="e">
        <f t="shared" ref="B53:B60" si="17">ROUND($C$43*C53*D53,0)</f>
        <v>#DIV/0!</v>
      </c>
      <c r="C53" s="201">
        <f t="shared" si="16"/>
        <v>0</v>
      </c>
      <c r="D53" s="1168">
        <v>0.25</v>
      </c>
      <c r="E53" s="695"/>
      <c r="F53" s="692" t="e">
        <f t="shared" si="15"/>
        <v>#DIV/0!</v>
      </c>
      <c r="G53" s="3309"/>
      <c r="H53" s="1108">
        <f>项目基本情况!B37</f>
        <v>0</v>
      </c>
      <c r="I53" s="946">
        <f>SUMIF(修正!A45:A56,H53,修正!C45:C56)</f>
        <v>0</v>
      </c>
      <c r="J53" s="947"/>
      <c r="K53" s="1149"/>
      <c r="L53" s="945"/>
      <c r="M53" s="945"/>
      <c r="N53" s="945"/>
      <c r="O53" s="945"/>
    </row>
    <row r="54" spans="1:17" s="693" customFormat="1">
      <c r="A54" s="694" t="s">
        <v>2772</v>
      </c>
      <c r="B54" s="263" t="e">
        <f t="shared" si="17"/>
        <v>#DIV/0!</v>
      </c>
      <c r="C54" s="201">
        <f t="shared" si="16"/>
        <v>0</v>
      </c>
      <c r="D54" s="1168">
        <v>0.25</v>
      </c>
      <c r="E54" s="695"/>
      <c r="F54" s="692" t="e">
        <f t="shared" si="15"/>
        <v>#DIV/0!</v>
      </c>
      <c r="G54" s="3309"/>
      <c r="H54" s="1108">
        <f>项目基本情况!B37</f>
        <v>0</v>
      </c>
      <c r="I54" s="946">
        <f>SUMIF(修正!A45:A56,H54,修正!D45:D56)</f>
        <v>0</v>
      </c>
      <c r="J54" s="947"/>
      <c r="K54" s="1148"/>
      <c r="L54" s="945"/>
      <c r="M54" s="945"/>
      <c r="N54" s="945"/>
      <c r="O54" s="945"/>
    </row>
    <row r="55" spans="1:17" s="693" customFormat="1">
      <c r="A55" s="694" t="s">
        <v>2773</v>
      </c>
      <c r="B55" s="263" t="e">
        <f t="shared" si="17"/>
        <v>#DIV/0!</v>
      </c>
      <c r="C55" s="201">
        <f t="shared" si="16"/>
        <v>0</v>
      </c>
      <c r="D55" s="1168">
        <v>0.25</v>
      </c>
      <c r="E55" s="695"/>
      <c r="F55" s="692" t="e">
        <f t="shared" si="15"/>
        <v>#DIV/0!</v>
      </c>
      <c r="G55" s="3309"/>
      <c r="H55" s="1108">
        <f>项目基本情况!B37</f>
        <v>0</v>
      </c>
      <c r="I55" s="946">
        <f>SUMIF(修正!A45:A56,H55,修正!E45:E56)</f>
        <v>0</v>
      </c>
      <c r="J55" s="947"/>
      <c r="K55" s="1149"/>
      <c r="L55" s="945"/>
      <c r="M55" s="945"/>
      <c r="N55" s="945"/>
      <c r="O55" s="945"/>
    </row>
    <row r="56" spans="1:17" s="693" customFormat="1">
      <c r="A56" s="694" t="s">
        <v>2774</v>
      </c>
      <c r="B56" s="263" t="e">
        <f t="shared" si="17"/>
        <v>#DIV/0!</v>
      </c>
      <c r="C56" s="201">
        <f t="shared" si="16"/>
        <v>0</v>
      </c>
      <c r="D56" s="1168">
        <v>0.25</v>
      </c>
      <c r="E56" s="262">
        <f>'数据-汇总表'!E11</f>
        <v>0</v>
      </c>
      <c r="F56" s="692" t="e">
        <f t="shared" si="15"/>
        <v>#DIV/0!</v>
      </c>
      <c r="G56" s="2716" t="s">
        <v>2775</v>
      </c>
      <c r="H56" s="1108">
        <f>项目基本情况!C37</f>
        <v>0</v>
      </c>
      <c r="I56" s="946">
        <f>SUMIF(修正!A45:A56,H56,修正!F45:F56)</f>
        <v>0</v>
      </c>
      <c r="J56" s="947"/>
      <c r="K56" s="1148"/>
      <c r="L56" s="945"/>
      <c r="M56" s="945"/>
      <c r="N56" s="945"/>
      <c r="O56" s="945"/>
    </row>
    <row r="57" spans="1:17" s="693" customFormat="1">
      <c r="A57" s="694" t="s">
        <v>2776</v>
      </c>
      <c r="B57" s="263" t="e">
        <f t="shared" si="17"/>
        <v>#DIV/0!</v>
      </c>
      <c r="C57" s="201">
        <f t="shared" si="16"/>
        <v>0</v>
      </c>
      <c r="D57" s="1168">
        <v>0.25</v>
      </c>
      <c r="E57" s="262">
        <f>'数据-汇总表'!E12</f>
        <v>0</v>
      </c>
      <c r="F57" s="692" t="e">
        <f t="shared" si="15"/>
        <v>#DIV/0!</v>
      </c>
      <c r="G57" s="1113" t="s">
        <v>2777</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v>
      </c>
      <c r="D59" s="1168">
        <v>0.25</v>
      </c>
      <c r="E59" s="262">
        <f>'数据-汇总表'!E14</f>
        <v>0</v>
      </c>
      <c r="F59" s="692" t="e">
        <f t="shared" si="15"/>
        <v>#DIV/0!</v>
      </c>
      <c r="G59" s="2716" t="s">
        <v>2770</v>
      </c>
      <c r="H59" s="1108">
        <f>项目基本情况!B37</f>
        <v>0</v>
      </c>
      <c r="I59" s="946">
        <f>SUMIF(修正!A45:A56,H59,修正!H45:H56)</f>
        <v>0</v>
      </c>
      <c r="J59" s="947"/>
      <c r="K59" s="1149"/>
      <c r="L59" s="945"/>
      <c r="M59" s="945"/>
      <c r="N59" s="945"/>
      <c r="O59" s="945"/>
    </row>
    <row r="60" spans="1:17" s="693" customFormat="1" ht="15" thickBot="1">
      <c r="A60" s="694" t="s">
        <v>2781</v>
      </c>
      <c r="B60" s="263" t="e">
        <f t="shared" si="17"/>
        <v>#DIV/0!</v>
      </c>
      <c r="C60" s="201">
        <f t="shared" si="16"/>
        <v>0</v>
      </c>
      <c r="D60" s="1168">
        <v>0.25</v>
      </c>
      <c r="E60" s="262">
        <f>'数据-汇总表'!E15</f>
        <v>0</v>
      </c>
      <c r="F60" s="692" t="e">
        <f t="shared" si="15"/>
        <v>#DIV/0!</v>
      </c>
      <c r="G60" s="2717" t="s">
        <v>2775</v>
      </c>
      <c r="H60" s="1118">
        <f>项目基本情况!C37</f>
        <v>0</v>
      </c>
      <c r="I60" s="946">
        <f>SUMIF(修正!A45:A56,H60,修正!H45:H56)</f>
        <v>0</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8" t="s">
        <v>2783</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2803</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2805</v>
      </c>
      <c r="B1" s="242"/>
      <c r="C1" s="246" t="s">
        <v>2806</v>
      </c>
      <c r="D1" s="389">
        <f>SUM(D29:D30,D33:D39)</f>
        <v>0</v>
      </c>
      <c r="E1" s="2724"/>
      <c r="F1" s="2724"/>
      <c r="G1" s="2724"/>
      <c r="H1" s="2724"/>
      <c r="I1" s="2724"/>
      <c r="J1" s="2724"/>
      <c r="K1" s="1374"/>
      <c r="L1" s="2725" t="s">
        <v>2807</v>
      </c>
      <c r="M1" s="1084">
        <f>SUMPRODUCT((区片价!B5:B9=I2)*(区片价!C3:F3=E2)*(区片价!C5:F9))</f>
        <v>0</v>
      </c>
      <c r="N1" s="1087">
        <f>SUMPRODUCT((因素修正幅度!B5:B9=I2)*(因素修正幅度!C3:F3=E2)*(因素修正幅度!C5:F9))</f>
        <v>0</v>
      </c>
      <c r="O1" s="2726"/>
      <c r="P1" s="2726"/>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4"/>
      <c r="L2" s="2733" t="s">
        <v>2818</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2819</v>
      </c>
      <c r="B3" s="249" t="e">
        <f>ROUND(B2*10000/D1,0)</f>
        <v>#DIV/0!</v>
      </c>
      <c r="C3" s="2728" t="s">
        <v>2820</v>
      </c>
      <c r="D3" s="2729" t="s">
        <v>2821</v>
      </c>
      <c r="E3" s="2734"/>
      <c r="F3" s="2735" t="s">
        <v>2822</v>
      </c>
      <c r="G3" s="917" t="e">
        <f>IF(F3="宗地容积率",'数据-汇总表'!I4,IF(F3="估价对象容积率",'数据-汇总表'!I6,'数据-汇总表'!I7))</f>
        <v>#DIV/0!</v>
      </c>
      <c r="H3" s="199" t="s">
        <v>2823</v>
      </c>
      <c r="I3" s="948"/>
      <c r="J3" s="2732" t="s">
        <v>2824</v>
      </c>
      <c r="K3" s="1374"/>
      <c r="L3" s="2733" t="s">
        <v>2825</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17"/>
      <c r="B4" s="3318"/>
      <c r="C4" s="3318"/>
      <c r="D4" s="3319"/>
      <c r="E4" s="3319"/>
      <c r="F4" s="3319"/>
      <c r="G4" s="3319"/>
      <c r="H4" s="3319"/>
      <c r="I4" s="3319"/>
      <c r="J4" s="3320"/>
      <c r="K4" s="1374"/>
      <c r="L4" s="2733" t="s">
        <v>2826</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2827</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2828</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2829</v>
      </c>
      <c r="B6" s="2747" t="s">
        <v>2830</v>
      </c>
      <c r="C6" s="919">
        <f>SUMIF(L1:L12,G2,M1:M12)</f>
        <v>0</v>
      </c>
      <c r="D6" s="2748" t="s">
        <v>2831</v>
      </c>
      <c r="E6" s="2749"/>
      <c r="F6" s="2749"/>
      <c r="G6" s="2750"/>
      <c r="H6" s="2750"/>
      <c r="I6" s="2750"/>
      <c r="J6" s="2751"/>
      <c r="K6" s="1847"/>
      <c r="L6" s="2733" t="s">
        <v>2832</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21" t="str">
        <f>IF(E2="商业",IF(C8="不临58条商业街","",2),"")</f>
        <v/>
      </c>
      <c r="B7" s="2752" t="s">
        <v>2833</v>
      </c>
      <c r="C7" s="920" t="e">
        <f>IF(C8="不临58条商业街",1,ROUND(1+(1.6*E8+1.2*E9+0.8*E10+0.4*E11)*C9,4))</f>
        <v>#DIV/0!</v>
      </c>
      <c r="D7" s="2753" t="s">
        <v>2834</v>
      </c>
      <c r="E7" s="949"/>
      <c r="F7" s="2754"/>
      <c r="G7" s="2755"/>
      <c r="H7" s="2755"/>
      <c r="I7" s="2755"/>
      <c r="J7" s="2756"/>
      <c r="K7" s="1847"/>
      <c r="L7" s="2733" t="s">
        <v>2835</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2836</v>
      </c>
      <c r="X7" s="1609">
        <f>G2</f>
        <v>0</v>
      </c>
      <c r="Y7" s="1609" t="s">
        <v>2837</v>
      </c>
      <c r="Z7" s="1610" t="e">
        <f>G3</f>
        <v>#DIV/0!</v>
      </c>
      <c r="AA7" s="1611"/>
      <c r="AB7" s="1611"/>
      <c r="AC7" s="1612"/>
      <c r="AD7" s="1613"/>
      <c r="AE7" s="1613"/>
      <c r="AF7" s="1613"/>
      <c r="AG7" s="1613"/>
      <c r="AH7" s="1613"/>
      <c r="AI7" s="1613"/>
      <c r="AJ7" s="1614"/>
    </row>
    <row r="8" spans="1:36" ht="15">
      <c r="A8" s="3322"/>
      <c r="B8" s="199" t="s">
        <v>2838</v>
      </c>
      <c r="C8" s="2757"/>
      <c r="D8" s="921" t="s">
        <v>139</v>
      </c>
      <c r="E8" s="922" t="e">
        <f>ROUND(C11/E7,4)</f>
        <v>#DIV/0!</v>
      </c>
      <c r="F8" s="2758" t="s">
        <v>2839</v>
      </c>
      <c r="G8" s="2759"/>
      <c r="H8" s="2759"/>
      <c r="I8" s="2759"/>
      <c r="J8" s="2760"/>
      <c r="K8" s="1374"/>
      <c r="L8" s="2733" t="s">
        <v>2840</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14" t="s">
        <v>2841</v>
      </c>
      <c r="X8" s="3315"/>
      <c r="Y8" s="1615" t="s">
        <v>2842</v>
      </c>
      <c r="Z8" s="1615" t="s">
        <v>2843</v>
      </c>
      <c r="AA8" s="1615" t="s">
        <v>2844</v>
      </c>
      <c r="AB8" s="1615" t="s">
        <v>2845</v>
      </c>
      <c r="AC8" s="1615" t="s">
        <v>2846</v>
      </c>
      <c r="AD8" s="1615" t="s">
        <v>2847</v>
      </c>
      <c r="AE8" s="1615" t="s">
        <v>2848</v>
      </c>
      <c r="AF8" s="1615" t="s">
        <v>2849</v>
      </c>
      <c r="AG8" s="1615" t="s">
        <v>2850</v>
      </c>
      <c r="AH8" s="1615" t="s">
        <v>2851</v>
      </c>
      <c r="AI8" s="1615" t="s">
        <v>2852</v>
      </c>
      <c r="AJ8" s="1615" t="s">
        <v>2853</v>
      </c>
    </row>
    <row r="9" spans="1:36" ht="15">
      <c r="A9" s="3322"/>
      <c r="B9" s="199" t="s">
        <v>2854</v>
      </c>
      <c r="C9" s="923">
        <f>SUMIF(修正!C59:C119,C8,修正!E59:E119)</f>
        <v>0</v>
      </c>
      <c r="D9" s="201" t="s">
        <v>140</v>
      </c>
      <c r="E9" s="201" t="e">
        <f>ROUND(C11/E7,4)</f>
        <v>#DIV/0!</v>
      </c>
      <c r="F9" s="2758" t="s">
        <v>2855</v>
      </c>
      <c r="G9" s="2759"/>
      <c r="H9" s="2759"/>
      <c r="I9" s="2759"/>
      <c r="J9" s="2760"/>
      <c r="K9" s="1374"/>
      <c r="L9" s="2733" t="s">
        <v>2856</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16" t="s">
        <v>2857</v>
      </c>
      <c r="X9" s="1616" t="s">
        <v>2858</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22"/>
      <c r="B10" s="199" t="s">
        <v>2859</v>
      </c>
      <c r="C10" s="201">
        <f>SUMIF(修正!C59:C119,C8,修正!F59:F119)</f>
        <v>0</v>
      </c>
      <c r="D10" s="201" t="s">
        <v>141</v>
      </c>
      <c r="E10" s="201" t="e">
        <f>ROUND(C11/E7,4)</f>
        <v>#DIV/0!</v>
      </c>
      <c r="F10" s="2758" t="s">
        <v>2860</v>
      </c>
      <c r="G10" s="2759"/>
      <c r="H10" s="2759"/>
      <c r="I10" s="2759"/>
      <c r="J10" s="2760"/>
      <c r="K10" s="1374"/>
      <c r="L10" s="2733" t="s">
        <v>2861</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16"/>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22"/>
      <c r="B11" s="2761" t="s">
        <v>2862</v>
      </c>
      <c r="C11" s="924">
        <f>C10/4</f>
        <v>0</v>
      </c>
      <c r="D11" s="924" t="s">
        <v>142</v>
      </c>
      <c r="E11" s="924" t="e">
        <f>ROUND(C11/E7,4)</f>
        <v>#DIV/0!</v>
      </c>
      <c r="F11" s="2762" t="s">
        <v>2863</v>
      </c>
      <c r="G11" s="2763"/>
      <c r="H11" s="2763"/>
      <c r="I11" s="2763"/>
      <c r="J11" s="2764"/>
      <c r="K11" s="1374"/>
      <c r="L11" s="2733" t="s">
        <v>2864</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16" t="s">
        <v>2865</v>
      </c>
      <c r="X11" s="1619" t="s">
        <v>2866</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21" t="s">
        <v>2867</v>
      </c>
      <c r="B12" s="2765" t="s">
        <v>2868</v>
      </c>
      <c r="C12" s="920">
        <f>ROUND(C15*D15*E15*F15*G15*H15*I15*J15,4)</f>
        <v>1</v>
      </c>
      <c r="D12" s="2766" t="s">
        <v>2869</v>
      </c>
      <c r="E12" s="2767"/>
      <c r="F12" s="2767"/>
      <c r="G12" s="2768"/>
      <c r="H12" s="2768"/>
      <c r="I12" s="2768"/>
      <c r="J12" s="2769"/>
      <c r="K12" s="1374"/>
      <c r="L12" s="2770" t="s">
        <v>2870</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16"/>
      <c r="X12" s="1621" t="s">
        <v>2871</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23"/>
      <c r="B13" s="2771" t="s">
        <v>2872</v>
      </c>
      <c r="C13" s="2772" t="s">
        <v>2873</v>
      </c>
      <c r="D13" s="1813" t="s">
        <v>2874</v>
      </c>
      <c r="E13" s="1813" t="s">
        <v>2875</v>
      </c>
      <c r="F13" s="30" t="s">
        <v>2876</v>
      </c>
      <c r="G13" s="2773" t="s">
        <v>2877</v>
      </c>
      <c r="H13" s="2773" t="s">
        <v>2877</v>
      </c>
      <c r="I13" s="2773" t="s">
        <v>2877</v>
      </c>
      <c r="J13" s="2774" t="s">
        <v>2877</v>
      </c>
      <c r="K13" s="1374"/>
      <c r="L13" s="1374"/>
      <c r="M13" s="1374"/>
      <c r="N13" s="1374"/>
      <c r="O13" s="1374"/>
      <c r="P13" s="1374"/>
      <c r="Q13" s="1374"/>
      <c r="R13" s="1607">
        <v>12</v>
      </c>
      <c r="S13" s="1608"/>
      <c r="T13" s="1607" t="e">
        <f t="shared" si="0"/>
        <v>#DIV/0!</v>
      </c>
      <c r="U13" s="1608"/>
      <c r="V13" s="1607" t="e">
        <f t="shared" si="1"/>
        <v>#DIV/0!</v>
      </c>
      <c r="W13" s="3316"/>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23"/>
      <c r="B14" s="2775"/>
      <c r="C14" s="2776"/>
      <c r="D14" s="2777"/>
      <c r="E14" s="2777"/>
      <c r="F14" s="2778"/>
      <c r="G14" s="2779" t="s">
        <v>2878</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24"/>
      <c r="B15" s="2783" t="s">
        <v>2879</v>
      </c>
      <c r="C15" s="230">
        <f>IF(C14="有",1.1,1)</f>
        <v>1</v>
      </c>
      <c r="D15" s="230">
        <f>IF(D14="有",1.1,1)</f>
        <v>1</v>
      </c>
      <c r="E15" s="230">
        <f>IF(E14="有",1.1,1)</f>
        <v>1</v>
      </c>
      <c r="F15" s="230">
        <f>IF(F14="500米范围内",1.2,IF(F14="500-1000米",1.1,1))</f>
        <v>1</v>
      </c>
      <c r="G15" s="950">
        <v>1</v>
      </c>
      <c r="H15" s="950">
        <v>1</v>
      </c>
      <c r="I15" s="950">
        <v>1</v>
      </c>
      <c r="J15" s="951">
        <v>1</v>
      </c>
      <c r="K15" s="1374"/>
      <c r="L15" s="2784" t="s">
        <v>2815</v>
      </c>
      <c r="M15" s="921" t="s">
        <v>2880</v>
      </c>
      <c r="N15" s="921" t="s">
        <v>2881</v>
      </c>
      <c r="O15" s="921" t="s">
        <v>2882</v>
      </c>
      <c r="P15" s="2785" t="s">
        <v>2883</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21" t="s">
        <v>2884</v>
      </c>
      <c r="B16" s="2752" t="s">
        <v>2885</v>
      </c>
      <c r="C16" s="1806" t="e">
        <f>ROUND(SUM(G17:J17)/C17,0)</f>
        <v>#DIV/0!</v>
      </c>
      <c r="D16" s="2786" t="s">
        <v>2886</v>
      </c>
      <c r="E16" s="2787"/>
      <c r="F16" s="2788"/>
      <c r="G16" s="2789"/>
      <c r="H16" s="2789"/>
      <c r="I16" s="2789"/>
      <c r="J16" s="2790"/>
      <c r="K16" s="1374"/>
      <c r="L16" s="2791" t="s">
        <v>2887</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22"/>
      <c r="B17" s="2792" t="s">
        <v>2888</v>
      </c>
      <c r="C17" s="925">
        <f>SUMPRODUCT((修正!A2:A5=E2)*(修正!B1:M1=G2)*(修正!B2:M5))</f>
        <v>0</v>
      </c>
      <c r="D17" s="2793" t="s">
        <v>2889</v>
      </c>
      <c r="E17" s="924" t="str">
        <f>IF(OR(G2="八级",G2="九级",G2="十级",G2="十一级",G2="十二级"),"五通一平","七通一平")</f>
        <v>七通一平</v>
      </c>
      <c r="F17" s="925" t="s">
        <v>2890</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2891</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2892</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2893</v>
      </c>
      <c r="C19" s="928" t="e">
        <f>ROUND(IF(H19="按公示增长率计算",SUMPRODUCT((地价!A3:A20=YEAR(G19)&amp;"-"&amp;ROUNDUP(MONTH(G19)/3,0))*(地价!X2:AB2=E2)*(地价!X3:AB20)),IF(H19="地价指数",M20/M19,(1+I19)^O19)),4)</f>
        <v>#DIV/0!</v>
      </c>
      <c r="D19" s="2804" t="s">
        <v>2894</v>
      </c>
      <c r="E19" s="929">
        <v>41640</v>
      </c>
      <c r="F19" s="2804" t="s">
        <v>2895</v>
      </c>
      <c r="G19" s="930">
        <f>'数据-取费表'!B2</f>
        <v>43047</v>
      </c>
      <c r="H19" s="2805" t="s">
        <v>2896</v>
      </c>
      <c r="I19" s="931" t="str">
        <f>IF(H19="季度增幅（自定义）",SUMIF(N21:N24,E2,O21:O24),"")</f>
        <v/>
      </c>
      <c r="J19" s="2802"/>
      <c r="K19" s="1381"/>
      <c r="L19" s="2806" t="s">
        <v>2897</v>
      </c>
      <c r="M19" s="1739">
        <f>ROUND(SUMIF(地价!B2:F2,E2,地价!B20:F20),0)</f>
        <v>0</v>
      </c>
      <c r="N19" s="2807"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2899</v>
      </c>
      <c r="C20" s="933" t="e">
        <f>ROUND(POWER(1+G20,J20-I20)*(POWER(1+G20,I20)-1)/(POWER(1+G20,J20)-1),4)</f>
        <v>#DIV/0!</v>
      </c>
      <c r="D20" s="2813" t="s">
        <v>2900</v>
      </c>
      <c r="E20" s="1773">
        <f ca="1">存贷款利率!D4/100</f>
        <v>4.3499999999999997E-2</v>
      </c>
      <c r="F20" s="2813" t="s">
        <v>2891</v>
      </c>
      <c r="G20" s="938">
        <f>SUMIF(M15:P15,E2,M17:P17)</f>
        <v>0</v>
      </c>
      <c r="H20" s="2813" t="s">
        <v>2901</v>
      </c>
      <c r="I20" s="939" t="e">
        <f>SUMIF('数据-取费表'!C6:C15,E2,'数据-取费表'!F6:F15)/COUNTIF('数据-取费表'!C6:C15,E2)</f>
        <v>#DIV/0!</v>
      </c>
      <c r="J20" s="940">
        <f>IF(E2="住宅",70,IF(E2="商业",40,50))</f>
        <v>50</v>
      </c>
      <c r="K20" s="1381"/>
      <c r="L20" s="2814" t="s">
        <v>2902</v>
      </c>
      <c r="M20" s="1740">
        <f>ROUND(SUMPRODUCT((地价!A5:A20=YEAR(G19)&amp;"-"&amp;ROUNDUP(MONTH(G19)/3,0))*(地价!B2:F2=E2)*(地价!B5:F20)),0)</f>
        <v>0</v>
      </c>
      <c r="N20" s="2815" t="s">
        <v>2903</v>
      </c>
      <c r="O20" s="2816" t="s">
        <v>2904</v>
      </c>
      <c r="P20" s="2817" t="s">
        <v>2905</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2906</v>
      </c>
      <c r="C21" s="941" t="e">
        <f>IF(B21="容积率修正",IF(G3&lt;=10,D22,J22),C23)</f>
        <v>#DIV/0!</v>
      </c>
      <c r="D21" s="2820"/>
      <c r="E21" s="2820"/>
      <c r="F21" s="2820"/>
      <c r="G21" s="2820"/>
      <c r="H21" s="2820"/>
      <c r="I21" s="2820"/>
      <c r="J21" s="2821"/>
      <c r="K21" s="1381"/>
      <c r="N21" s="2822" t="s">
        <v>2907</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2908</v>
      </c>
      <c r="B22" s="2823" t="s">
        <v>2909</v>
      </c>
      <c r="C22" s="1815" t="s">
        <v>2910</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2911</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2912</v>
      </c>
      <c r="B23" s="2824" t="s">
        <v>2913</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2914</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2915</v>
      </c>
      <c r="C24" s="928">
        <f>SUMIF(A45:A88,E2,B45:B88)</f>
        <v>0</v>
      </c>
      <c r="D24" s="2800"/>
      <c r="E24" s="2830"/>
      <c r="F24" s="2830"/>
      <c r="G24" s="2830"/>
      <c r="H24" s="2830"/>
      <c r="I24" s="2830"/>
      <c r="J24" s="2831"/>
      <c r="K24" s="1381"/>
      <c r="N24" s="2832" t="s">
        <v>2916</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2917</v>
      </c>
      <c r="C25" s="934"/>
      <c r="D25" s="2755"/>
      <c r="E25" s="2755"/>
      <c r="F25" s="2834"/>
      <c r="G25" s="2755"/>
      <c r="H25" s="2755"/>
      <c r="I25" s="2755"/>
      <c r="J25" s="2756"/>
      <c r="K25" s="1374"/>
      <c r="N25" s="2835" t="s">
        <v>2918</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2919</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2920</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2921</v>
      </c>
      <c r="C28" s="2847" t="s">
        <v>2922</v>
      </c>
      <c r="D28" s="2847" t="s">
        <v>2923</v>
      </c>
      <c r="E28" s="2848" t="s">
        <v>2924</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2925</v>
      </c>
      <c r="C29" s="207" t="e">
        <f>ROUND(C5*C18*C19*C20*C21*C24,0)</f>
        <v>#DIV/0!</v>
      </c>
      <c r="D29" s="2852"/>
      <c r="E29" s="946" t="e">
        <f>ROUND(C29*D29/10000,0)</f>
        <v>#DIV/0!</v>
      </c>
      <c r="F29" s="2853" t="s">
        <v>2926</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2927</v>
      </c>
      <c r="C30" s="230" t="e">
        <f>ROUND(IF(E2="工业",C29*M39,C29*M38),0)</f>
        <v>#DIV/0!</v>
      </c>
      <c r="D30" s="2858"/>
      <c r="E30" s="946" t="e">
        <f>ROUND(C30*D30/10000,0)</f>
        <v>#DIV/0!</v>
      </c>
      <c r="F30" s="2859" t="s">
        <v>2928</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2922</v>
      </c>
      <c r="D32" s="499" t="s">
        <v>2923</v>
      </c>
      <c r="E32" s="499" t="s">
        <v>2924</v>
      </c>
      <c r="F32" s="389" t="s">
        <v>2932</v>
      </c>
      <c r="G32" s="2867" t="s">
        <v>2922</v>
      </c>
      <c r="H32" s="2867" t="s">
        <v>2923</v>
      </c>
      <c r="I32" s="2867" t="s">
        <v>2924</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31" t="s">
        <v>2933</v>
      </c>
      <c r="B33" s="2868" t="s">
        <v>2934</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32"/>
      <c r="B34" s="2772" t="s">
        <v>2935</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32"/>
      <c r="B35" s="2772" t="s">
        <v>2936</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33"/>
      <c r="B36" s="2772" t="s">
        <v>2937</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2938</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2939</v>
      </c>
      <c r="M37" s="2872"/>
      <c r="N37" s="1374"/>
      <c r="O37" s="1374"/>
      <c r="P37" s="1374"/>
      <c r="Q37" s="1374"/>
      <c r="R37" s="1374"/>
      <c r="S37" s="1374"/>
      <c r="T37" s="1374"/>
      <c r="U37" s="1374"/>
      <c r="V37" s="1374"/>
      <c r="W37" s="1374"/>
      <c r="X37" s="1374"/>
      <c r="Y37" s="1374"/>
      <c r="Z37" s="1375"/>
    </row>
    <row r="38" spans="1:37">
      <c r="A38" s="2870"/>
      <c r="B38" s="2772" t="s">
        <v>2940</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2941</v>
      </c>
      <c r="M38" s="2873">
        <v>0.25</v>
      </c>
      <c r="N38" s="1374"/>
      <c r="O38" s="1374"/>
      <c r="P38" s="1374"/>
      <c r="Q38" s="1374"/>
      <c r="R38" s="1374"/>
      <c r="S38" s="1374"/>
      <c r="T38" s="1374"/>
      <c r="U38" s="1374"/>
      <c r="V38" s="1374"/>
      <c r="W38" s="1374"/>
      <c r="X38" s="1374"/>
      <c r="Y38" s="1374"/>
      <c r="Z38" s="1375"/>
    </row>
    <row r="39" spans="1:37" ht="13.5" thickBot="1">
      <c r="A39" s="2856"/>
      <c r="B39" s="2874" t="s">
        <v>2942</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2883</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2943</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2944</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2945</v>
      </c>
      <c r="B47" s="1814" t="s">
        <v>2946</v>
      </c>
      <c r="C47" s="1814" t="s">
        <v>2947</v>
      </c>
      <c r="D47" s="1814" t="s">
        <v>2948</v>
      </c>
      <c r="E47" s="820" t="s">
        <v>2949</v>
      </c>
      <c r="F47" s="2886" t="s">
        <v>2950</v>
      </c>
      <c r="G47" s="1814" t="s">
        <v>754</v>
      </c>
      <c r="H47" s="2887" t="s">
        <v>2951</v>
      </c>
      <c r="I47" s="1814" t="s">
        <v>2952</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5" t="s">
        <v>2953</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2954</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2955</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2956</v>
      </c>
      <c r="B51" s="2890" t="s">
        <v>2957</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2958</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2959</v>
      </c>
      <c r="B53" s="2891" t="s">
        <v>2960</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2961</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2962</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2963</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2964</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2945</v>
      </c>
      <c r="B58" s="1814"/>
      <c r="C58" s="1814" t="s">
        <v>2947</v>
      </c>
      <c r="D58" s="1814" t="s">
        <v>2948</v>
      </c>
      <c r="E58" s="820" t="s">
        <v>2949</v>
      </c>
      <c r="F58" s="2886" t="s">
        <v>2965</v>
      </c>
      <c r="G58" s="1814" t="s">
        <v>754</v>
      </c>
      <c r="H58" s="2887" t="s">
        <v>2951</v>
      </c>
      <c r="I58" s="1814" t="s">
        <v>2952</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5" t="s">
        <v>2966</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2954</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2955</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2956</v>
      </c>
      <c r="B62" s="2890" t="s">
        <v>2957</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2958</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2959</v>
      </c>
      <c r="B64" s="2891" t="s">
        <v>2960</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2961</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2962</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2963</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2967</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2945</v>
      </c>
      <c r="B69" s="1814"/>
      <c r="C69" s="1814" t="s">
        <v>2947</v>
      </c>
      <c r="D69" s="1814" t="s">
        <v>2948</v>
      </c>
      <c r="E69" s="820" t="s">
        <v>2949</v>
      </c>
      <c r="F69" s="2886" t="s">
        <v>2965</v>
      </c>
      <c r="G69" s="1814" t="s">
        <v>754</v>
      </c>
      <c r="H69" s="2887" t="s">
        <v>2951</v>
      </c>
      <c r="I69" s="1814" t="s">
        <v>2952</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5" t="s">
        <v>2968</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2954</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2955</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2969</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2961</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2962</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2959</v>
      </c>
      <c r="B76" s="2891" t="s">
        <v>2960</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2963</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2970</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2971</v>
      </c>
      <c r="B79" s="2882">
        <f>1+E81</f>
        <v>1</v>
      </c>
      <c r="C79" s="815"/>
      <c r="D79" s="815"/>
      <c r="E79" s="816"/>
      <c r="F79" s="2884"/>
      <c r="G79" s="6"/>
      <c r="H79" s="6"/>
      <c r="I79" s="6"/>
      <c r="J79" s="7"/>
      <c r="K79" s="7"/>
      <c r="L79" s="7"/>
      <c r="M79" s="7"/>
      <c r="N79" s="7"/>
      <c r="Z79" s="2727"/>
      <c r="AA79" s="2803"/>
      <c r="AG79" s="1376"/>
      <c r="AK79" s="2803"/>
    </row>
    <row r="80" spans="1:37" ht="24.75">
      <c r="A80" s="2885" t="s">
        <v>2945</v>
      </c>
      <c r="B80" s="1814"/>
      <c r="C80" s="1814" t="s">
        <v>2947</v>
      </c>
      <c r="D80" s="1814" t="s">
        <v>2948</v>
      </c>
      <c r="E80" s="820" t="s">
        <v>2949</v>
      </c>
      <c r="F80" s="2886" t="s">
        <v>2965</v>
      </c>
      <c r="G80" s="1814" t="s">
        <v>754</v>
      </c>
      <c r="H80" s="2887" t="s">
        <v>2951</v>
      </c>
      <c r="I80" s="1814" t="s">
        <v>2952</v>
      </c>
      <c r="J80" s="604" t="s">
        <v>2598</v>
      </c>
      <c r="K80" s="604" t="s">
        <v>2599</v>
      </c>
      <c r="L80" s="604" t="s">
        <v>2600</v>
      </c>
      <c r="M80" s="604" t="s">
        <v>2601</v>
      </c>
      <c r="N80" s="604" t="s">
        <v>2602</v>
      </c>
      <c r="Z80" s="2727"/>
      <c r="AA80" s="2803"/>
      <c r="AG80" s="1376"/>
      <c r="AK80" s="2803"/>
    </row>
    <row r="81" spans="1:37" ht="38.25">
      <c r="A81" s="2885" t="s">
        <v>2972</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2954</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2955</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2969</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2961</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2962</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2959</v>
      </c>
      <c r="B87" s="2891" t="s">
        <v>2973</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2974</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25" t="s">
        <v>2975</v>
      </c>
      <c r="B90" s="3325"/>
      <c r="C90" s="3325"/>
      <c r="D90" s="3325"/>
      <c r="E90" s="3325"/>
      <c r="F90" s="3325"/>
      <c r="G90" s="3325"/>
      <c r="H90" s="3325"/>
      <c r="I90" s="3325"/>
      <c r="J90" s="3325"/>
      <c r="K90" s="2899"/>
      <c r="L90" s="2899"/>
      <c r="M90" s="2899"/>
      <c r="N90" s="2899"/>
    </row>
    <row r="91" spans="1:37">
      <c r="A91" s="3327" t="s">
        <v>2976</v>
      </c>
      <c r="B91" s="3327" t="s">
        <v>2977</v>
      </c>
      <c r="C91" s="2853" t="s">
        <v>2978</v>
      </c>
      <c r="D91" s="2854"/>
      <c r="E91" s="2854"/>
      <c r="F91" s="2854"/>
      <c r="G91" s="2854"/>
      <c r="H91" s="2854"/>
      <c r="I91" s="2854"/>
      <c r="J91" s="2900"/>
      <c r="K91" s="2901"/>
      <c r="L91" s="2901"/>
      <c r="M91" s="2901"/>
      <c r="N91" s="2901"/>
    </row>
    <row r="92" spans="1:37">
      <c r="A92" s="3327"/>
      <c r="B92" s="3327"/>
      <c r="C92" s="946" t="s">
        <v>2842</v>
      </c>
      <c r="D92" s="946" t="s">
        <v>2843</v>
      </c>
      <c r="E92" s="946" t="s">
        <v>2844</v>
      </c>
      <c r="F92" s="946" t="s">
        <v>2845</v>
      </c>
      <c r="G92" s="946" t="s">
        <v>2846</v>
      </c>
      <c r="H92" s="946" t="s">
        <v>2847</v>
      </c>
      <c r="I92" s="946" t="s">
        <v>2848</v>
      </c>
      <c r="J92" s="946" t="s">
        <v>2849</v>
      </c>
      <c r="K92" s="946" t="s">
        <v>2850</v>
      </c>
      <c r="L92" s="946" t="s">
        <v>2851</v>
      </c>
      <c r="M92" s="946" t="s">
        <v>2852</v>
      </c>
      <c r="N92" s="946" t="s">
        <v>2853</v>
      </c>
    </row>
    <row r="93" spans="1:37">
      <c r="A93" s="3328"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2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2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2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2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2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29"/>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30"/>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8"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29"/>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29"/>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29"/>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29"/>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29"/>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29"/>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29"/>
      <c r="B108" s="3185"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30"/>
      <c r="B109" s="3186"/>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26" t="s">
        <v>2983</v>
      </c>
      <c r="B110" s="3326"/>
      <c r="C110" s="3326"/>
      <c r="D110" s="3326"/>
      <c r="E110" s="3326"/>
      <c r="F110" s="3326"/>
      <c r="G110" s="3326"/>
      <c r="H110" s="3326"/>
      <c r="I110" s="3326"/>
      <c r="J110" s="3326"/>
      <c r="K110" s="2908"/>
      <c r="L110" s="2908"/>
      <c r="M110" s="2908"/>
      <c r="N110" s="2908"/>
    </row>
    <row r="112" spans="1:14" ht="13.5" thickBot="1"/>
    <row r="113" spans="1:13" ht="25.5" thickBot="1">
      <c r="A113" s="904" t="s">
        <v>2984</v>
      </c>
      <c r="B113" s="1291" t="e">
        <f>G3</f>
        <v>#DIV/0!</v>
      </c>
      <c r="C113" s="905" t="s">
        <v>2985</v>
      </c>
      <c r="D113" s="906" t="e">
        <f>SUMPRODUCT((A115:A118=F113)*(B114:M114=H113)*B115:M118)</f>
        <v>#DIV/0!</v>
      </c>
      <c r="E113" s="2731" t="s">
        <v>2815</v>
      </c>
      <c r="F113" s="2910">
        <f>E2</f>
        <v>0</v>
      </c>
      <c r="G113" s="2731" t="s">
        <v>2816</v>
      </c>
      <c r="H113" s="2910">
        <f>G2</f>
        <v>0</v>
      </c>
      <c r="I113" s="2731"/>
      <c r="J113" s="2911"/>
      <c r="K113" s="2911"/>
      <c r="L113" s="2911"/>
      <c r="M113" s="2911"/>
    </row>
    <row r="114" spans="1:13">
      <c r="A114" s="909"/>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10" t="s">
        <v>2880</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2881</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2882</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2883</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4" t="s">
        <v>183</v>
      </c>
      <c r="B18" s="883" t="s">
        <v>560</v>
      </c>
      <c r="C18" s="884" t="s">
        <v>561</v>
      </c>
      <c r="D18" s="885"/>
      <c r="E18" s="883">
        <v>1</v>
      </c>
      <c r="F18" s="886" t="s">
        <v>562</v>
      </c>
      <c r="G18" s="887"/>
      <c r="H18" s="879"/>
      <c r="I18" s="879"/>
    </row>
    <row r="19" spans="1:9" s="888" customFormat="1" ht="19.5" customHeight="1">
      <c r="A19" s="3334"/>
      <c r="B19" s="3334" t="s">
        <v>563</v>
      </c>
      <c r="C19" s="884" t="s">
        <v>564</v>
      </c>
      <c r="D19" s="885"/>
      <c r="E19" s="883">
        <v>0.9</v>
      </c>
      <c r="F19" s="886" t="s">
        <v>565</v>
      </c>
      <c r="G19" s="887"/>
      <c r="H19" s="879"/>
      <c r="I19" s="879"/>
    </row>
    <row r="20" spans="1:9" s="888" customFormat="1" ht="19.5" customHeight="1">
      <c r="A20" s="3334"/>
      <c r="B20" s="3334"/>
      <c r="C20" s="884" t="s">
        <v>566</v>
      </c>
      <c r="D20" s="885"/>
      <c r="E20" s="883">
        <v>1.1000000000000001</v>
      </c>
      <c r="F20" s="886" t="s">
        <v>567</v>
      </c>
      <c r="G20" s="887"/>
      <c r="H20" s="879"/>
      <c r="I20" s="879"/>
    </row>
    <row r="21" spans="1:9" s="888" customFormat="1" ht="19.5" customHeight="1">
      <c r="A21" s="3334"/>
      <c r="B21" s="3334"/>
      <c r="C21" s="884" t="s">
        <v>568</v>
      </c>
      <c r="D21" s="885"/>
      <c r="E21" s="883">
        <v>0.8</v>
      </c>
      <c r="F21" s="886" t="s">
        <v>569</v>
      </c>
      <c r="G21" s="887"/>
      <c r="H21" s="879"/>
      <c r="I21" s="879"/>
    </row>
    <row r="22" spans="1:9" s="888" customFormat="1" ht="19.5" customHeight="1">
      <c r="A22" s="3334"/>
      <c r="B22" s="3334"/>
      <c r="C22" s="884" t="s">
        <v>570</v>
      </c>
      <c r="D22" s="885"/>
      <c r="E22" s="883">
        <v>0.5</v>
      </c>
      <c r="F22" s="886"/>
      <c r="G22" s="887"/>
      <c r="H22" s="879"/>
      <c r="I22" s="879"/>
    </row>
    <row r="23" spans="1:9" s="888" customFormat="1" ht="19.5" customHeight="1">
      <c r="A23" s="3334" t="s">
        <v>184</v>
      </c>
      <c r="B23" s="883" t="s">
        <v>560</v>
      </c>
      <c r="C23" s="884" t="s">
        <v>571</v>
      </c>
      <c r="D23" s="885"/>
      <c r="E23" s="883">
        <v>1</v>
      </c>
      <c r="F23" s="886" t="s">
        <v>572</v>
      </c>
      <c r="G23" s="887"/>
      <c r="H23" s="879"/>
      <c r="I23" s="879"/>
    </row>
    <row r="24" spans="1:9" s="888" customFormat="1" ht="19.5" customHeight="1">
      <c r="A24" s="3334"/>
      <c r="B24" s="3334" t="s">
        <v>563</v>
      </c>
      <c r="C24" s="884" t="s">
        <v>573</v>
      </c>
      <c r="D24" s="885"/>
      <c r="E24" s="883">
        <v>0.5</v>
      </c>
      <c r="F24" s="886"/>
      <c r="G24" s="887"/>
      <c r="H24" s="879"/>
      <c r="I24" s="879"/>
    </row>
    <row r="25" spans="1:9" s="888" customFormat="1" ht="19.5" customHeight="1">
      <c r="A25" s="3334"/>
      <c r="B25" s="3334"/>
      <c r="C25" s="884" t="s">
        <v>574</v>
      </c>
      <c r="D25" s="885"/>
      <c r="E25" s="883">
        <v>1.1000000000000001</v>
      </c>
      <c r="F25" s="886"/>
      <c r="G25" s="887"/>
      <c r="H25" s="879"/>
      <c r="I25" s="879"/>
    </row>
    <row r="26" spans="1:9" s="888" customFormat="1" ht="19.5" customHeight="1">
      <c r="A26" s="3334"/>
      <c r="B26" s="3334"/>
      <c r="C26" s="884" t="s">
        <v>575</v>
      </c>
      <c r="D26" s="885"/>
      <c r="E26" s="883">
        <v>1.1000000000000001</v>
      </c>
      <c r="F26" s="886"/>
      <c r="G26" s="887"/>
      <c r="H26" s="879"/>
      <c r="I26" s="879"/>
    </row>
    <row r="27" spans="1:9" s="888" customFormat="1" ht="19.5" customHeight="1">
      <c r="A27" s="3334"/>
      <c r="B27" s="3334"/>
      <c r="C27" s="884" t="s">
        <v>576</v>
      </c>
      <c r="D27" s="885"/>
      <c r="E27" s="883">
        <v>0.9</v>
      </c>
      <c r="F27" s="886" t="s">
        <v>577</v>
      </c>
      <c r="G27" s="887"/>
      <c r="H27" s="879"/>
      <c r="I27" s="879"/>
    </row>
    <row r="28" spans="1:9" s="888" customFormat="1" ht="19.5" customHeight="1">
      <c r="A28" s="3334"/>
      <c r="B28" s="3334"/>
      <c r="C28" s="884" t="s">
        <v>578</v>
      </c>
      <c r="D28" s="885"/>
      <c r="E28" s="883">
        <v>0.9</v>
      </c>
      <c r="F28" s="886" t="s">
        <v>579</v>
      </c>
      <c r="G28" s="887"/>
      <c r="H28" s="879"/>
      <c r="I28" s="879"/>
    </row>
    <row r="29" spans="1:9" s="888" customFormat="1" ht="19.5" customHeight="1">
      <c r="A29" s="3334"/>
      <c r="B29" s="3334"/>
      <c r="C29" s="884" t="s">
        <v>580</v>
      </c>
      <c r="D29" s="885"/>
      <c r="E29" s="883">
        <v>0.9</v>
      </c>
      <c r="F29" s="886" t="s">
        <v>581</v>
      </c>
      <c r="G29" s="887"/>
      <c r="H29" s="879"/>
      <c r="I29" s="879"/>
    </row>
    <row r="30" spans="1:9" s="888" customFormat="1" ht="19.5" customHeight="1">
      <c r="A30" s="3334"/>
      <c r="B30" s="3334"/>
      <c r="C30" s="884" t="s">
        <v>582</v>
      </c>
      <c r="D30" s="885"/>
      <c r="E30" s="883">
        <v>0.9</v>
      </c>
      <c r="F30" s="886" t="s">
        <v>583</v>
      </c>
      <c r="G30" s="887"/>
      <c r="H30" s="879"/>
      <c r="I30" s="879"/>
    </row>
    <row r="31" spans="1:9" s="888" customFormat="1" ht="19.5" customHeight="1">
      <c r="A31" s="3334"/>
      <c r="B31" s="3334"/>
      <c r="C31" s="884" t="s">
        <v>584</v>
      </c>
      <c r="D31" s="885"/>
      <c r="E31" s="883">
        <v>0.8</v>
      </c>
      <c r="F31" s="886" t="s">
        <v>585</v>
      </c>
      <c r="G31" s="887"/>
      <c r="H31" s="879"/>
      <c r="I31" s="879"/>
    </row>
    <row r="32" spans="1:9" s="888" customFormat="1" ht="19.5" customHeight="1">
      <c r="A32" s="3334"/>
      <c r="B32" s="3334"/>
      <c r="C32" s="884" t="s">
        <v>586</v>
      </c>
      <c r="D32" s="885"/>
      <c r="E32" s="883">
        <v>0.8</v>
      </c>
      <c r="F32" s="886" t="s">
        <v>587</v>
      </c>
      <c r="G32" s="887"/>
      <c r="H32" s="879"/>
      <c r="I32" s="879"/>
    </row>
    <row r="33" spans="1:9" s="888" customFormat="1" ht="19.5" customHeight="1">
      <c r="A33" s="3334" t="s">
        <v>185</v>
      </c>
      <c r="B33" s="883" t="s">
        <v>560</v>
      </c>
      <c r="C33" s="884" t="s">
        <v>588</v>
      </c>
      <c r="D33" s="885"/>
      <c r="E33" s="883">
        <v>1</v>
      </c>
      <c r="F33" s="886" t="s">
        <v>589</v>
      </c>
      <c r="G33" s="887"/>
      <c r="H33" s="879"/>
      <c r="I33" s="879"/>
    </row>
    <row r="34" spans="1:9" s="888" customFormat="1" ht="19.5" customHeight="1">
      <c r="A34" s="3334"/>
      <c r="B34" s="883" t="s">
        <v>563</v>
      </c>
      <c r="C34" s="884" t="s">
        <v>590</v>
      </c>
      <c r="D34" s="885"/>
      <c r="E34" s="883">
        <v>1.5</v>
      </c>
      <c r="F34" s="886" t="s">
        <v>591</v>
      </c>
      <c r="G34" s="887"/>
      <c r="H34" s="879"/>
      <c r="I34" s="879"/>
    </row>
    <row r="35" spans="1:9" s="888" customFormat="1" ht="19.5" customHeight="1">
      <c r="A35" s="3334" t="s">
        <v>186</v>
      </c>
      <c r="B35" s="883" t="s">
        <v>560</v>
      </c>
      <c r="C35" s="884" t="s">
        <v>592</v>
      </c>
      <c r="D35" s="885"/>
      <c r="E35" s="883">
        <v>1</v>
      </c>
      <c r="F35" s="886" t="s">
        <v>593</v>
      </c>
      <c r="G35" s="887"/>
      <c r="H35" s="879"/>
      <c r="I35" s="879"/>
    </row>
    <row r="36" spans="1:9" s="888" customFormat="1" ht="19.5" customHeight="1">
      <c r="A36" s="3334"/>
      <c r="B36" s="3334" t="s">
        <v>563</v>
      </c>
      <c r="C36" s="884" t="s">
        <v>594</v>
      </c>
      <c r="D36" s="885"/>
      <c r="E36" s="883">
        <v>1</v>
      </c>
      <c r="F36" s="886" t="s">
        <v>595</v>
      </c>
      <c r="G36" s="887"/>
      <c r="H36" s="879"/>
      <c r="I36" s="879"/>
    </row>
    <row r="37" spans="1:9" s="888" customFormat="1" ht="19.5" customHeight="1">
      <c r="A37" s="3334"/>
      <c r="B37" s="3334"/>
      <c r="C37" s="884" t="s">
        <v>596</v>
      </c>
      <c r="D37" s="885"/>
      <c r="E37" s="883">
        <v>1.5</v>
      </c>
      <c r="F37" s="886" t="s">
        <v>597</v>
      </c>
      <c r="G37" s="887"/>
      <c r="H37" s="879"/>
      <c r="I37" s="879"/>
    </row>
    <row r="38" spans="1:9" s="888" customFormat="1" ht="19.5" customHeight="1">
      <c r="A38" s="3334"/>
      <c r="B38" s="3334"/>
      <c r="C38" s="884" t="s">
        <v>598</v>
      </c>
      <c r="D38" s="885"/>
      <c r="E38" s="883">
        <v>1</v>
      </c>
      <c r="F38" s="886" t="s">
        <v>599</v>
      </c>
      <c r="G38" s="887"/>
      <c r="H38" s="879"/>
      <c r="I38" s="879"/>
    </row>
    <row r="39" spans="1:9" s="888" customFormat="1" ht="19.5" customHeight="1">
      <c r="A39" s="3334"/>
      <c r="B39" s="3334"/>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4" t="s">
        <v>614</v>
      </c>
      <c r="C61" s="819" t="s">
        <v>615</v>
      </c>
      <c r="D61" s="819" t="s">
        <v>616</v>
      </c>
      <c r="E61" s="896">
        <v>0.5</v>
      </c>
      <c r="F61" s="883">
        <v>80</v>
      </c>
    </row>
    <row r="62" spans="1:8" s="879" customFormat="1" ht="24">
      <c r="A62" s="883">
        <v>2</v>
      </c>
      <c r="B62" s="3334"/>
      <c r="C62" s="819" t="s">
        <v>617</v>
      </c>
      <c r="D62" s="819" t="s">
        <v>618</v>
      </c>
      <c r="E62" s="896">
        <v>0.5</v>
      </c>
      <c r="F62" s="883">
        <v>80</v>
      </c>
    </row>
    <row r="63" spans="1:8" s="879" customFormat="1" ht="36">
      <c r="A63" s="883">
        <v>3</v>
      </c>
      <c r="B63" s="3334"/>
      <c r="C63" s="819" t="s">
        <v>619</v>
      </c>
      <c r="D63" s="819" t="s">
        <v>620</v>
      </c>
      <c r="E63" s="896">
        <v>0.5</v>
      </c>
      <c r="F63" s="883">
        <v>80</v>
      </c>
    </row>
    <row r="64" spans="1:8" s="879" customFormat="1" ht="36">
      <c r="A64" s="883">
        <v>4</v>
      </c>
      <c r="B64" s="3334"/>
      <c r="C64" s="819" t="s">
        <v>621</v>
      </c>
      <c r="D64" s="819" t="s">
        <v>622</v>
      </c>
      <c r="E64" s="896">
        <v>0.4</v>
      </c>
      <c r="F64" s="883">
        <v>60</v>
      </c>
    </row>
    <row r="65" spans="1:6" s="879" customFormat="1" ht="36">
      <c r="A65" s="883">
        <v>5</v>
      </c>
      <c r="B65" s="3334"/>
      <c r="C65" s="819" t="s">
        <v>623</v>
      </c>
      <c r="D65" s="819" t="s">
        <v>624</v>
      </c>
      <c r="E65" s="896">
        <v>0.2</v>
      </c>
      <c r="F65" s="883">
        <v>30</v>
      </c>
    </row>
    <row r="66" spans="1:6" s="879" customFormat="1" ht="36">
      <c r="A66" s="883">
        <v>6</v>
      </c>
      <c r="B66" s="3334"/>
      <c r="C66" s="819" t="s">
        <v>625</v>
      </c>
      <c r="D66" s="819" t="s">
        <v>626</v>
      </c>
      <c r="E66" s="896">
        <v>0.3</v>
      </c>
      <c r="F66" s="883">
        <v>50</v>
      </c>
    </row>
    <row r="67" spans="1:6" s="879" customFormat="1" ht="36">
      <c r="A67" s="883">
        <v>7</v>
      </c>
      <c r="B67" s="3334"/>
      <c r="C67" s="819" t="s">
        <v>627</v>
      </c>
      <c r="D67" s="819" t="s">
        <v>628</v>
      </c>
      <c r="E67" s="896">
        <v>0.2</v>
      </c>
      <c r="F67" s="883">
        <v>30</v>
      </c>
    </row>
    <row r="68" spans="1:6" s="879" customFormat="1" ht="36">
      <c r="A68" s="883">
        <v>8</v>
      </c>
      <c r="B68" s="3334"/>
      <c r="C68" s="819" t="s">
        <v>629</v>
      </c>
      <c r="D68" s="819" t="s">
        <v>630</v>
      </c>
      <c r="E68" s="896">
        <v>0.2</v>
      </c>
      <c r="F68" s="883">
        <v>30</v>
      </c>
    </row>
    <row r="69" spans="1:6" s="879" customFormat="1" ht="36">
      <c r="A69" s="883">
        <v>9</v>
      </c>
      <c r="B69" s="3334"/>
      <c r="C69" s="819" t="s">
        <v>631</v>
      </c>
      <c r="D69" s="819" t="s">
        <v>632</v>
      </c>
      <c r="E69" s="896">
        <v>0.2</v>
      </c>
      <c r="F69" s="883">
        <v>30</v>
      </c>
    </row>
    <row r="70" spans="1:6" s="879" customFormat="1" ht="48">
      <c r="A70" s="883">
        <v>10</v>
      </c>
      <c r="B70" s="3334"/>
      <c r="C70" s="819" t="s">
        <v>633</v>
      </c>
      <c r="D70" s="819" t="s">
        <v>634</v>
      </c>
      <c r="E70" s="896">
        <v>0.2</v>
      </c>
      <c r="F70" s="883">
        <v>30</v>
      </c>
    </row>
    <row r="71" spans="1:6" s="879" customFormat="1" ht="48">
      <c r="A71" s="883">
        <v>11</v>
      </c>
      <c r="B71" s="3334"/>
      <c r="C71" s="819" t="s">
        <v>635</v>
      </c>
      <c r="D71" s="819" t="s">
        <v>636</v>
      </c>
      <c r="E71" s="896">
        <v>0.2</v>
      </c>
      <c r="F71" s="883">
        <v>30</v>
      </c>
    </row>
    <row r="72" spans="1:6" s="879" customFormat="1" ht="36">
      <c r="A72" s="883">
        <v>12</v>
      </c>
      <c r="B72" s="3334"/>
      <c r="C72" s="819" t="s">
        <v>637</v>
      </c>
      <c r="D72" s="819" t="s">
        <v>638</v>
      </c>
      <c r="E72" s="896">
        <v>0.5</v>
      </c>
      <c r="F72" s="883">
        <v>80</v>
      </c>
    </row>
    <row r="73" spans="1:6" s="879" customFormat="1" ht="24">
      <c r="A73" s="883">
        <v>13</v>
      </c>
      <c r="B73" s="3334"/>
      <c r="C73" s="819" t="s">
        <v>639</v>
      </c>
      <c r="D73" s="819" t="s">
        <v>640</v>
      </c>
      <c r="E73" s="896">
        <v>0.4</v>
      </c>
      <c r="F73" s="883">
        <v>60</v>
      </c>
    </row>
    <row r="74" spans="1:6" s="879" customFormat="1" ht="24">
      <c r="A74" s="883">
        <v>14</v>
      </c>
      <c r="B74" s="3334"/>
      <c r="C74" s="819" t="s">
        <v>641</v>
      </c>
      <c r="D74" s="819" t="s">
        <v>642</v>
      </c>
      <c r="E74" s="896">
        <v>0.2</v>
      </c>
      <c r="F74" s="883">
        <v>30</v>
      </c>
    </row>
    <row r="75" spans="1:6" s="879" customFormat="1" ht="24">
      <c r="A75" s="883">
        <v>15</v>
      </c>
      <c r="B75" s="3334"/>
      <c r="C75" s="819" t="s">
        <v>643</v>
      </c>
      <c r="D75" s="819" t="s">
        <v>644</v>
      </c>
      <c r="E75" s="896">
        <v>0.2</v>
      </c>
      <c r="F75" s="883">
        <v>30</v>
      </c>
    </row>
    <row r="76" spans="1:6" s="879" customFormat="1" ht="24">
      <c r="A76" s="883">
        <v>16</v>
      </c>
      <c r="B76" s="3334" t="s">
        <v>645</v>
      </c>
      <c r="C76" s="819" t="s">
        <v>646</v>
      </c>
      <c r="D76" s="819" t="s">
        <v>647</v>
      </c>
      <c r="E76" s="896">
        <v>0.5</v>
      </c>
      <c r="F76" s="883">
        <v>80</v>
      </c>
    </row>
    <row r="77" spans="1:6" s="879" customFormat="1" ht="24">
      <c r="A77" s="883">
        <v>17</v>
      </c>
      <c r="B77" s="3334"/>
      <c r="C77" s="819" t="s">
        <v>648</v>
      </c>
      <c r="D77" s="819" t="s">
        <v>649</v>
      </c>
      <c r="E77" s="896">
        <v>0.5</v>
      </c>
      <c r="F77" s="883">
        <v>80</v>
      </c>
    </row>
    <row r="78" spans="1:6" s="879" customFormat="1" ht="24">
      <c r="A78" s="883">
        <v>18</v>
      </c>
      <c r="B78" s="3334"/>
      <c r="C78" s="819" t="s">
        <v>650</v>
      </c>
      <c r="D78" s="819" t="s">
        <v>651</v>
      </c>
      <c r="E78" s="896">
        <v>0.2</v>
      </c>
      <c r="F78" s="883">
        <v>30</v>
      </c>
    </row>
    <row r="79" spans="1:6" s="879" customFormat="1" ht="24">
      <c r="A79" s="883">
        <v>19</v>
      </c>
      <c r="B79" s="3334"/>
      <c r="C79" s="819" t="s">
        <v>652</v>
      </c>
      <c r="D79" s="819" t="s">
        <v>653</v>
      </c>
      <c r="E79" s="896">
        <v>0.5</v>
      </c>
      <c r="F79" s="883">
        <v>80</v>
      </c>
    </row>
    <row r="80" spans="1:6" s="879" customFormat="1" ht="36">
      <c r="A80" s="883">
        <v>20</v>
      </c>
      <c r="B80" s="3334"/>
      <c r="C80" s="819" t="s">
        <v>654</v>
      </c>
      <c r="D80" s="819" t="s">
        <v>655</v>
      </c>
      <c r="E80" s="896">
        <v>0.2</v>
      </c>
      <c r="F80" s="883">
        <v>30</v>
      </c>
    </row>
    <row r="81" spans="1:6" s="879" customFormat="1" ht="36">
      <c r="A81" s="883">
        <v>21</v>
      </c>
      <c r="B81" s="3334"/>
      <c r="C81" s="819" t="s">
        <v>656</v>
      </c>
      <c r="D81" s="819" t="s">
        <v>657</v>
      </c>
      <c r="E81" s="896">
        <v>0.2</v>
      </c>
      <c r="F81" s="883">
        <v>30</v>
      </c>
    </row>
    <row r="82" spans="1:6" s="879" customFormat="1" ht="48">
      <c r="A82" s="883">
        <v>22</v>
      </c>
      <c r="B82" s="3334"/>
      <c r="C82" s="819" t="s">
        <v>658</v>
      </c>
      <c r="D82" s="819" t="s">
        <v>659</v>
      </c>
      <c r="E82" s="896">
        <v>0.2</v>
      </c>
      <c r="F82" s="883">
        <v>30</v>
      </c>
    </row>
    <row r="83" spans="1:6" s="879" customFormat="1" ht="48">
      <c r="A83" s="883">
        <v>23</v>
      </c>
      <c r="B83" s="3334"/>
      <c r="C83" s="819" t="s">
        <v>660</v>
      </c>
      <c r="D83" s="819" t="s">
        <v>661</v>
      </c>
      <c r="E83" s="896">
        <v>0.2</v>
      </c>
      <c r="F83" s="883">
        <v>30</v>
      </c>
    </row>
    <row r="84" spans="1:6" s="879" customFormat="1" ht="36">
      <c r="A84" s="883">
        <v>24</v>
      </c>
      <c r="B84" s="3334"/>
      <c r="C84" s="819" t="s">
        <v>662</v>
      </c>
      <c r="D84" s="819" t="s">
        <v>663</v>
      </c>
      <c r="E84" s="896">
        <v>0.2</v>
      </c>
      <c r="F84" s="883">
        <v>30</v>
      </c>
    </row>
    <row r="85" spans="1:6" s="879" customFormat="1" ht="36">
      <c r="A85" s="883">
        <v>25</v>
      </c>
      <c r="B85" s="3334"/>
      <c r="C85" s="819" t="s">
        <v>664</v>
      </c>
      <c r="D85" s="819" t="s">
        <v>665</v>
      </c>
      <c r="E85" s="896">
        <v>0.5</v>
      </c>
      <c r="F85" s="883">
        <v>80</v>
      </c>
    </row>
    <row r="86" spans="1:6" s="879" customFormat="1" ht="36">
      <c r="A86" s="883">
        <v>26</v>
      </c>
      <c r="B86" s="3334"/>
      <c r="C86" s="819" t="s">
        <v>666</v>
      </c>
      <c r="D86" s="819" t="s">
        <v>667</v>
      </c>
      <c r="E86" s="896">
        <v>0.2</v>
      </c>
      <c r="F86" s="883">
        <v>30</v>
      </c>
    </row>
    <row r="87" spans="1:6" s="879" customFormat="1" ht="36">
      <c r="A87" s="883">
        <v>27</v>
      </c>
      <c r="B87" s="3334"/>
      <c r="C87" s="819" t="s">
        <v>668</v>
      </c>
      <c r="D87" s="819" t="s">
        <v>669</v>
      </c>
      <c r="E87" s="896">
        <v>0.2</v>
      </c>
      <c r="F87" s="883">
        <v>30</v>
      </c>
    </row>
    <row r="88" spans="1:6" s="879" customFormat="1" ht="36">
      <c r="A88" s="883">
        <v>28</v>
      </c>
      <c r="B88" s="3334"/>
      <c r="C88" s="819" t="s">
        <v>670</v>
      </c>
      <c r="D88" s="819" t="s">
        <v>671</v>
      </c>
      <c r="E88" s="896">
        <v>0.2</v>
      </c>
      <c r="F88" s="883">
        <v>30</v>
      </c>
    </row>
    <row r="89" spans="1:6" s="879" customFormat="1" ht="24">
      <c r="A89" s="883">
        <v>29</v>
      </c>
      <c r="B89" s="3334"/>
      <c r="C89" s="819" t="s">
        <v>672</v>
      </c>
      <c r="D89" s="819" t="s">
        <v>673</v>
      </c>
      <c r="E89" s="896">
        <v>0.2</v>
      </c>
      <c r="F89" s="883">
        <v>30</v>
      </c>
    </row>
    <row r="90" spans="1:6" s="879" customFormat="1" ht="24">
      <c r="A90" s="883">
        <v>30</v>
      </c>
      <c r="B90" s="3334"/>
      <c r="C90" s="819" t="s">
        <v>674</v>
      </c>
      <c r="D90" s="819" t="s">
        <v>675</v>
      </c>
      <c r="E90" s="896">
        <v>0.2</v>
      </c>
      <c r="F90" s="883">
        <v>30</v>
      </c>
    </row>
    <row r="91" spans="1:6" s="879" customFormat="1" ht="36">
      <c r="A91" s="883">
        <v>31</v>
      </c>
      <c r="B91" s="3334"/>
      <c r="C91" s="819" t="s">
        <v>676</v>
      </c>
      <c r="D91" s="819" t="s">
        <v>677</v>
      </c>
      <c r="E91" s="896">
        <v>0.2</v>
      </c>
      <c r="F91" s="883">
        <v>30</v>
      </c>
    </row>
    <row r="92" spans="1:6" s="879" customFormat="1" ht="24">
      <c r="A92" s="883">
        <v>32</v>
      </c>
      <c r="B92" s="3334" t="s">
        <v>678</v>
      </c>
      <c r="C92" s="883" t="s">
        <v>679</v>
      </c>
      <c r="D92" s="819" t="s">
        <v>680</v>
      </c>
      <c r="E92" s="896">
        <v>0.2</v>
      </c>
      <c r="F92" s="883">
        <v>30</v>
      </c>
    </row>
    <row r="93" spans="1:6" s="879" customFormat="1" ht="36">
      <c r="A93" s="883">
        <v>33</v>
      </c>
      <c r="B93" s="3334"/>
      <c r="C93" s="883" t="s">
        <v>681</v>
      </c>
      <c r="D93" s="819" t="s">
        <v>682</v>
      </c>
      <c r="E93" s="896">
        <v>0.2</v>
      </c>
      <c r="F93" s="883">
        <v>30</v>
      </c>
    </row>
    <row r="94" spans="1:6" s="879" customFormat="1" ht="48">
      <c r="A94" s="883">
        <v>34</v>
      </c>
      <c r="B94" s="3334"/>
      <c r="C94" s="883" t="s">
        <v>683</v>
      </c>
      <c r="D94" s="819" t="s">
        <v>684</v>
      </c>
      <c r="E94" s="896">
        <v>0.2</v>
      </c>
      <c r="F94" s="883">
        <v>30</v>
      </c>
    </row>
    <row r="95" spans="1:6" s="879" customFormat="1" ht="36">
      <c r="A95" s="883">
        <v>35</v>
      </c>
      <c r="B95" s="3334"/>
      <c r="C95" s="883" t="s">
        <v>685</v>
      </c>
      <c r="D95" s="819" t="s">
        <v>686</v>
      </c>
      <c r="E95" s="896">
        <v>0.2</v>
      </c>
      <c r="F95" s="883">
        <v>30</v>
      </c>
    </row>
    <row r="96" spans="1:6" s="879" customFormat="1" ht="48">
      <c r="A96" s="883">
        <v>36</v>
      </c>
      <c r="B96" s="3334"/>
      <c r="C96" s="819" t="s">
        <v>687</v>
      </c>
      <c r="D96" s="819" t="s">
        <v>688</v>
      </c>
      <c r="E96" s="896">
        <v>0.2</v>
      </c>
      <c r="F96" s="883">
        <v>30</v>
      </c>
    </row>
    <row r="97" spans="1:6" s="879" customFormat="1" ht="36">
      <c r="A97" s="883">
        <v>37</v>
      </c>
      <c r="B97" s="3334"/>
      <c r="C97" s="883" t="s">
        <v>689</v>
      </c>
      <c r="D97" s="819" t="s">
        <v>690</v>
      </c>
      <c r="E97" s="896">
        <v>0.2</v>
      </c>
      <c r="F97" s="883">
        <v>30</v>
      </c>
    </row>
    <row r="98" spans="1:6" s="879" customFormat="1" ht="36">
      <c r="A98" s="883">
        <v>38</v>
      </c>
      <c r="B98" s="3334"/>
      <c r="C98" s="883" t="s">
        <v>691</v>
      </c>
      <c r="D98" s="819" t="s">
        <v>692</v>
      </c>
      <c r="E98" s="896">
        <v>0.2</v>
      </c>
      <c r="F98" s="883">
        <v>30</v>
      </c>
    </row>
    <row r="99" spans="1:6" s="879" customFormat="1" ht="36">
      <c r="A99" s="883">
        <v>39</v>
      </c>
      <c r="B99" s="3334" t="s">
        <v>693</v>
      </c>
      <c r="C99" s="883" t="s">
        <v>694</v>
      </c>
      <c r="D99" s="819" t="s">
        <v>695</v>
      </c>
      <c r="E99" s="896">
        <v>0.3</v>
      </c>
      <c r="F99" s="883">
        <v>50</v>
      </c>
    </row>
    <row r="100" spans="1:6" s="879" customFormat="1" ht="24">
      <c r="A100" s="883">
        <v>40</v>
      </c>
      <c r="B100" s="3334"/>
      <c r="C100" s="883" t="s">
        <v>696</v>
      </c>
      <c r="D100" s="819" t="s">
        <v>697</v>
      </c>
      <c r="E100" s="896">
        <v>0.2</v>
      </c>
      <c r="F100" s="883">
        <v>30</v>
      </c>
    </row>
    <row r="101" spans="1:6" s="879" customFormat="1" ht="36">
      <c r="A101" s="883">
        <v>41</v>
      </c>
      <c r="B101" s="3334"/>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4" t="s">
        <v>708</v>
      </c>
      <c r="C105" s="883" t="s">
        <v>709</v>
      </c>
      <c r="D105" s="819" t="s">
        <v>710</v>
      </c>
      <c r="E105" s="896">
        <v>0.2</v>
      </c>
      <c r="F105" s="883">
        <v>30</v>
      </c>
    </row>
    <row r="106" spans="1:6" s="879" customFormat="1" ht="36">
      <c r="A106" s="883">
        <v>46</v>
      </c>
      <c r="B106" s="3334"/>
      <c r="C106" s="883" t="s">
        <v>711</v>
      </c>
      <c r="D106" s="819" t="s">
        <v>712</v>
      </c>
      <c r="E106" s="896">
        <v>0.2</v>
      </c>
      <c r="F106" s="883">
        <v>30</v>
      </c>
    </row>
    <row r="107" spans="1:6" s="879" customFormat="1" ht="36">
      <c r="A107" s="883">
        <v>47</v>
      </c>
      <c r="B107" s="3334" t="s">
        <v>713</v>
      </c>
      <c r="C107" s="883" t="s">
        <v>714</v>
      </c>
      <c r="D107" s="819" t="s">
        <v>715</v>
      </c>
      <c r="E107" s="896">
        <v>0.3</v>
      </c>
      <c r="F107" s="883">
        <v>50</v>
      </c>
    </row>
    <row r="108" spans="1:6" s="879" customFormat="1" ht="36">
      <c r="A108" s="883">
        <v>48</v>
      </c>
      <c r="B108" s="3334"/>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4" t="s">
        <v>724</v>
      </c>
      <c r="C111" s="883" t="s">
        <v>725</v>
      </c>
      <c r="D111" s="819" t="s">
        <v>726</v>
      </c>
      <c r="E111" s="896">
        <v>0.2</v>
      </c>
      <c r="F111" s="883">
        <v>30</v>
      </c>
    </row>
    <row r="112" spans="1:6" s="879" customFormat="1" ht="24">
      <c r="A112" s="883">
        <v>52</v>
      </c>
      <c r="B112" s="3334"/>
      <c r="C112" s="883" t="s">
        <v>727</v>
      </c>
      <c r="D112" s="819" t="s">
        <v>728</v>
      </c>
      <c r="E112" s="896">
        <v>0.2</v>
      </c>
      <c r="F112" s="883">
        <v>30</v>
      </c>
    </row>
    <row r="113" spans="1:6" s="879" customFormat="1" ht="24">
      <c r="A113" s="883">
        <v>53</v>
      </c>
      <c r="B113" s="3334"/>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4" t="s">
        <v>737</v>
      </c>
      <c r="C116" s="883" t="s">
        <v>738</v>
      </c>
      <c r="D116" s="819" t="s">
        <v>739</v>
      </c>
      <c r="E116" s="896">
        <v>0.2</v>
      </c>
      <c r="F116" s="883">
        <v>30</v>
      </c>
    </row>
    <row r="117" spans="1:6" ht="36">
      <c r="A117" s="883">
        <v>57</v>
      </c>
      <c r="B117" s="3334"/>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3006</v>
      </c>
    </row>
    <row r="2" spans="1:5" ht="15.75">
      <c r="A2" s="2917" t="s">
        <v>2998</v>
      </c>
      <c r="B2" s="2918" t="e">
        <f ca="1">SUMIF(B6:B13,"&lt;&gt;#ref!",B6:B13)</f>
        <v>#DIV/0!</v>
      </c>
      <c r="C2" s="2917" t="s">
        <v>2999</v>
      </c>
      <c r="D2" s="2917" t="s">
        <v>3000</v>
      </c>
      <c r="E2" s="2918" t="e">
        <f ca="1">SUM(E6:E13)</f>
        <v>#REF!</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0" t="s">
        <v>1150</v>
      </c>
      <c r="C1" s="3340"/>
      <c r="D1" s="3340"/>
      <c r="E1" s="3340"/>
      <c r="F1" s="3340"/>
      <c r="G1" s="3339" t="s">
        <v>1151</v>
      </c>
      <c r="H1" s="3339"/>
      <c r="I1" s="3339"/>
      <c r="J1" s="3339"/>
      <c r="K1" s="3339"/>
      <c r="L1" s="3339"/>
      <c r="N1" s="3339" t="s">
        <v>1152</v>
      </c>
      <c r="O1" s="3339"/>
      <c r="P1" s="3339"/>
      <c r="Q1" s="3339"/>
      <c r="R1" s="1450"/>
      <c r="S1" s="3339" t="s">
        <v>1153</v>
      </c>
      <c r="T1" s="3339"/>
      <c r="U1" s="3339"/>
      <c r="V1" s="3339"/>
      <c r="X1" s="3338" t="s">
        <v>1154</v>
      </c>
      <c r="Y1" s="3339"/>
      <c r="Z1" s="3339"/>
      <c r="AA1" s="3339"/>
      <c r="AB1" s="3339"/>
      <c r="AD1" s="3338" t="s">
        <v>1155</v>
      </c>
      <c r="AE1" s="3339"/>
      <c r="AF1" s="3339"/>
      <c r="AG1" s="3339"/>
      <c r="AH1" s="3339"/>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1">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36"/>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36"/>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37"/>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5">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36"/>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36"/>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37"/>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5">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36"/>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36"/>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37"/>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2">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3"/>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3"/>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4"/>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5">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36"/>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36"/>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37"/>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5">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36">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36">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37">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5">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36">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36">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37">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5">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36">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36">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37">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5">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36">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36">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37">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5">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36">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36">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37">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5">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36">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36">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37">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5">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36">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36">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37">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5">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36">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36">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37">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5">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36">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36">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37">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5">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36">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36">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37">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K54" sqref="K5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3210</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5.9</v>
      </c>
      <c r="C3" s="401" t="s">
        <v>2535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233" t="s">
        <v>2537</v>
      </c>
      <c r="D4" s="3234"/>
      <c r="E4" s="3235" t="s">
        <v>2538</v>
      </c>
      <c r="F4" s="3236"/>
      <c r="G4" s="3233" t="s">
        <v>2539</v>
      </c>
      <c r="H4" s="3234"/>
      <c r="I4" s="3233" t="s">
        <v>2540</v>
      </c>
      <c r="J4" s="3234"/>
      <c r="K4" s="611" t="s">
        <v>2541</v>
      </c>
      <c r="L4" s="1134"/>
      <c r="M4" s="1135"/>
      <c r="N4" s="1135"/>
      <c r="O4" s="1135"/>
      <c r="P4" s="3237" t="s">
        <v>2542</v>
      </c>
      <c r="Q4" s="3238"/>
      <c r="R4" s="3243" t="s">
        <v>2538</v>
      </c>
      <c r="S4" s="3244"/>
      <c r="T4" s="3243" t="s">
        <v>2539</v>
      </c>
      <c r="U4" s="3244"/>
      <c r="V4" s="3249" t="s">
        <v>2540</v>
      </c>
      <c r="W4" s="3249"/>
      <c r="X4" s="2941"/>
      <c r="Y4" s="3243" t="s">
        <v>2542</v>
      </c>
      <c r="Z4" s="3244"/>
      <c r="AA4" s="3262" t="s">
        <v>2538</v>
      </c>
      <c r="AB4" s="3262" t="s">
        <v>2539</v>
      </c>
      <c r="AC4" s="3230" t="s">
        <v>2540</v>
      </c>
    </row>
    <row r="5" spans="1:29" ht="15">
      <c r="A5" s="405"/>
      <c r="B5" s="406"/>
      <c r="C5" s="3259" t="s">
        <v>2543</v>
      </c>
      <c r="D5" s="3254"/>
      <c r="E5" s="3265" t="s">
        <v>3207</v>
      </c>
      <c r="F5" s="3266"/>
      <c r="G5" s="3253" t="s">
        <v>3208</v>
      </c>
      <c r="H5" s="3254"/>
      <c r="I5" s="3253" t="s">
        <v>3209</v>
      </c>
      <c r="J5" s="3254"/>
      <c r="K5" s="611"/>
      <c r="L5" s="1134"/>
      <c r="M5" s="1135"/>
      <c r="N5" s="1135"/>
      <c r="O5" s="1135"/>
      <c r="P5" s="3239"/>
      <c r="Q5" s="3240"/>
      <c r="R5" s="3245"/>
      <c r="S5" s="3246"/>
      <c r="T5" s="3245"/>
      <c r="U5" s="3246"/>
      <c r="V5" s="3250"/>
      <c r="W5" s="3250"/>
      <c r="X5" s="2936"/>
      <c r="Y5" s="3245"/>
      <c r="Z5" s="3246"/>
      <c r="AA5" s="3263"/>
      <c r="AB5" s="3263"/>
      <c r="AC5" s="3231"/>
    </row>
    <row r="6" spans="1:29" ht="15.75" thickBot="1">
      <c r="A6" s="407"/>
      <c r="B6" s="408"/>
      <c r="C6" s="3251" t="s">
        <v>2547</v>
      </c>
      <c r="D6" s="3252"/>
      <c r="E6" s="3260" t="s">
        <v>2547</v>
      </c>
      <c r="F6" s="3261"/>
      <c r="G6" s="3251" t="s">
        <v>2547</v>
      </c>
      <c r="H6" s="3252"/>
      <c r="I6" s="3251" t="s">
        <v>2547</v>
      </c>
      <c r="J6" s="3252"/>
      <c r="K6" s="611" t="s">
        <v>2548</v>
      </c>
      <c r="L6" s="1134"/>
      <c r="M6" s="1135"/>
      <c r="N6" s="1135"/>
      <c r="O6" s="1135"/>
      <c r="P6" s="3241"/>
      <c r="Q6" s="3242"/>
      <c r="R6" s="3245"/>
      <c r="S6" s="3246"/>
      <c r="T6" s="3247"/>
      <c r="U6" s="3248"/>
      <c r="V6" s="3250"/>
      <c r="W6" s="3250"/>
      <c r="X6" s="2936"/>
      <c r="Y6" s="3247"/>
      <c r="Z6" s="3248"/>
      <c r="AA6" s="3264"/>
      <c r="AB6" s="3264"/>
      <c r="AC6" s="3232"/>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5" t="s">
        <v>2550</v>
      </c>
      <c r="Q7" s="3258"/>
      <c r="R7" s="771" t="s">
        <v>17</v>
      </c>
      <c r="S7" s="772">
        <f t="shared" ref="S7:S15" si="0">F7</f>
        <v>100</v>
      </c>
      <c r="T7" s="771" t="s">
        <v>17</v>
      </c>
      <c r="U7" s="772">
        <f t="shared" ref="U7:U15" si="1">H7</f>
        <v>100</v>
      </c>
      <c r="V7" s="771" t="s">
        <v>17</v>
      </c>
      <c r="W7" s="772">
        <f t="shared" ref="W7:W15" si="2">J7</f>
        <v>100</v>
      </c>
      <c r="X7" s="773"/>
      <c r="Y7" s="3257" t="s">
        <v>2550</v>
      </c>
      <c r="Z7" s="3256"/>
      <c r="AA7" s="774">
        <f>D7/F7</f>
        <v>1</v>
      </c>
      <c r="AB7" s="774">
        <f>D7/H7</f>
        <v>1</v>
      </c>
      <c r="AC7" s="2678">
        <f>D7/J7</f>
        <v>1</v>
      </c>
    </row>
    <row r="8" spans="1:29" s="117" customFormat="1" ht="15.75" thickBot="1">
      <c r="A8" s="409" t="s">
        <v>2551</v>
      </c>
      <c r="B8" s="410"/>
      <c r="C8" s="415" t="s">
        <v>2588</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5" t="s">
        <v>2553</v>
      </c>
      <c r="Q8" s="3256"/>
      <c r="R8" s="771" t="s">
        <v>17</v>
      </c>
      <c r="S8" s="772">
        <f t="shared" si="0"/>
        <v>100</v>
      </c>
      <c r="T8" s="771" t="s">
        <v>17</v>
      </c>
      <c r="U8" s="772">
        <f t="shared" si="1"/>
        <v>100</v>
      </c>
      <c r="V8" s="771" t="s">
        <v>17</v>
      </c>
      <c r="W8" s="772">
        <f t="shared" si="2"/>
        <v>100</v>
      </c>
      <c r="X8" s="773"/>
      <c r="Y8" s="3257" t="s">
        <v>2553</v>
      </c>
      <c r="Z8" s="3256"/>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15" t="s">
        <v>2556</v>
      </c>
      <c r="Q9" s="2933" t="str">
        <f t="shared" ref="Q9:Q15" si="6">B9</f>
        <v>用途</v>
      </c>
      <c r="R9" s="771" t="s">
        <v>17</v>
      </c>
      <c r="S9" s="772">
        <f t="shared" si="0"/>
        <v>100</v>
      </c>
      <c r="T9" s="771" t="s">
        <v>17</v>
      </c>
      <c r="U9" s="772">
        <f t="shared" si="1"/>
        <v>100</v>
      </c>
      <c r="V9" s="771" t="s">
        <v>17</v>
      </c>
      <c r="W9" s="772">
        <f t="shared" si="2"/>
        <v>100</v>
      </c>
      <c r="X9" s="773"/>
      <c r="Y9" s="3070" t="s">
        <v>2557</v>
      </c>
      <c r="Z9" s="2934" t="str">
        <f t="shared" ref="Z9:Z15" si="7">Q9</f>
        <v>用途</v>
      </c>
      <c r="AA9" s="774">
        <f t="shared" si="3"/>
        <v>1</v>
      </c>
      <c r="AB9" s="774">
        <f t="shared" si="4"/>
        <v>1</v>
      </c>
      <c r="AC9" s="2678">
        <f t="shared" si="5"/>
        <v>1</v>
      </c>
    </row>
    <row r="10" spans="1:29" s="428" customFormat="1" ht="27">
      <c r="A10" s="422"/>
      <c r="B10" s="2935"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15"/>
      <c r="Q10" s="2933" t="str">
        <f t="shared" si="6"/>
        <v>土地使用年限（年）</v>
      </c>
      <c r="R10" s="771" t="s">
        <v>17</v>
      </c>
      <c r="S10" s="772">
        <f t="shared" si="0"/>
        <v>100</v>
      </c>
      <c r="T10" s="771" t="s">
        <v>17</v>
      </c>
      <c r="U10" s="772">
        <f t="shared" si="1"/>
        <v>100</v>
      </c>
      <c r="V10" s="771" t="s">
        <v>17</v>
      </c>
      <c r="W10" s="772">
        <f t="shared" si="2"/>
        <v>101</v>
      </c>
      <c r="X10" s="773"/>
      <c r="Y10" s="3070"/>
      <c r="Z10" s="2934" t="str">
        <f t="shared" si="7"/>
        <v>土地使用年限（年）</v>
      </c>
      <c r="AA10" s="774">
        <f t="shared" si="3"/>
        <v>1</v>
      </c>
      <c r="AB10" s="774">
        <f t="shared" si="4"/>
        <v>1</v>
      </c>
      <c r="AC10" s="2678">
        <f t="shared" si="5"/>
        <v>0.99009900990099009</v>
      </c>
    </row>
    <row r="11" spans="1:29" ht="15">
      <c r="A11" s="429"/>
      <c r="B11" s="2935"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15"/>
      <c r="Q11" s="2933" t="str">
        <f t="shared" si="6"/>
        <v>容积率</v>
      </c>
      <c r="R11" s="771" t="s">
        <v>17</v>
      </c>
      <c r="S11" s="772">
        <f t="shared" si="0"/>
        <v>100</v>
      </c>
      <c r="T11" s="771" t="s">
        <v>17</v>
      </c>
      <c r="U11" s="772">
        <f t="shared" si="1"/>
        <v>100</v>
      </c>
      <c r="V11" s="771" t="s">
        <v>17</v>
      </c>
      <c r="W11" s="772">
        <f t="shared" si="2"/>
        <v>100</v>
      </c>
      <c r="X11" s="773"/>
      <c r="Y11" s="3070"/>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15"/>
      <c r="Q12" s="2933">
        <f t="shared" si="6"/>
        <v>111</v>
      </c>
      <c r="R12" s="771" t="s">
        <v>17</v>
      </c>
      <c r="S12" s="772">
        <f t="shared" si="0"/>
        <v>100</v>
      </c>
      <c r="T12" s="771" t="s">
        <v>17</v>
      </c>
      <c r="U12" s="772">
        <f t="shared" si="1"/>
        <v>100</v>
      </c>
      <c r="V12" s="771" t="s">
        <v>17</v>
      </c>
      <c r="W12" s="772">
        <f t="shared" si="2"/>
        <v>100</v>
      </c>
      <c r="X12" s="773"/>
      <c r="Y12" s="3070"/>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15"/>
      <c r="Q13" s="2933">
        <f t="shared" si="6"/>
        <v>111</v>
      </c>
      <c r="R13" s="771" t="s">
        <v>17</v>
      </c>
      <c r="S13" s="772">
        <f t="shared" si="0"/>
        <v>100</v>
      </c>
      <c r="T13" s="771" t="s">
        <v>17</v>
      </c>
      <c r="U13" s="772">
        <f t="shared" si="1"/>
        <v>100</v>
      </c>
      <c r="V13" s="771" t="s">
        <v>17</v>
      </c>
      <c r="W13" s="772">
        <f t="shared" si="2"/>
        <v>100</v>
      </c>
      <c r="X13" s="773"/>
      <c r="Y13" s="3070"/>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15"/>
      <c r="Q14" s="2933">
        <f t="shared" si="6"/>
        <v>111</v>
      </c>
      <c r="R14" s="771" t="s">
        <v>17</v>
      </c>
      <c r="S14" s="772">
        <f t="shared" si="0"/>
        <v>100</v>
      </c>
      <c r="T14" s="771" t="s">
        <v>17</v>
      </c>
      <c r="U14" s="772">
        <f t="shared" si="1"/>
        <v>100</v>
      </c>
      <c r="V14" s="771" t="s">
        <v>17</v>
      </c>
      <c r="W14" s="772">
        <f t="shared" si="2"/>
        <v>100</v>
      </c>
      <c r="X14" s="773"/>
      <c r="Y14" s="3070"/>
      <c r="Z14" s="2934">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21" t="s">
        <v>2561</v>
      </c>
      <c r="Q15" s="2939" t="str">
        <f t="shared" si="6"/>
        <v>办公集聚程度</v>
      </c>
      <c r="R15" s="775" t="s">
        <v>17</v>
      </c>
      <c r="S15" s="776">
        <f t="shared" si="0"/>
        <v>100</v>
      </c>
      <c r="T15" s="775" t="s">
        <v>17</v>
      </c>
      <c r="U15" s="776">
        <f t="shared" si="1"/>
        <v>100</v>
      </c>
      <c r="V15" s="775" t="s">
        <v>17</v>
      </c>
      <c r="W15" s="776">
        <f t="shared" si="2"/>
        <v>100</v>
      </c>
      <c r="X15" s="2936"/>
      <c r="Y15" s="3223" t="s">
        <v>2561</v>
      </c>
      <c r="Z15" s="2937" t="str">
        <f t="shared" si="7"/>
        <v>办公集聚程度</v>
      </c>
      <c r="AA15" s="2940">
        <f t="shared" si="3"/>
        <v>1</v>
      </c>
      <c r="AB15" s="2940">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22"/>
      <c r="Q16" s="2939"/>
      <c r="R16" s="775"/>
      <c r="S16" s="776"/>
      <c r="T16" s="775"/>
      <c r="U16" s="776"/>
      <c r="V16" s="775"/>
      <c r="W16" s="776"/>
      <c r="X16" s="2936"/>
      <c r="Y16" s="3224"/>
      <c r="Z16" s="2937"/>
      <c r="AA16" s="2940">
        <v>1</v>
      </c>
      <c r="AB16" s="2940">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22"/>
      <c r="Q17" s="2939" t="str">
        <f>B17</f>
        <v>交通便捷度</v>
      </c>
      <c r="R17" s="775" t="s">
        <v>17</v>
      </c>
      <c r="S17" s="776">
        <f>F17</f>
        <v>100</v>
      </c>
      <c r="T17" s="775" t="s">
        <v>17</v>
      </c>
      <c r="U17" s="776">
        <f>H17</f>
        <v>100</v>
      </c>
      <c r="V17" s="775" t="s">
        <v>17</v>
      </c>
      <c r="W17" s="776">
        <f>J17</f>
        <v>100</v>
      </c>
      <c r="X17" s="2936"/>
      <c r="Y17" s="3224"/>
      <c r="Z17" s="2937" t="str">
        <f>Q17</f>
        <v>交通便捷度</v>
      </c>
      <c r="AA17" s="2940">
        <f t="shared" si="3"/>
        <v>1</v>
      </c>
      <c r="AB17" s="2940">
        <f t="shared" si="4"/>
        <v>1</v>
      </c>
      <c r="AC17" s="2681">
        <f t="shared" si="5"/>
        <v>1</v>
      </c>
    </row>
    <row r="18" spans="1:29" ht="15">
      <c r="A18" s="429"/>
      <c r="B18" s="633"/>
      <c r="C18" s="2683" t="s">
        <v>3128</v>
      </c>
      <c r="D18" s="451"/>
      <c r="E18" s="2616" t="s">
        <v>3128</v>
      </c>
      <c r="F18" s="451"/>
      <c r="G18" s="2617" t="s">
        <v>3128</v>
      </c>
      <c r="H18" s="449"/>
      <c r="I18" s="2617" t="s">
        <v>3128</v>
      </c>
      <c r="J18" s="449"/>
      <c r="K18" s="616"/>
      <c r="L18" s="1144"/>
      <c r="M18" s="1135"/>
      <c r="N18" s="1135"/>
      <c r="O18" s="1135"/>
      <c r="P18" s="3222"/>
      <c r="Q18" s="2939"/>
      <c r="R18" s="775"/>
      <c r="S18" s="776"/>
      <c r="T18" s="775"/>
      <c r="U18" s="776"/>
      <c r="V18" s="775"/>
      <c r="W18" s="776"/>
      <c r="X18" s="2936"/>
      <c r="Y18" s="3224"/>
      <c r="Z18" s="2937"/>
      <c r="AA18" s="2940">
        <v>1</v>
      </c>
      <c r="AB18" s="2940">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22"/>
      <c r="Q19" s="2939" t="str">
        <f>B19</f>
        <v>公共配套设施</v>
      </c>
      <c r="R19" s="775" t="s">
        <v>17</v>
      </c>
      <c r="S19" s="776">
        <f>F19</f>
        <v>100</v>
      </c>
      <c r="T19" s="775" t="s">
        <v>17</v>
      </c>
      <c r="U19" s="776">
        <f>H19</f>
        <v>100</v>
      </c>
      <c r="V19" s="775" t="s">
        <v>17</v>
      </c>
      <c r="W19" s="776">
        <f>J19</f>
        <v>100</v>
      </c>
      <c r="X19" s="2936"/>
      <c r="Y19" s="3224"/>
      <c r="Z19" s="2937" t="str">
        <f>Q19</f>
        <v>公共配套设施</v>
      </c>
      <c r="AA19" s="2940">
        <f t="shared" si="3"/>
        <v>1</v>
      </c>
      <c r="AB19" s="2940">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22"/>
      <c r="Q20" s="2939"/>
      <c r="R20" s="775"/>
      <c r="S20" s="776"/>
      <c r="T20" s="775"/>
      <c r="U20" s="776"/>
      <c r="V20" s="775"/>
      <c r="W20" s="776"/>
      <c r="X20" s="2936"/>
      <c r="Y20" s="3224"/>
      <c r="Z20" s="2937"/>
      <c r="AA20" s="2940">
        <v>1</v>
      </c>
      <c r="AB20" s="2940">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22"/>
      <c r="Q21" s="2939" t="str">
        <f>B21</f>
        <v>基础设施水平</v>
      </c>
      <c r="R21" s="775" t="s">
        <v>17</v>
      </c>
      <c r="S21" s="776">
        <f>F21</f>
        <v>100</v>
      </c>
      <c r="T21" s="775" t="s">
        <v>17</v>
      </c>
      <c r="U21" s="776">
        <f>H21</f>
        <v>100</v>
      </c>
      <c r="V21" s="775" t="s">
        <v>17</v>
      </c>
      <c r="W21" s="776">
        <f>J21</f>
        <v>100</v>
      </c>
      <c r="X21" s="2936"/>
      <c r="Y21" s="3224"/>
      <c r="Z21" s="2937" t="str">
        <f>Q21</f>
        <v>基础设施水平</v>
      </c>
      <c r="AA21" s="2940">
        <f t="shared" ref="AA21" si="8">D21/F21</f>
        <v>1</v>
      </c>
      <c r="AB21" s="2940">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22"/>
      <c r="Q22" s="2939"/>
      <c r="R22" s="775"/>
      <c r="S22" s="776"/>
      <c r="T22" s="775"/>
      <c r="U22" s="776"/>
      <c r="V22" s="775"/>
      <c r="W22" s="776"/>
      <c r="X22" s="2936"/>
      <c r="Y22" s="3224"/>
      <c r="Z22" s="2937"/>
      <c r="AA22" s="2940">
        <v>1</v>
      </c>
      <c r="AB22" s="2940">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22"/>
      <c r="Q23" s="2939" t="str">
        <f>B23</f>
        <v>环境质量</v>
      </c>
      <c r="R23" s="775" t="s">
        <v>17</v>
      </c>
      <c r="S23" s="776">
        <f>F23</f>
        <v>100</v>
      </c>
      <c r="T23" s="775" t="s">
        <v>17</v>
      </c>
      <c r="U23" s="776">
        <f>H23</f>
        <v>100</v>
      </c>
      <c r="V23" s="775" t="s">
        <v>17</v>
      </c>
      <c r="W23" s="776">
        <f>J23</f>
        <v>100</v>
      </c>
      <c r="X23" s="2936"/>
      <c r="Y23" s="3224"/>
      <c r="Z23" s="2937" t="str">
        <f>Q23</f>
        <v>环境质量</v>
      </c>
      <c r="AA23" s="2940">
        <f t="shared" si="3"/>
        <v>1</v>
      </c>
      <c r="AB23" s="2940">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22"/>
      <c r="Q24" s="2939"/>
      <c r="R24" s="775"/>
      <c r="S24" s="776"/>
      <c r="T24" s="775"/>
      <c r="U24" s="776"/>
      <c r="V24" s="775"/>
      <c r="W24" s="776"/>
      <c r="X24" s="2936"/>
      <c r="Y24" s="3224"/>
      <c r="Z24" s="2937"/>
      <c r="AA24" s="2940">
        <v>1</v>
      </c>
      <c r="AB24" s="2940">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3211</v>
      </c>
      <c r="J25" s="436">
        <f>SUMIF(87:87,I26,88:88)-SUMIF(87:87,C26,88:88)+100</f>
        <v>100</v>
      </c>
      <c r="K25" s="615">
        <v>2</v>
      </c>
      <c r="L25" s="1144"/>
      <c r="M25" s="1135"/>
      <c r="N25" s="1135"/>
      <c r="O25" s="1135"/>
      <c r="P25" s="3222"/>
      <c r="Q25" s="2939" t="str">
        <f>B25</f>
        <v>毗邻道路的类型与等级</v>
      </c>
      <c r="R25" s="775" t="s">
        <v>17</v>
      </c>
      <c r="S25" s="776">
        <f>F25</f>
        <v>100</v>
      </c>
      <c r="T25" s="775" t="s">
        <v>17</v>
      </c>
      <c r="U25" s="776">
        <f>H25</f>
        <v>100</v>
      </c>
      <c r="V25" s="775" t="s">
        <v>17</v>
      </c>
      <c r="W25" s="776">
        <f>J25</f>
        <v>100</v>
      </c>
      <c r="X25" s="2936"/>
      <c r="Y25" s="3224"/>
      <c r="Z25" s="2937" t="str">
        <f>Q25</f>
        <v>毗邻道路的类型与等级</v>
      </c>
      <c r="AA25" s="2940">
        <f t="shared" si="3"/>
        <v>1</v>
      </c>
      <c r="AB25" s="2940">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22"/>
      <c r="Q26" s="2939"/>
      <c r="R26" s="775"/>
      <c r="S26" s="776"/>
      <c r="T26" s="775"/>
      <c r="U26" s="776"/>
      <c r="V26" s="775"/>
      <c r="W26" s="776"/>
      <c r="X26" s="2936"/>
      <c r="Y26" s="3224"/>
      <c r="Z26" s="2937"/>
      <c r="AA26" s="2940">
        <v>1</v>
      </c>
      <c r="AB26" s="2940">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103</v>
      </c>
      <c r="I27" s="617" t="s">
        <v>3115</v>
      </c>
      <c r="J27" s="436">
        <f>SUMIF(89:89,I27,90:90)-SUMIF(89:89,C27,90:90)+100</f>
        <v>103</v>
      </c>
      <c r="K27" s="613">
        <v>3</v>
      </c>
      <c r="L27" s="1144"/>
      <c r="M27" s="1135"/>
      <c r="N27" s="1135"/>
      <c r="O27" s="1135"/>
      <c r="P27" s="3222"/>
      <c r="Q27" s="2939" t="str">
        <f t="shared" ref="Q27:Q47" si="11">B27</f>
        <v>楼层</v>
      </c>
      <c r="R27" s="775" t="s">
        <v>17</v>
      </c>
      <c r="S27" s="776">
        <f>F27</f>
        <v>100</v>
      </c>
      <c r="T27" s="775" t="s">
        <v>17</v>
      </c>
      <c r="U27" s="776">
        <f>H27</f>
        <v>103</v>
      </c>
      <c r="V27" s="775" t="s">
        <v>17</v>
      </c>
      <c r="W27" s="776">
        <f>J27</f>
        <v>103</v>
      </c>
      <c r="X27" s="2936"/>
      <c r="Y27" s="3224"/>
      <c r="Z27" s="2937" t="str">
        <f>Q27</f>
        <v>楼层</v>
      </c>
      <c r="AA27" s="2940">
        <f t="shared" si="3"/>
        <v>1</v>
      </c>
      <c r="AB27" s="2940">
        <f t="shared" si="4"/>
        <v>0.970873786407767</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22"/>
      <c r="Q28" s="2933" t="str">
        <f t="shared" si="11"/>
        <v>朝向</v>
      </c>
      <c r="R28" s="771" t="s">
        <v>17</v>
      </c>
      <c r="S28" s="772">
        <f>F28</f>
        <v>100</v>
      </c>
      <c r="T28" s="771" t="s">
        <v>17</v>
      </c>
      <c r="U28" s="772">
        <f>H28</f>
        <v>100</v>
      </c>
      <c r="V28" s="771" t="s">
        <v>17</v>
      </c>
      <c r="W28" s="772">
        <f>J28</f>
        <v>100</v>
      </c>
      <c r="X28" s="773"/>
      <c r="Y28" s="3224"/>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22"/>
      <c r="Q29" s="2939">
        <f t="shared" si="11"/>
        <v>111</v>
      </c>
      <c r="R29" s="775" t="s">
        <v>17</v>
      </c>
      <c r="S29" s="776">
        <f t="shared" ref="S29:S47" si="12">F29</f>
        <v>100</v>
      </c>
      <c r="T29" s="775" t="s">
        <v>17</v>
      </c>
      <c r="U29" s="776">
        <f t="shared" ref="U29:U47" si="13">H29</f>
        <v>100</v>
      </c>
      <c r="V29" s="775" t="s">
        <v>17</v>
      </c>
      <c r="W29" s="776">
        <f t="shared" ref="W29:W47" si="14">J29</f>
        <v>100</v>
      </c>
      <c r="X29" s="2936"/>
      <c r="Y29" s="3224"/>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22"/>
      <c r="Q30" s="2939">
        <f t="shared" si="11"/>
        <v>111</v>
      </c>
      <c r="R30" s="775" t="s">
        <v>17</v>
      </c>
      <c r="S30" s="776">
        <f t="shared" si="12"/>
        <v>100</v>
      </c>
      <c r="T30" s="775" t="s">
        <v>17</v>
      </c>
      <c r="U30" s="776">
        <f t="shared" si="13"/>
        <v>100</v>
      </c>
      <c r="V30" s="775" t="s">
        <v>17</v>
      </c>
      <c r="W30" s="776">
        <f t="shared" si="14"/>
        <v>100</v>
      </c>
      <c r="X30" s="2936"/>
      <c r="Y30" s="3224"/>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22"/>
      <c r="Q31" s="2939">
        <f t="shared" si="11"/>
        <v>111</v>
      </c>
      <c r="R31" s="775" t="s">
        <v>17</v>
      </c>
      <c r="S31" s="776">
        <f t="shared" si="12"/>
        <v>100</v>
      </c>
      <c r="T31" s="775" t="s">
        <v>17</v>
      </c>
      <c r="U31" s="776">
        <f t="shared" si="13"/>
        <v>100</v>
      </c>
      <c r="V31" s="775" t="s">
        <v>17</v>
      </c>
      <c r="W31" s="776">
        <f t="shared" si="14"/>
        <v>100</v>
      </c>
      <c r="X31" s="2936"/>
      <c r="Y31" s="3224"/>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22"/>
      <c r="Q32" s="2939">
        <f t="shared" si="11"/>
        <v>111</v>
      </c>
      <c r="R32" s="775" t="s">
        <v>17</v>
      </c>
      <c r="S32" s="776">
        <f t="shared" si="12"/>
        <v>100</v>
      </c>
      <c r="T32" s="775" t="s">
        <v>17</v>
      </c>
      <c r="U32" s="776">
        <f t="shared" si="13"/>
        <v>100</v>
      </c>
      <c r="V32" s="775" t="s">
        <v>17</v>
      </c>
      <c r="W32" s="776">
        <f t="shared" si="14"/>
        <v>100</v>
      </c>
      <c r="X32" s="2936"/>
      <c r="Y32" s="3224"/>
      <c r="Z32" s="2937">
        <f t="shared" si="15"/>
        <v>111</v>
      </c>
      <c r="AA32" s="2940">
        <f t="shared" si="3"/>
        <v>1</v>
      </c>
      <c r="AB32" s="2940">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25" t="s">
        <v>2566</v>
      </c>
      <c r="Q33" s="2939" t="str">
        <f t="shared" si="11"/>
        <v>建筑类型</v>
      </c>
      <c r="R33" s="775" t="s">
        <v>17</v>
      </c>
      <c r="S33" s="776">
        <f t="shared" si="12"/>
        <v>100</v>
      </c>
      <c r="T33" s="775" t="s">
        <v>17</v>
      </c>
      <c r="U33" s="776">
        <f t="shared" si="13"/>
        <v>100</v>
      </c>
      <c r="V33" s="775" t="s">
        <v>17</v>
      </c>
      <c r="W33" s="776">
        <f t="shared" si="14"/>
        <v>100</v>
      </c>
      <c r="X33" s="2936"/>
      <c r="Y33" s="3228" t="s">
        <v>2566</v>
      </c>
      <c r="Z33" s="2937" t="str">
        <f t="shared" si="15"/>
        <v>建筑类型</v>
      </c>
      <c r="AA33" s="2940">
        <f t="shared" si="3"/>
        <v>1</v>
      </c>
      <c r="AB33" s="2940">
        <f t="shared" si="4"/>
        <v>1</v>
      </c>
      <c r="AC33" s="2681">
        <f t="shared" si="5"/>
        <v>1</v>
      </c>
    </row>
    <row r="34" spans="1:29" s="472" customFormat="1" ht="15">
      <c r="A34" s="469"/>
      <c r="B34" s="2935" t="s">
        <v>2567</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26"/>
      <c r="Q34" s="777" t="str">
        <f t="shared" si="11"/>
        <v>项目建筑规模</v>
      </c>
      <c r="R34" s="778" t="s">
        <v>17</v>
      </c>
      <c r="S34" s="779">
        <f t="shared" si="12"/>
        <v>102</v>
      </c>
      <c r="T34" s="778" t="s">
        <v>17</v>
      </c>
      <c r="U34" s="779">
        <f t="shared" si="13"/>
        <v>102</v>
      </c>
      <c r="V34" s="778" t="s">
        <v>17</v>
      </c>
      <c r="W34" s="779">
        <f t="shared" si="14"/>
        <v>100</v>
      </c>
      <c r="X34" s="780"/>
      <c r="Y34" s="3228"/>
      <c r="Z34" s="781" t="str">
        <f t="shared" si="15"/>
        <v>项目建筑规模</v>
      </c>
      <c r="AA34" s="2940">
        <f t="shared" si="3"/>
        <v>0.98039215686274506</v>
      </c>
      <c r="AB34" s="2940">
        <f t="shared" si="4"/>
        <v>0.98039215686274506</v>
      </c>
      <c r="AC34" s="2681">
        <f t="shared" si="5"/>
        <v>1</v>
      </c>
    </row>
    <row r="35" spans="1:29" ht="15">
      <c r="A35" s="473"/>
      <c r="B35" s="2935"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26"/>
      <c r="Q35" s="2939" t="str">
        <f t="shared" si="11"/>
        <v>建筑结构</v>
      </c>
      <c r="R35" s="775" t="s">
        <v>17</v>
      </c>
      <c r="S35" s="776">
        <f t="shared" si="12"/>
        <v>100</v>
      </c>
      <c r="T35" s="775" t="s">
        <v>17</v>
      </c>
      <c r="U35" s="776">
        <f t="shared" si="13"/>
        <v>100</v>
      </c>
      <c r="V35" s="775" t="s">
        <v>17</v>
      </c>
      <c r="W35" s="776">
        <f t="shared" si="14"/>
        <v>100</v>
      </c>
      <c r="X35" s="2936"/>
      <c r="Y35" s="3228"/>
      <c r="Z35" s="2937" t="str">
        <f t="shared" si="15"/>
        <v>建筑结构</v>
      </c>
      <c r="AA35" s="2940">
        <f t="shared" si="3"/>
        <v>1</v>
      </c>
      <c r="AB35" s="2940">
        <f t="shared" si="4"/>
        <v>1</v>
      </c>
      <c r="AC35" s="2681">
        <f t="shared" si="5"/>
        <v>1</v>
      </c>
    </row>
    <row r="36" spans="1:29" ht="15">
      <c r="A36" s="473"/>
      <c r="B36" s="2935"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26"/>
      <c r="Q36" s="2939" t="str">
        <f t="shared" si="11"/>
        <v>公共部分装修</v>
      </c>
      <c r="R36" s="775" t="s">
        <v>17</v>
      </c>
      <c r="S36" s="776">
        <f t="shared" si="12"/>
        <v>100</v>
      </c>
      <c r="T36" s="775" t="s">
        <v>17</v>
      </c>
      <c r="U36" s="776">
        <f t="shared" si="13"/>
        <v>100</v>
      </c>
      <c r="V36" s="775" t="s">
        <v>17</v>
      </c>
      <c r="W36" s="776">
        <f t="shared" si="14"/>
        <v>100</v>
      </c>
      <c r="X36" s="2936"/>
      <c r="Y36" s="3228"/>
      <c r="Z36" s="2937" t="str">
        <f t="shared" si="15"/>
        <v>公共部分装修</v>
      </c>
      <c r="AA36" s="2940">
        <f t="shared" si="3"/>
        <v>1</v>
      </c>
      <c r="AB36" s="2940">
        <f t="shared" si="4"/>
        <v>1</v>
      </c>
      <c r="AC36" s="2681">
        <f t="shared" si="5"/>
        <v>1</v>
      </c>
    </row>
    <row r="37" spans="1:29" ht="15">
      <c r="A37" s="473"/>
      <c r="B37" s="2935" t="s">
        <v>2663</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99</v>
      </c>
      <c r="K37" s="613">
        <v>1</v>
      </c>
      <c r="L37" s="1144"/>
      <c r="M37" s="1135"/>
      <c r="N37" s="1135"/>
      <c r="O37" s="1135"/>
      <c r="P37" s="3226"/>
      <c r="Q37" s="2939" t="str">
        <f t="shared" si="11"/>
        <v>成新度</v>
      </c>
      <c r="R37" s="775" t="s">
        <v>17</v>
      </c>
      <c r="S37" s="776">
        <f t="shared" si="12"/>
        <v>100</v>
      </c>
      <c r="T37" s="775" t="s">
        <v>17</v>
      </c>
      <c r="U37" s="776">
        <f t="shared" si="13"/>
        <v>100</v>
      </c>
      <c r="V37" s="775" t="s">
        <v>17</v>
      </c>
      <c r="W37" s="776">
        <f t="shared" si="14"/>
        <v>99</v>
      </c>
      <c r="X37" s="2936"/>
      <c r="Y37" s="3228"/>
      <c r="Z37" s="2937" t="str">
        <f t="shared" si="15"/>
        <v>成新度</v>
      </c>
      <c r="AA37" s="2940">
        <f t="shared" si="3"/>
        <v>1</v>
      </c>
      <c r="AB37" s="2940">
        <f t="shared" si="4"/>
        <v>1</v>
      </c>
      <c r="AC37" s="2681">
        <f t="shared" si="5"/>
        <v>1.0101010101010102</v>
      </c>
    </row>
    <row r="38" spans="1:29" s="117" customFormat="1" ht="15">
      <c r="A38" s="474"/>
      <c r="B38" s="2935"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26"/>
      <c r="Q38" s="2933" t="str">
        <f t="shared" si="11"/>
        <v>写字楼等级</v>
      </c>
      <c r="R38" s="771" t="s">
        <v>17</v>
      </c>
      <c r="S38" s="772">
        <f t="shared" si="12"/>
        <v>100</v>
      </c>
      <c r="T38" s="771" t="s">
        <v>17</v>
      </c>
      <c r="U38" s="772">
        <f t="shared" si="13"/>
        <v>100</v>
      </c>
      <c r="V38" s="771" t="s">
        <v>17</v>
      </c>
      <c r="W38" s="772">
        <f t="shared" si="14"/>
        <v>100</v>
      </c>
      <c r="X38" s="773"/>
      <c r="Y38" s="3228"/>
      <c r="Z38" s="2934" t="str">
        <f t="shared" si="15"/>
        <v>写字楼等级</v>
      </c>
      <c r="AA38" s="774">
        <f t="shared" si="3"/>
        <v>1</v>
      </c>
      <c r="AB38" s="774">
        <f t="shared" si="4"/>
        <v>1</v>
      </c>
      <c r="AC38" s="2678">
        <f t="shared" si="5"/>
        <v>1</v>
      </c>
    </row>
    <row r="39" spans="1:29" ht="15">
      <c r="A39" s="473"/>
      <c r="B39" s="2935"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26" t="s">
        <v>2566</v>
      </c>
      <c r="Q39" s="2939" t="str">
        <f t="shared" si="11"/>
        <v>物业管理</v>
      </c>
      <c r="R39" s="775" t="s">
        <v>17</v>
      </c>
      <c r="S39" s="776">
        <f t="shared" si="12"/>
        <v>100</v>
      </c>
      <c r="T39" s="775" t="s">
        <v>17</v>
      </c>
      <c r="U39" s="776">
        <f t="shared" si="13"/>
        <v>100</v>
      </c>
      <c r="V39" s="775" t="s">
        <v>17</v>
      </c>
      <c r="W39" s="776">
        <f t="shared" si="14"/>
        <v>100</v>
      </c>
      <c r="X39" s="2936"/>
      <c r="Y39" s="3228" t="s">
        <v>2566</v>
      </c>
      <c r="Z39" s="2937" t="str">
        <f t="shared" si="15"/>
        <v>物业管理</v>
      </c>
      <c r="AA39" s="2940">
        <f t="shared" si="3"/>
        <v>1</v>
      </c>
      <c r="AB39" s="2940">
        <f t="shared" si="4"/>
        <v>1</v>
      </c>
      <c r="AC39" s="2681">
        <f t="shared" si="5"/>
        <v>1</v>
      </c>
    </row>
    <row r="40" spans="1:29" ht="15">
      <c r="A40" s="473"/>
      <c r="B40" s="2935"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26"/>
      <c r="Q40" s="2939" t="str">
        <f t="shared" si="11"/>
        <v>市政基础设施</v>
      </c>
      <c r="R40" s="775" t="s">
        <v>17</v>
      </c>
      <c r="S40" s="776">
        <f t="shared" si="12"/>
        <v>100</v>
      </c>
      <c r="T40" s="775" t="s">
        <v>17</v>
      </c>
      <c r="U40" s="776">
        <f t="shared" si="13"/>
        <v>100</v>
      </c>
      <c r="V40" s="775" t="s">
        <v>17</v>
      </c>
      <c r="W40" s="776">
        <f t="shared" si="14"/>
        <v>100</v>
      </c>
      <c r="X40" s="2936"/>
      <c r="Y40" s="3228"/>
      <c r="Z40" s="2937" t="str">
        <f t="shared" si="15"/>
        <v>市政基础设施</v>
      </c>
      <c r="AA40" s="2940">
        <f t="shared" si="3"/>
        <v>1</v>
      </c>
      <c r="AB40" s="2940">
        <f t="shared" si="4"/>
        <v>1</v>
      </c>
      <c r="AC40" s="2681">
        <f t="shared" si="5"/>
        <v>1</v>
      </c>
    </row>
    <row r="41" spans="1:29" ht="15">
      <c r="A41" s="473"/>
      <c r="B41" s="2935"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26"/>
      <c r="Q41" s="2939" t="str">
        <f t="shared" si="11"/>
        <v>层高</v>
      </c>
      <c r="R41" s="775" t="s">
        <v>17</v>
      </c>
      <c r="S41" s="776">
        <f t="shared" si="12"/>
        <v>100</v>
      </c>
      <c r="T41" s="775" t="s">
        <v>17</v>
      </c>
      <c r="U41" s="776">
        <f t="shared" si="13"/>
        <v>100</v>
      </c>
      <c r="V41" s="775" t="s">
        <v>17</v>
      </c>
      <c r="W41" s="776">
        <f t="shared" si="14"/>
        <v>100</v>
      </c>
      <c r="X41" s="2936"/>
      <c r="Y41" s="3228"/>
      <c r="Z41" s="2937" t="str">
        <f t="shared" si="15"/>
        <v>层高</v>
      </c>
      <c r="AA41" s="2940">
        <f t="shared" si="3"/>
        <v>1</v>
      </c>
      <c r="AB41" s="2940">
        <f t="shared" si="4"/>
        <v>1</v>
      </c>
      <c r="AC41" s="2681">
        <f t="shared" si="5"/>
        <v>1</v>
      </c>
    </row>
    <row r="42" spans="1:29" s="472" customFormat="1" ht="15">
      <c r="A42" s="469"/>
      <c r="B42" s="2938"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26"/>
      <c r="Q42" s="777" t="str">
        <f t="shared" si="11"/>
        <v>单套建筑面积</v>
      </c>
      <c r="R42" s="778" t="s">
        <v>17</v>
      </c>
      <c r="S42" s="779">
        <f t="shared" si="12"/>
        <v>100</v>
      </c>
      <c r="T42" s="778" t="s">
        <v>17</v>
      </c>
      <c r="U42" s="779">
        <f t="shared" si="13"/>
        <v>100</v>
      </c>
      <c r="V42" s="778" t="s">
        <v>17</v>
      </c>
      <c r="W42" s="779">
        <f t="shared" si="14"/>
        <v>100</v>
      </c>
      <c r="X42" s="780"/>
      <c r="Y42" s="3228"/>
      <c r="Z42" s="781" t="str">
        <f t="shared" si="15"/>
        <v>单套建筑面积</v>
      </c>
      <c r="AA42" s="2940">
        <f t="shared" si="3"/>
        <v>1</v>
      </c>
      <c r="AB42" s="2940">
        <f t="shared" si="4"/>
        <v>1</v>
      </c>
      <c r="AC42" s="2681">
        <f t="shared" si="5"/>
        <v>1</v>
      </c>
    </row>
    <row r="43" spans="1:29" ht="15">
      <c r="A43" s="473"/>
      <c r="B43" s="2935"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26"/>
      <c r="Q43" s="2939" t="str">
        <f t="shared" si="11"/>
        <v>内部装修</v>
      </c>
      <c r="R43" s="775" t="s">
        <v>17</v>
      </c>
      <c r="S43" s="776">
        <f t="shared" si="12"/>
        <v>100</v>
      </c>
      <c r="T43" s="775" t="s">
        <v>17</v>
      </c>
      <c r="U43" s="776">
        <f t="shared" si="13"/>
        <v>100</v>
      </c>
      <c r="V43" s="775" t="s">
        <v>17</v>
      </c>
      <c r="W43" s="776">
        <f t="shared" si="14"/>
        <v>100</v>
      </c>
      <c r="X43" s="2936"/>
      <c r="Y43" s="3228"/>
      <c r="Z43" s="2937" t="str">
        <f t="shared" si="15"/>
        <v>内部装修</v>
      </c>
      <c r="AA43" s="2940">
        <f t="shared" si="3"/>
        <v>1</v>
      </c>
      <c r="AB43" s="2940">
        <f t="shared" si="4"/>
        <v>1</v>
      </c>
      <c r="AC43" s="2681">
        <f t="shared" si="5"/>
        <v>1</v>
      </c>
    </row>
    <row r="44" spans="1:29" ht="15">
      <c r="A44" s="473"/>
      <c r="B44" s="2935"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26"/>
      <c r="Q44" s="2939" t="str">
        <f t="shared" si="11"/>
        <v>内部装修维护情况</v>
      </c>
      <c r="R44" s="775" t="s">
        <v>17</v>
      </c>
      <c r="S44" s="776">
        <f t="shared" si="12"/>
        <v>100</v>
      </c>
      <c r="T44" s="775" t="s">
        <v>17</v>
      </c>
      <c r="U44" s="776">
        <f t="shared" si="13"/>
        <v>100</v>
      </c>
      <c r="V44" s="775" t="s">
        <v>17</v>
      </c>
      <c r="W44" s="776">
        <f t="shared" si="14"/>
        <v>100</v>
      </c>
      <c r="X44" s="2936"/>
      <c r="Y44" s="3228"/>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26"/>
      <c r="Q45" s="2933">
        <f t="shared" si="11"/>
        <v>111</v>
      </c>
      <c r="R45" s="771" t="s">
        <v>17</v>
      </c>
      <c r="S45" s="772">
        <f t="shared" si="12"/>
        <v>100</v>
      </c>
      <c r="T45" s="771" t="s">
        <v>17</v>
      </c>
      <c r="U45" s="772">
        <f t="shared" si="13"/>
        <v>100</v>
      </c>
      <c r="V45" s="771" t="s">
        <v>17</v>
      </c>
      <c r="W45" s="772">
        <f t="shared" si="14"/>
        <v>100</v>
      </c>
      <c r="X45" s="773"/>
      <c r="Y45" s="3228"/>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26"/>
      <c r="Q46" s="2939">
        <f t="shared" si="11"/>
        <v>111</v>
      </c>
      <c r="R46" s="775" t="s">
        <v>17</v>
      </c>
      <c r="S46" s="776">
        <f t="shared" si="12"/>
        <v>100</v>
      </c>
      <c r="T46" s="775" t="s">
        <v>17</v>
      </c>
      <c r="U46" s="776">
        <f t="shared" si="13"/>
        <v>100</v>
      </c>
      <c r="V46" s="775" t="s">
        <v>17</v>
      </c>
      <c r="W46" s="776">
        <f t="shared" si="14"/>
        <v>100</v>
      </c>
      <c r="X46" s="2936"/>
      <c r="Y46" s="3228"/>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27"/>
      <c r="Q47" s="2939">
        <f t="shared" si="11"/>
        <v>111</v>
      </c>
      <c r="R47" s="775" t="s">
        <v>17</v>
      </c>
      <c r="S47" s="776">
        <f t="shared" si="12"/>
        <v>100</v>
      </c>
      <c r="T47" s="775" t="s">
        <v>17</v>
      </c>
      <c r="U47" s="776">
        <f t="shared" si="13"/>
        <v>100</v>
      </c>
      <c r="V47" s="775" t="s">
        <v>17</v>
      </c>
      <c r="W47" s="776">
        <f t="shared" si="14"/>
        <v>100</v>
      </c>
      <c r="X47" s="2936"/>
      <c r="Y47" s="3229"/>
      <c r="Z47" s="2937">
        <f t="shared" si="15"/>
        <v>111</v>
      </c>
      <c r="AA47" s="2940">
        <f t="shared" si="3"/>
        <v>1</v>
      </c>
      <c r="AB47" s="2940">
        <f t="shared" si="4"/>
        <v>1</v>
      </c>
      <c r="AC47" s="2681">
        <f t="shared" si="5"/>
        <v>1</v>
      </c>
    </row>
    <row r="48" spans="1:29" ht="15">
      <c r="A48" s="480" t="s">
        <v>2578</v>
      </c>
      <c r="B48" s="481"/>
      <c r="C48" s="1411" t="s">
        <v>1</v>
      </c>
      <c r="D48" s="1412"/>
      <c r="E48" s="1413">
        <f>7*0.93</f>
        <v>6.5100000000000007</v>
      </c>
      <c r="F48" s="1414"/>
      <c r="G48" s="1415">
        <f>6*0.95</f>
        <v>5.6999999999999993</v>
      </c>
      <c r="H48" s="1416"/>
      <c r="I48" s="1413">
        <f>6.5*0.95</f>
        <v>6.1749999999999998</v>
      </c>
      <c r="J48" s="486"/>
      <c r="K48" s="784"/>
      <c r="L48" s="1147"/>
      <c r="M48" s="1135"/>
      <c r="N48" s="1135"/>
      <c r="O48" s="1135"/>
      <c r="P48" s="3215" t="str">
        <f>A48</f>
        <v>成交单价（元/平方米）</v>
      </c>
      <c r="Q48" s="3216"/>
      <c r="R48" s="3217">
        <f>E48</f>
        <v>6.5100000000000007</v>
      </c>
      <c r="S48" s="3217"/>
      <c r="T48" s="3217">
        <f>G48</f>
        <v>5.6999999999999993</v>
      </c>
      <c r="U48" s="3217"/>
      <c r="V48" s="3217">
        <f>I48</f>
        <v>6.1749999999999998</v>
      </c>
      <c r="W48" s="3217"/>
      <c r="X48" s="447"/>
      <c r="Y48" s="782"/>
      <c r="Z48" s="447"/>
      <c r="AA48" s="447"/>
      <c r="AB48" s="447"/>
      <c r="AC48" s="631"/>
    </row>
    <row r="49" spans="1:29" ht="15.75" thickBot="1">
      <c r="A49" s="487" t="s">
        <v>2579</v>
      </c>
      <c r="B49" s="488"/>
      <c r="C49" s="1417">
        <f>R50</f>
        <v>5.9</v>
      </c>
      <c r="D49" s="1418"/>
      <c r="E49" s="1419">
        <f>R49</f>
        <v>6.4</v>
      </c>
      <c r="F49" s="1419"/>
      <c r="G49" s="1417">
        <f>T49</f>
        <v>5.4</v>
      </c>
      <c r="H49" s="1418"/>
      <c r="I49" s="1419">
        <f>V49</f>
        <v>6</v>
      </c>
      <c r="J49" s="490"/>
      <c r="K49" s="785"/>
      <c r="L49" s="1147"/>
      <c r="M49" s="1135"/>
      <c r="N49" s="1135"/>
      <c r="O49" s="1135"/>
      <c r="P49" s="3215" t="str">
        <f>A49</f>
        <v>比较价值（元/平方米）</v>
      </c>
      <c r="Q49" s="3216"/>
      <c r="R49" s="3217">
        <f>IF(F1="售价",ROUND(PRODUCT(R48,AA7:AA47),0),ROUND(PRODUCT(R48,AA7:AA47),1))</f>
        <v>6.4</v>
      </c>
      <c r="S49" s="3217"/>
      <c r="T49" s="3217">
        <f>IF(F1="售价",ROUND(PRODUCT(T48,AB7:AB47),0),ROUND(PRODUCT(T48,AB7:AB47),1))</f>
        <v>5.4</v>
      </c>
      <c r="U49" s="3217"/>
      <c r="V49" s="3217">
        <f>IF(F1="售价",ROUND(PRODUCT(V48,AC7:AC47),0),ROUND(PRODUCT(V48,AC7:AC47),1))</f>
        <v>6</v>
      </c>
      <c r="W49" s="3217"/>
      <c r="X49" s="447"/>
      <c r="Y49" s="447"/>
      <c r="Z49" s="447"/>
      <c r="AA49" s="447"/>
      <c r="AB49" s="447"/>
      <c r="AC49" s="631"/>
    </row>
    <row r="50" spans="1:29" ht="15.75" thickBot="1">
      <c r="A50" s="493" t="s">
        <v>3121</v>
      </c>
      <c r="B50" s="494"/>
      <c r="C50" s="1421">
        <f>R50</f>
        <v>5.9</v>
      </c>
      <c r="D50" s="1421"/>
      <c r="E50" s="1421"/>
      <c r="F50" s="1421"/>
      <c r="G50" s="1421"/>
      <c r="H50" s="1421"/>
      <c r="I50" s="1421"/>
      <c r="J50" s="495"/>
      <c r="K50" s="786"/>
      <c r="L50" s="1147"/>
      <c r="M50" s="1135"/>
      <c r="N50" s="1135"/>
      <c r="O50" s="1135"/>
      <c r="P50" s="3218" t="str">
        <f>A50</f>
        <v>估价对象办公用房的比较价值（楼面单价，元/平方米）</v>
      </c>
      <c r="Q50" s="3219"/>
      <c r="R50" s="3220">
        <f>IF(F1="售价",ROUND(AVERAGE(R49:V49),0),ROUND(AVERAGE(R49:V49),1))</f>
        <v>5.9</v>
      </c>
      <c r="S50" s="3220"/>
      <c r="T50" s="3220"/>
      <c r="U50" s="3220"/>
      <c r="V50" s="3220"/>
      <c r="W50" s="3220"/>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1.7187500000000133E-2</v>
      </c>
      <c r="F53" s="501" t="str">
        <f>IF(OR(E53&gt;=0.3,E53&lt;=-0.3),"超过30%","")</f>
        <v/>
      </c>
      <c r="G53" s="500">
        <f>IF(G48&lt;G49,G49/G48-1,G48/G49-1)</f>
        <v>5.5555555555555358E-2</v>
      </c>
      <c r="H53" s="501" t="str">
        <f>IF(OR(G53&gt;=0.3,G53&lt;=-0.3),"超过30%","")</f>
        <v/>
      </c>
      <c r="I53" s="500">
        <f>IF(I48&lt;I49,I49/I48-1,I48/I49-1)</f>
        <v>2.9166666666666563E-2</v>
      </c>
      <c r="J53" s="501" t="str">
        <f>IF(OR(I53&gt;=0.3,I53&lt;=-0.3),"超过30%","")</f>
        <v/>
      </c>
      <c r="K53" s="1109"/>
      <c r="L53" s="1110"/>
      <c r="M53" s="1148"/>
      <c r="N53" s="1148"/>
      <c r="O53" s="1148"/>
    </row>
    <row r="54" spans="1:29" ht="13.5" customHeight="1">
      <c r="A54" s="1148"/>
      <c r="B54" s="1148"/>
      <c r="C54" s="498" t="s">
        <v>2582</v>
      </c>
      <c r="D54" s="502"/>
      <c r="E54" s="500">
        <f>IF(E49&lt;G49,G49/E49-1,E49/G49-1)</f>
        <v>0.18518518518518512</v>
      </c>
      <c r="F54" s="501" t="str">
        <f>IF(OR(E54&gt;=0.2,E54&lt;=-0.2),"超过20%","")</f>
        <v/>
      </c>
      <c r="G54" s="500">
        <f>IF(G49&lt;I49,I49/G49-1,G49/I49-1)</f>
        <v>0.11111111111111094</v>
      </c>
      <c r="H54" s="501" t="str">
        <f>IF(OR(G54&gt;=0.2,G54&lt;=-0.2),"超过20%","")</f>
        <v/>
      </c>
      <c r="I54" s="500">
        <f>IF(I49&lt;E49,E49/I49-1,I49/E49-1)</f>
        <v>6.6666666666666652E-2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0.14210526315789496</v>
      </c>
      <c r="F55" s="501" t="str">
        <f>IF(OR(E55&gt;=0.3,E55&lt;=-0.3),"超过30%","")</f>
        <v/>
      </c>
      <c r="G55" s="500">
        <f>IF(G48&lt;I48,I48/G48-1,G48/I48-1)</f>
        <v>8.3333333333333481E-2</v>
      </c>
      <c r="H55" s="501" t="str">
        <f>IF(OR(G55&gt;=0.3,G55&lt;=-0.3),"超过30%","")</f>
        <v/>
      </c>
      <c r="I55" s="500">
        <f>IF(I48&lt;E48,E48/I48-1,I48/E48-1)</f>
        <v>5.4251012145749122E-2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2588</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966"/>
      <c r="B4" s="3030" t="s">
        <v>1631</v>
      </c>
      <c r="C4" s="3030"/>
      <c r="D4" s="3030"/>
      <c r="E4" s="1966"/>
    </row>
    <row r="5" spans="1:5" ht="16.5" thickTop="1">
      <c r="A5" s="1964"/>
      <c r="B5" s="3028" t="s">
        <v>1623</v>
      </c>
      <c r="C5" s="1967" t="s">
        <v>1624</v>
      </c>
      <c r="D5" s="1044">
        <f ca="1">结果表!H101</f>
        <v>7504</v>
      </c>
      <c r="E5" s="1964"/>
    </row>
    <row r="6" spans="1:5" ht="15.75">
      <c r="A6" s="1964"/>
      <c r="B6" s="3028"/>
      <c r="C6" s="1967" t="s">
        <v>1625</v>
      </c>
      <c r="D6" s="1044" t="str">
        <f ca="1">NUMBERSTRING(INT(D5*10000),2)&amp;"元整"</f>
        <v>柒仟伍佰零肆万元整</v>
      </c>
      <c r="E6" s="1964"/>
    </row>
    <row r="7" spans="1:5" ht="15.75">
      <c r="A7" s="1964"/>
      <c r="B7" s="3033"/>
      <c r="C7" s="1968" t="s">
        <v>1626</v>
      </c>
      <c r="D7" s="1045">
        <f ca="1">结果表!H102</f>
        <v>38428</v>
      </c>
      <c r="E7" s="1964"/>
    </row>
    <row r="8" spans="1:5" ht="15.75">
      <c r="A8" s="1964"/>
      <c r="B8" s="3034" t="str">
        <f>结果表!E103</f>
        <v>2.估价师知悉的法定优先受偿款</v>
      </c>
      <c r="C8" s="1969" t="s">
        <v>1627</v>
      </c>
      <c r="D8" s="1045">
        <f>结果表!H103</f>
        <v>0</v>
      </c>
      <c r="E8" s="1964"/>
    </row>
    <row r="9" spans="1:5" ht="15.75">
      <c r="A9" s="1964"/>
      <c r="B9" s="3036"/>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7" t="str">
        <f>结果表!E107</f>
        <v>3.房地产抵押价值</v>
      </c>
      <c r="C13" s="1972" t="s">
        <v>1624</v>
      </c>
      <c r="D13" s="1047">
        <f ca="1">结果表!H107</f>
        <v>7504</v>
      </c>
      <c r="E13" s="1964"/>
    </row>
    <row r="14" spans="1:5" ht="15.75">
      <c r="A14" s="1964"/>
      <c r="B14" s="3028"/>
      <c r="C14" s="1967" t="s">
        <v>1625</v>
      </c>
      <c r="D14" s="1044" t="str">
        <f ca="1">NUMBERSTRING(INT(D13*10000),2)&amp;"元整"</f>
        <v>柒仟伍佰零肆万元整</v>
      </c>
      <c r="E14" s="1964"/>
    </row>
    <row r="15" spans="1:5" ht="15">
      <c r="A15" s="1964"/>
      <c r="B15" s="3033"/>
      <c r="C15" s="1968" t="s">
        <v>1635</v>
      </c>
      <c r="D15" s="1056">
        <f ca="1">结果表!H108</f>
        <v>38428</v>
      </c>
      <c r="E15" s="1964"/>
    </row>
    <row r="16" spans="1:5" ht="15">
      <c r="A16" s="1964"/>
      <c r="B16" s="3034" t="str">
        <f>结果表!E109</f>
        <v>——</v>
      </c>
      <c r="C16" s="1972" t="s">
        <v>1636</v>
      </c>
      <c r="D16" s="1973" t="str">
        <f>结果表!H109</f>
        <v>——</v>
      </c>
      <c r="E16" s="1964"/>
    </row>
    <row r="17" spans="1:5" ht="15.75">
      <c r="A17" s="1964"/>
      <c r="B17" s="3035"/>
      <c r="C17" s="1967" t="s">
        <v>1637</v>
      </c>
      <c r="D17" s="1044" t="e">
        <f>NUMBERSTRING(INT(D16*10000),2)&amp;"元整"</f>
        <v>#VALUE!</v>
      </c>
      <c r="E17" s="1964"/>
    </row>
    <row r="18" spans="1:5" ht="15">
      <c r="A18" s="1964"/>
      <c r="B18" s="3036"/>
      <c r="C18" s="1968" t="s">
        <v>1626</v>
      </c>
      <c r="D18" s="1056" t="str">
        <f>结果表!H110</f>
        <v>——</v>
      </c>
      <c r="E18" s="1964"/>
    </row>
    <row r="19" spans="1:5" ht="15.75">
      <c r="A19" s="1964"/>
      <c r="B19" s="3027" t="str">
        <f>结果表!E111</f>
        <v>——</v>
      </c>
      <c r="C19" s="1972" t="s">
        <v>1624</v>
      </c>
      <c r="D19" s="1045" t="str">
        <f>结果表!H111</f>
        <v>——</v>
      </c>
      <c r="E19" s="1964"/>
    </row>
    <row r="20" spans="1:5" ht="15.75">
      <c r="A20" s="1964"/>
      <c r="B20" s="3028"/>
      <c r="C20" s="1967" t="s">
        <v>1637</v>
      </c>
      <c r="D20" s="1044" t="e">
        <f>NUMBERSTRING(INT(D19*10000),2)&amp;"元整"</f>
        <v>#VALUE!</v>
      </c>
      <c r="E20" s="1964"/>
    </row>
    <row r="21" spans="1:5" ht="15.75" thickBot="1">
      <c r="A21" s="1964"/>
      <c r="B21" s="3029"/>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3008</v>
      </c>
      <c r="C1" s="3346" t="s">
        <v>3009</v>
      </c>
      <c r="D1" s="3347"/>
      <c r="E1" s="3347"/>
      <c r="F1" s="3347"/>
      <c r="G1" s="3347"/>
      <c r="H1" s="3347"/>
      <c r="I1" s="3347"/>
      <c r="J1" s="3347"/>
      <c r="K1" s="3347"/>
      <c r="L1" s="3347"/>
      <c r="M1" s="3347"/>
      <c r="N1" s="3347"/>
      <c r="O1" s="3347"/>
      <c r="P1" s="3347"/>
      <c r="Q1" s="3347"/>
      <c r="R1" s="3347"/>
      <c r="S1" s="3348"/>
      <c r="T1" s="1208" t="s">
        <v>3010</v>
      </c>
    </row>
    <row r="2" spans="1:45" s="708" customFormat="1" ht="38.25">
      <c r="A2" s="1209"/>
      <c r="B2" s="704" t="s">
        <v>3011</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3012</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3013</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3014</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3015</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3016</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3017</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3018</v>
      </c>
      <c r="B17" s="2924" t="s">
        <v>3019</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3020</v>
      </c>
      <c r="E19" s="1797"/>
      <c r="F19" s="1797"/>
      <c r="G19" s="1797"/>
      <c r="H19" s="1284"/>
      <c r="I19" s="169"/>
      <c r="J19" s="169"/>
      <c r="K19" s="169"/>
      <c r="L19" s="169"/>
      <c r="M19" s="169"/>
      <c r="N19" s="169"/>
      <c r="O19" s="169"/>
      <c r="P19" s="169"/>
      <c r="Q19" s="169"/>
      <c r="R19" s="789"/>
      <c r="S19" s="138"/>
    </row>
    <row r="20" spans="1:45" ht="16.5" thickBot="1">
      <c r="A20" s="716" t="s">
        <v>3021</v>
      </c>
      <c r="B20" s="339">
        <f ca="1">IF(D20="——",S22,S22-F20)</f>
        <v>19095</v>
      </c>
      <c r="C20" s="169"/>
      <c r="D20" s="2926" t="s">
        <v>70</v>
      </c>
      <c r="E20" s="1798"/>
      <c r="F20" s="1208" t="e">
        <f ca="1">SUMIF(INDIRECT("'"&amp;H20&amp;"'"&amp;"!A:A"),"承租人权益价值",INDIRECT("'"&amp;H20&amp;"'"&amp;"!c:c"))</f>
        <v>#REF!</v>
      </c>
      <c r="G20" s="1208" t="s">
        <v>3022</v>
      </c>
      <c r="H20" s="2927"/>
      <c r="I20" s="169"/>
      <c r="J20" s="169"/>
      <c r="K20" s="169"/>
      <c r="L20" s="169"/>
      <c r="M20" s="169"/>
      <c r="N20" s="169"/>
      <c r="O20" s="169"/>
      <c r="P20" s="169"/>
      <c r="Q20" s="169"/>
      <c r="R20" s="789"/>
      <c r="S20" s="138"/>
    </row>
    <row r="21" spans="1:45" ht="15.75">
      <c r="A21" s="716" t="s">
        <v>3023</v>
      </c>
      <c r="B21" s="339">
        <f ca="1">R22</f>
        <v>38636</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4942.2700000000004</v>
      </c>
      <c r="C22" s="3207" t="s">
        <v>33</v>
      </c>
      <c r="D22" s="3208"/>
      <c r="E22" s="3208"/>
      <c r="F22" s="3208"/>
      <c r="G22" s="3208"/>
      <c r="H22" s="3208"/>
      <c r="I22" s="3208"/>
      <c r="J22" s="3208"/>
      <c r="K22" s="3208"/>
      <c r="L22" s="3208"/>
      <c r="M22" s="3208"/>
      <c r="N22" s="3208"/>
      <c r="O22" s="3208"/>
      <c r="P22" s="3208"/>
      <c r="Q22" s="3345"/>
      <c r="R22" s="717">
        <f ca="1">ROUND(S22*10000/B22,0)</f>
        <v>38636</v>
      </c>
      <c r="S22" s="24">
        <f ca="1">SUM(S24:S10000)</f>
        <v>19095</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 ca="1">结果表!G20</f>
        <v>38424</v>
      </c>
      <c r="S24" s="720">
        <f t="shared" ref="S24:S54" ca="1" si="11">ROUND(R24*B24/10000,0)</f>
        <v>7503</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38424</v>
      </c>
      <c r="S25" s="362">
        <f t="shared" ca="1" si="11"/>
        <v>7503</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39192</v>
      </c>
      <c r="S26" s="362">
        <f t="shared" ca="1" si="11"/>
        <v>1786</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39961</v>
      </c>
      <c r="S27" s="362">
        <f t="shared" ca="1" si="11"/>
        <v>433</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39577</v>
      </c>
      <c r="S28" s="362">
        <f t="shared" ca="1" si="11"/>
        <v>833</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39577</v>
      </c>
      <c r="S29" s="362">
        <f t="shared" ca="1" si="11"/>
        <v>1037</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30366</v>
      </c>
      <c r="C2" s="2" t="s">
        <v>133</v>
      </c>
      <c r="D2" s="244"/>
      <c r="E2" s="244"/>
      <c r="F2" s="244"/>
      <c r="G2" s="244"/>
    </row>
    <row r="3" spans="1:7" s="245" customFormat="1" ht="18" customHeight="1" thickBot="1">
      <c r="A3" s="248" t="s">
        <v>85</v>
      </c>
      <c r="B3" s="249">
        <f ca="1">ROUND(B2*10000/'数据-汇总表'!E3,0)</f>
        <v>155503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1952.76</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39</v>
      </c>
      <c r="D19" s="1040">
        <f>'数据-汇总表'!E3</f>
        <v>1952.76</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2028</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4212</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4212</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29622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633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586</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20</v>
      </c>
      <c r="D37" s="262">
        <f>'数据-汇总表'!E3</f>
        <v>1952.76</v>
      </c>
      <c r="E37" s="294">
        <f>'数据-取费表'!B35</f>
        <v>100</v>
      </c>
      <c r="F37" s="304"/>
      <c r="G37" s="306" t="s">
        <v>119</v>
      </c>
    </row>
    <row r="38" spans="1:7" ht="13.5" customHeight="1">
      <c r="A38" s="955" t="s">
        <v>799</v>
      </c>
      <c r="B38" s="260" t="s">
        <v>63</v>
      </c>
      <c r="C38" s="265">
        <f>ROUND(C34*F38,0)</f>
        <v>9</v>
      </c>
      <c r="D38" s="265"/>
      <c r="E38" s="265"/>
      <c r="F38" s="304">
        <f>'数据-取费表'!B36</f>
        <v>1.4999999999999999E-2</v>
      </c>
      <c r="G38" s="264" t="s">
        <v>117</v>
      </c>
    </row>
    <row r="39" spans="1:7" s="259" customFormat="1" ht="13.5" customHeight="1">
      <c r="A39" s="952" t="s">
        <v>783</v>
      </c>
      <c r="B39" s="255" t="s">
        <v>104</v>
      </c>
      <c r="C39" s="277">
        <f>ROUND(C33*F20,0)</f>
        <v>13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30</v>
      </c>
      <c r="D42" s="283"/>
      <c r="E42" s="283"/>
      <c r="F42" s="284"/>
      <c r="G42" s="3212" t="s">
        <v>121</v>
      </c>
    </row>
    <row r="43" spans="1:7" ht="13.5" customHeight="1">
      <c r="A43" s="955" t="s">
        <v>792</v>
      </c>
      <c r="B43" s="260" t="s">
        <v>1064</v>
      </c>
      <c r="C43" s="283">
        <f ca="1">ROUND(IF('数据-取费表'!B22&lt;=1,C39*F22*'数据-取费表'!B21/2,C39*(POWER((1+F22),'数据-取费表'!B21/2)-1)),0)</f>
        <v>1</v>
      </c>
      <c r="D43" s="283"/>
      <c r="E43" s="283"/>
      <c r="F43" s="284"/>
      <c r="G43" s="3213"/>
    </row>
    <row r="44" spans="1:7" ht="13.5" customHeight="1">
      <c r="A44" s="955" t="s">
        <v>793</v>
      </c>
      <c r="B44" s="260" t="s">
        <v>1066</v>
      </c>
      <c r="C44" s="283">
        <f ca="1">ROUND(IF('数据-取费表'!B22&lt;=1,C40*F22*'数据-取费表'!B21/2,C40*(POWER((1+F22),'数据-取费表'!B21/2)-1)),4)</f>
        <v>1E-3</v>
      </c>
      <c r="D44" s="283"/>
      <c r="E44" s="283"/>
      <c r="F44" s="284"/>
      <c r="G44" s="3214"/>
    </row>
    <row r="45" spans="1:7" s="259" customFormat="1" ht="13.5" customHeight="1">
      <c r="A45" s="952" t="s">
        <v>786</v>
      </c>
      <c r="B45" s="289" t="s">
        <v>112</v>
      </c>
      <c r="C45" s="290">
        <f>C46</f>
        <v>129</v>
      </c>
      <c r="D45" s="280">
        <f>C47</f>
        <v>4.0000000000000001E-3</v>
      </c>
      <c r="E45" s="281" t="s">
        <v>129</v>
      </c>
      <c r="F45" s="291"/>
      <c r="G45" s="292" t="s">
        <v>1072</v>
      </c>
    </row>
    <row r="46" spans="1:7" s="259" customFormat="1" ht="13.5" customHeight="1">
      <c r="A46" s="955" t="s">
        <v>794</v>
      </c>
      <c r="B46" s="293" t="s">
        <v>1065</v>
      </c>
      <c r="C46" s="294">
        <f>ROUND((C33+C39)*F27,0)</f>
        <v>129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875</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744</v>
      </c>
      <c r="D51" s="277"/>
      <c r="E51" s="277"/>
      <c r="F51" s="309"/>
      <c r="G51" s="279" t="s">
        <v>64</v>
      </c>
    </row>
    <row r="52" spans="1:7" s="253" customFormat="1" ht="16.5" thickBot="1">
      <c r="A52" s="310" t="s">
        <v>65</v>
      </c>
      <c r="B52" s="311"/>
      <c r="C52" s="312">
        <f ca="1">C31+C51</f>
        <v>30366</v>
      </c>
      <c r="D52" s="311"/>
      <c r="E52" s="311"/>
      <c r="F52" s="311"/>
      <c r="G52" s="313"/>
    </row>
    <row r="55" spans="1:7" ht="15">
      <c r="B55" s="315" t="s">
        <v>66</v>
      </c>
      <c r="C55" s="316"/>
    </row>
    <row r="56" spans="1:7">
      <c r="B56" s="318" t="s">
        <v>67</v>
      </c>
      <c r="C56" s="319">
        <f ca="1">ROUND(C51/C52,3)</f>
        <v>2.5000000000000001E-2</v>
      </c>
    </row>
    <row r="57" spans="1:7">
      <c r="B57" s="318" t="s">
        <v>68</v>
      </c>
      <c r="C57" s="320">
        <f ca="1">1-C56</f>
        <v>0.97499999999999998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49" t="s">
        <v>156</v>
      </c>
      <c r="B1" s="3349"/>
      <c r="C1" s="3349"/>
      <c r="D1" s="3349"/>
      <c r="E1" s="3349"/>
      <c r="F1" s="3349"/>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0" t="s">
        <v>169</v>
      </c>
      <c r="B2" s="3350"/>
      <c r="C2" s="3350"/>
      <c r="D2" s="3350"/>
      <c r="E2" s="3350"/>
      <c r="F2" s="3350"/>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1"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2"/>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49" t="s">
        <v>871</v>
      </c>
      <c r="B1" s="3349"/>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L24" sqref="L24"/>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53"/>
      <c r="F1" s="3353"/>
      <c r="G1" s="3353"/>
      <c r="H1" s="3353"/>
      <c r="I1" s="3353"/>
      <c r="J1" s="3353"/>
      <c r="K1" s="3353"/>
    </row>
    <row r="2" spans="1:13" ht="14.25" customHeight="1">
      <c r="B2" s="2951"/>
      <c r="D2" s="2953"/>
      <c r="E2" s="3354"/>
      <c r="F2" s="3354"/>
      <c r="G2" s="2953"/>
      <c r="H2" s="2953"/>
      <c r="I2" s="2953"/>
      <c r="J2" s="2953"/>
      <c r="K2" s="2953"/>
    </row>
    <row r="3" spans="1:13" s="2954" customFormat="1" ht="12">
      <c r="A3" s="3355" t="s">
        <v>3137</v>
      </c>
      <c r="B3" s="3357" t="s">
        <v>3138</v>
      </c>
      <c r="C3" s="3355" t="s">
        <v>3139</v>
      </c>
      <c r="D3" s="3359" t="s">
        <v>3140</v>
      </c>
      <c r="E3" s="3359" t="s">
        <v>3141</v>
      </c>
      <c r="F3" s="3359" t="s">
        <v>3142</v>
      </c>
      <c r="G3" s="3359" t="s">
        <v>3143</v>
      </c>
      <c r="H3" s="3359" t="s">
        <v>3144</v>
      </c>
      <c r="I3" s="3359" t="s">
        <v>3145</v>
      </c>
      <c r="J3" s="3359" t="s">
        <v>3146</v>
      </c>
      <c r="K3" s="3355" t="s">
        <v>3147</v>
      </c>
      <c r="L3" s="3363" t="s">
        <v>3148</v>
      </c>
    </row>
    <row r="4" spans="1:13" s="2954" customFormat="1" ht="12">
      <c r="A4" s="3356"/>
      <c r="B4" s="3358"/>
      <c r="C4" s="3356"/>
      <c r="D4" s="3360"/>
      <c r="E4" s="3360"/>
      <c r="F4" s="3360"/>
      <c r="G4" s="3360"/>
      <c r="H4" s="3360"/>
      <c r="I4" s="3360"/>
      <c r="J4" s="3360"/>
      <c r="K4" s="3356"/>
      <c r="L4" s="3363"/>
    </row>
    <row r="5" spans="1:13" ht="14.25" customHeight="1">
      <c r="A5" s="3364"/>
      <c r="B5" s="3364"/>
      <c r="C5" s="3365"/>
      <c r="D5" s="2955"/>
      <c r="E5" s="2955"/>
      <c r="F5" s="2955"/>
      <c r="G5" s="2955"/>
      <c r="H5" s="2955"/>
      <c r="I5" s="2955"/>
      <c r="J5" s="2955"/>
      <c r="K5" s="2956"/>
      <c r="L5" s="2956"/>
    </row>
    <row r="6" spans="1:13" ht="14.25" customHeight="1">
      <c r="A6" s="3366" t="s">
        <v>3149</v>
      </c>
      <c r="B6" s="3367"/>
      <c r="C6" s="3367"/>
      <c r="D6" s="2955"/>
      <c r="E6" s="2955"/>
      <c r="F6" s="2955"/>
      <c r="G6" s="2955"/>
      <c r="H6" s="2955"/>
      <c r="I6" s="2955"/>
      <c r="J6" s="2955"/>
      <c r="K6" s="2956"/>
      <c r="L6" s="2956"/>
    </row>
    <row r="7" spans="1:13">
      <c r="A7" s="2957">
        <v>1</v>
      </c>
      <c r="B7" s="2957" t="s">
        <v>3150</v>
      </c>
      <c r="C7" s="2958" t="s">
        <v>3151</v>
      </c>
      <c r="D7" s="2955">
        <v>1</v>
      </c>
      <c r="E7" s="2955" t="s">
        <v>3152</v>
      </c>
      <c r="F7" s="2955" t="s">
        <v>3153</v>
      </c>
      <c r="G7" s="2955">
        <v>244.94</v>
      </c>
      <c r="H7" s="2959">
        <v>50.512751999999999</v>
      </c>
      <c r="I7" s="2960">
        <f t="shared" ref="I7:I15" si="0">H7*10000/365/G7</f>
        <v>5.6500000559264718</v>
      </c>
      <c r="J7" s="2955"/>
      <c r="K7" s="2959">
        <v>4.2093959999999999</v>
      </c>
      <c r="L7" s="2959" t="s">
        <v>3154</v>
      </c>
    </row>
    <row r="8" spans="1:13">
      <c r="A8" s="2957">
        <v>2</v>
      </c>
      <c r="B8" s="2957" t="s">
        <v>3155</v>
      </c>
      <c r="C8" s="2958" t="s">
        <v>3156</v>
      </c>
      <c r="D8" s="2955">
        <v>1</v>
      </c>
      <c r="E8" s="2955" t="s">
        <v>3157</v>
      </c>
      <c r="F8" s="2955" t="s">
        <v>3158</v>
      </c>
      <c r="G8" s="2955">
        <v>705.84</v>
      </c>
      <c r="H8" s="2959">
        <v>145.56185400000001</v>
      </c>
      <c r="I8" s="2960">
        <f t="shared" si="0"/>
        <v>5.6499999999999995</v>
      </c>
      <c r="J8" s="2955"/>
      <c r="K8" s="2959">
        <v>12.130155</v>
      </c>
      <c r="L8" s="2959" t="s">
        <v>3159</v>
      </c>
    </row>
    <row r="9" spans="1:13">
      <c r="A9" s="2957">
        <v>3</v>
      </c>
      <c r="B9" s="2957" t="s">
        <v>3155</v>
      </c>
      <c r="C9" s="2958" t="s">
        <v>3160</v>
      </c>
      <c r="D9" s="2955">
        <v>1</v>
      </c>
      <c r="E9" s="2955" t="s">
        <v>3157</v>
      </c>
      <c r="F9" s="2955" t="s">
        <v>3158</v>
      </c>
      <c r="G9" s="2955">
        <v>616.21</v>
      </c>
      <c r="H9" s="2959">
        <v>127.077907</v>
      </c>
      <c r="I9" s="2960">
        <f t="shared" si="0"/>
        <v>5.6499999888847716</v>
      </c>
      <c r="J9" s="2955"/>
      <c r="K9" s="2959">
        <v>10.589826</v>
      </c>
      <c r="L9" s="2959" t="s">
        <v>3161</v>
      </c>
    </row>
    <row r="10" spans="1:13">
      <c r="A10" s="2957">
        <v>4</v>
      </c>
      <c r="B10" s="2957" t="s">
        <v>3155</v>
      </c>
      <c r="C10" s="2958" t="s">
        <v>3162</v>
      </c>
      <c r="D10" s="2955">
        <v>1</v>
      </c>
      <c r="E10" s="2955" t="s">
        <v>3157</v>
      </c>
      <c r="F10" s="2955" t="s">
        <v>3158</v>
      </c>
      <c r="G10" s="2955">
        <v>385.77</v>
      </c>
      <c r="H10" s="2959">
        <v>79.555418000000003</v>
      </c>
      <c r="I10" s="2960">
        <f t="shared" si="0"/>
        <v>5.6499999822450819</v>
      </c>
      <c r="J10" s="2955"/>
      <c r="K10" s="2959">
        <v>6.6296179999999998</v>
      </c>
      <c r="L10" s="2959" t="s">
        <v>3163</v>
      </c>
    </row>
    <row r="11" spans="1:13" s="2961" customFormat="1">
      <c r="A11" s="2957">
        <v>5</v>
      </c>
      <c r="B11" s="2957">
        <v>605</v>
      </c>
      <c r="C11" s="2958" t="s">
        <v>3164</v>
      </c>
      <c r="D11" s="2955">
        <v>1</v>
      </c>
      <c r="E11" s="2955" t="s">
        <v>3157</v>
      </c>
      <c r="F11" s="2955" t="s">
        <v>3158</v>
      </c>
      <c r="G11" s="2955">
        <v>157</v>
      </c>
      <c r="H11" s="2959">
        <v>32.377324999999999</v>
      </c>
      <c r="I11" s="2960">
        <f t="shared" si="0"/>
        <v>5.6499999999999995</v>
      </c>
      <c r="J11" s="2959"/>
      <c r="K11" s="2959">
        <v>2.6981099999999998</v>
      </c>
      <c r="L11" s="2959" t="s">
        <v>3165</v>
      </c>
    </row>
    <row r="12" spans="1:13" s="2961" customFormat="1">
      <c r="A12" s="2957">
        <v>6</v>
      </c>
      <c r="B12" s="2957">
        <v>605</v>
      </c>
      <c r="C12" s="2958" t="s">
        <v>3166</v>
      </c>
      <c r="D12" s="2955">
        <v>1</v>
      </c>
      <c r="E12" s="2955" t="s">
        <v>3157</v>
      </c>
      <c r="F12" s="2955" t="s">
        <v>3158</v>
      </c>
      <c r="G12" s="2955">
        <v>105.08</v>
      </c>
      <c r="H12" s="2959">
        <v>21.670123</v>
      </c>
      <c r="I12" s="2959">
        <f t="shared" si="0"/>
        <v>5.65</v>
      </c>
      <c r="J12" s="2959"/>
      <c r="K12" s="2959">
        <v>1.805844</v>
      </c>
      <c r="L12" s="2959" t="s">
        <v>3167</v>
      </c>
    </row>
    <row r="13" spans="1:13" s="2977" customFormat="1" ht="24">
      <c r="A13" s="2971">
        <v>7</v>
      </c>
      <c r="B13" s="2971">
        <v>601</v>
      </c>
      <c r="C13" s="2972" t="s">
        <v>3168</v>
      </c>
      <c r="D13" s="2973">
        <v>4</v>
      </c>
      <c r="E13" s="2974" t="s">
        <v>3169</v>
      </c>
      <c r="F13" s="2973" t="s">
        <v>3170</v>
      </c>
      <c r="G13" s="2973">
        <v>455.72</v>
      </c>
      <c r="H13" s="2975">
        <v>105.7908</v>
      </c>
      <c r="I13" s="2975">
        <f t="shared" si="0"/>
        <v>6.3599975471600558</v>
      </c>
      <c r="J13" s="2976" t="s">
        <v>3171</v>
      </c>
      <c r="K13" s="2975">
        <v>16.8001</v>
      </c>
      <c r="L13" s="2973"/>
    </row>
    <row r="14" spans="1:13" s="2977" customFormat="1" ht="24">
      <c r="A14" s="2971">
        <v>8</v>
      </c>
      <c r="B14" s="2971" t="s">
        <v>3172</v>
      </c>
      <c r="C14" s="2972" t="s">
        <v>3173</v>
      </c>
      <c r="D14" s="2973">
        <v>4</v>
      </c>
      <c r="E14" s="2974" t="s">
        <v>3174</v>
      </c>
      <c r="F14" s="2973" t="s">
        <v>3175</v>
      </c>
      <c r="G14" s="2973">
        <v>1952.76</v>
      </c>
      <c r="H14" s="2975">
        <v>434.78199999999998</v>
      </c>
      <c r="I14" s="2978">
        <f t="shared" si="0"/>
        <v>6.099999803579732</v>
      </c>
      <c r="J14" s="2976" t="s">
        <v>3176</v>
      </c>
      <c r="K14" s="2978">
        <v>108.6955</v>
      </c>
      <c r="L14" s="2973"/>
    </row>
    <row r="15" spans="1:13" s="2977" customFormat="1">
      <c r="A15" s="2971">
        <v>9</v>
      </c>
      <c r="B15" s="2971" t="s">
        <v>3177</v>
      </c>
      <c r="C15" s="2972" t="s">
        <v>3178</v>
      </c>
      <c r="D15" s="2973">
        <v>2</v>
      </c>
      <c r="E15" s="2974" t="s">
        <v>3179</v>
      </c>
      <c r="F15" s="2973" t="s">
        <v>3180</v>
      </c>
      <c r="G15" s="2973">
        <v>318.95</v>
      </c>
      <c r="H15" s="2975">
        <v>68.103803999999997</v>
      </c>
      <c r="I15" s="2978">
        <f t="shared" si="0"/>
        <v>5.850000450966033</v>
      </c>
      <c r="J15" s="2976"/>
      <c r="K15" s="2978">
        <v>12.611814000000001</v>
      </c>
      <c r="L15" s="2978" t="s">
        <v>3181</v>
      </c>
    </row>
    <row r="16" spans="1:13">
      <c r="A16" s="2963"/>
      <c r="B16" s="3361" t="s">
        <v>3182</v>
      </c>
      <c r="C16" s="3362"/>
      <c r="D16" s="2962"/>
      <c r="E16" s="2962"/>
      <c r="F16" s="2964"/>
      <c r="G16" s="2965">
        <f>SUM(G7:G15)</f>
        <v>4942.2700000000004</v>
      </c>
      <c r="H16" s="2966">
        <f>SUM(H7:H15)</f>
        <v>1065.4319830000002</v>
      </c>
      <c r="I16" s="2966">
        <f t="shared" ref="I16" si="1">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4" t="s">
        <v>3213</v>
      </c>
      <c r="F22" s="3024">
        <v>2018</v>
      </c>
      <c r="G22" s="3024">
        <v>2019</v>
      </c>
      <c r="H22" s="3024">
        <v>2020</v>
      </c>
      <c r="I22" s="3024" t="s">
        <v>3215</v>
      </c>
    </row>
    <row r="23" spans="5:10">
      <c r="E23" s="3024">
        <f>G13</f>
        <v>455.72</v>
      </c>
      <c r="F23" s="3024">
        <f>ROUND(I13*G13*365/10000,0)</f>
        <v>106</v>
      </c>
      <c r="G23" s="3024">
        <f>F23</f>
        <v>106</v>
      </c>
      <c r="H23" s="3024">
        <f>F23</f>
        <v>106</v>
      </c>
      <c r="I23" s="3024">
        <f>H23+G23+F23+H24+G24+F24+H25+G25+F25</f>
        <v>1869</v>
      </c>
    </row>
    <row r="24" spans="5:10">
      <c r="E24" s="3024">
        <f>G14</f>
        <v>1952.76</v>
      </c>
      <c r="F24" s="3024">
        <f>ROUND(I14*G14*365/10000,0)</f>
        <v>435</v>
      </c>
      <c r="G24" s="3024">
        <f>ROUND(6.4*G14*365/10000,0)</f>
        <v>456</v>
      </c>
      <c r="H24" s="3024">
        <f>G24</f>
        <v>456</v>
      </c>
      <c r="I24" s="3025">
        <f>ROUND(I23/(E23+E24+E25)*10000/365/3,2)</f>
        <v>6.26</v>
      </c>
    </row>
    <row r="25" spans="5:10">
      <c r="E25" s="3024">
        <f>G15</f>
        <v>318.95</v>
      </c>
      <c r="F25" s="3024">
        <f>ROUND(I15*G15*365/10000,0)</f>
        <v>68</v>
      </c>
      <c r="G25" s="3024">
        <f>ROUND(I15*G15*365/10000,0)</f>
        <v>68</v>
      </c>
      <c r="H25" s="3024">
        <f>G25</f>
        <v>68</v>
      </c>
      <c r="I25" s="3024"/>
    </row>
    <row r="27" spans="5:10">
      <c r="E27" s="2951" t="s">
        <v>3213</v>
      </c>
      <c r="F27" s="2951">
        <v>2018</v>
      </c>
      <c r="G27" s="2951">
        <v>2019</v>
      </c>
      <c r="H27" s="2951">
        <v>2020</v>
      </c>
    </row>
    <row r="28" spans="5:10">
      <c r="E28" s="2951">
        <f>E23</f>
        <v>455.72</v>
      </c>
      <c r="F28" s="2968">
        <f>I13</f>
        <v>6.3599975471600558</v>
      </c>
      <c r="G28" s="2968">
        <f>F28</f>
        <v>6.3599975471600558</v>
      </c>
      <c r="H28" s="2968">
        <f>F28</f>
        <v>6.3599975471600558</v>
      </c>
      <c r="I28" s="2968">
        <f>AVERAGE(F28:H28)</f>
        <v>6.3599975471600558</v>
      </c>
    </row>
    <row r="29" spans="5:10">
      <c r="E29" s="2951">
        <f>E24</f>
        <v>1952.76</v>
      </c>
      <c r="F29" s="2968">
        <f>I14</f>
        <v>6.099999803579732</v>
      </c>
      <c r="G29" s="2951">
        <f>6.4</f>
        <v>6.4</v>
      </c>
      <c r="H29" s="2951">
        <f>G29</f>
        <v>6.4</v>
      </c>
      <c r="I29" s="2968">
        <f>AVERAGE(F29:H29)</f>
        <v>6.2999999345265776</v>
      </c>
    </row>
    <row r="30" spans="5:10">
      <c r="E30" s="2951">
        <f>E25</f>
        <v>318.95</v>
      </c>
      <c r="F30" s="2968">
        <f>I15</f>
        <v>5.850000450966033</v>
      </c>
      <c r="G30" s="2968">
        <f>F30</f>
        <v>5.850000450966033</v>
      </c>
      <c r="H30" s="2968">
        <f>G30</f>
        <v>5.850000450966033</v>
      </c>
      <c r="I30" s="2968">
        <f>AVERAGE(F30:H30)</f>
        <v>5.850000450966033</v>
      </c>
    </row>
    <row r="31" spans="5:10">
      <c r="I31" s="2968">
        <f>AVERAGE(I28:I30)</f>
        <v>6.1699993108842222</v>
      </c>
    </row>
  </sheetData>
  <mergeCells count="17">
    <mergeCell ref="B16:C16"/>
    <mergeCell ref="I3:I4"/>
    <mergeCell ref="J3:J4"/>
    <mergeCell ref="K3:K4"/>
    <mergeCell ref="L3:L4"/>
    <mergeCell ref="A5:C5"/>
    <mergeCell ref="A6:C6"/>
    <mergeCell ref="E1:K1"/>
    <mergeCell ref="E2:F2"/>
    <mergeCell ref="A3:A4"/>
    <mergeCell ref="B3:B4"/>
    <mergeCell ref="C3:C4"/>
    <mergeCell ref="D3:D4"/>
    <mergeCell ref="E3:E4"/>
    <mergeCell ref="F3:F4"/>
    <mergeCell ref="G3:G4"/>
    <mergeCell ref="H3:H4"/>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3183</v>
      </c>
      <c r="B1" s="2980">
        <f>'数据-取费表'!B2</f>
        <v>43047</v>
      </c>
    </row>
    <row r="2" spans="1:6" ht="33" customHeight="1">
      <c r="A2" s="2982" t="s">
        <v>3184</v>
      </c>
      <c r="B2" s="2983" t="s">
        <v>3185</v>
      </c>
      <c r="C2" s="2984" t="s">
        <v>3186</v>
      </c>
      <c r="D2" s="2983" t="s">
        <v>3187</v>
      </c>
      <c r="E2" s="2985" t="s">
        <v>3188</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3189</v>
      </c>
      <c r="B7" s="2997"/>
    </row>
    <row r="8" spans="1:6" ht="20.25" customHeight="1" thickBot="1">
      <c r="A8" s="3368" t="s">
        <v>3190</v>
      </c>
      <c r="B8" s="3369"/>
      <c r="C8" s="2999"/>
      <c r="D8" s="3000" t="s">
        <v>3188</v>
      </c>
      <c r="E8" s="2999"/>
      <c r="F8" s="3001" t="s">
        <v>3187</v>
      </c>
    </row>
    <row r="9" spans="1:6" ht="20.25" customHeight="1">
      <c r="A9" s="3002" t="s">
        <v>3191</v>
      </c>
      <c r="B9" s="3003">
        <v>70</v>
      </c>
      <c r="C9" s="3004" t="s">
        <v>3192</v>
      </c>
      <c r="D9" s="3005">
        <v>4.4999999999999998E-2</v>
      </c>
      <c r="E9" s="3004" t="s">
        <v>3193</v>
      </c>
      <c r="F9" s="3006">
        <f>1-(1/(POWER(1+D9,B9)))</f>
        <v>0.95409503414356267</v>
      </c>
    </row>
    <row r="10" spans="1:6" ht="20.25" customHeight="1" thickBot="1">
      <c r="A10" s="3007" t="s">
        <v>3194</v>
      </c>
      <c r="B10" s="3008">
        <v>40</v>
      </c>
      <c r="C10" s="3009" t="s">
        <v>3195</v>
      </c>
      <c r="D10" s="3010">
        <v>4.4999999999999998E-2</v>
      </c>
      <c r="E10" s="3009" t="s">
        <v>3196</v>
      </c>
      <c r="F10" s="3011">
        <f>1-(1/(POWER(1+D10,B10)))</f>
        <v>0.8280712989125899</v>
      </c>
    </row>
    <row r="11" spans="1:6" ht="20.25" customHeight="1" thickBot="1">
      <c r="A11" s="3012" t="s">
        <v>3197</v>
      </c>
      <c r="B11" s="3013"/>
      <c r="C11" s="3013"/>
      <c r="D11" s="3013"/>
      <c r="E11" s="3013"/>
      <c r="F11" s="3013"/>
    </row>
    <row r="12" spans="1:6" ht="20.25" customHeight="1">
      <c r="A12" s="3002" t="s">
        <v>3198</v>
      </c>
      <c r="B12" s="3014">
        <v>5000</v>
      </c>
      <c r="E12" s="3015"/>
      <c r="F12" s="3015"/>
    </row>
    <row r="13" spans="1:6" ht="20.25" customHeight="1" thickBot="1">
      <c r="A13" s="3007" t="s">
        <v>3199</v>
      </c>
      <c r="B13" s="3016">
        <f>ROUND(B12*F10/F9,2)</f>
        <v>4339.5600000000004</v>
      </c>
      <c r="C13" s="3017">
        <f>ROUND(F10/F9,4)</f>
        <v>0.8679</v>
      </c>
      <c r="E13" s="3015"/>
      <c r="F13" s="3015"/>
    </row>
    <row r="14" spans="1:6" ht="20.25" customHeight="1" thickBot="1">
      <c r="A14" s="3012" t="s">
        <v>3200</v>
      </c>
      <c r="B14" s="3018"/>
      <c r="C14" s="3015"/>
    </row>
    <row r="15" spans="1:6" ht="20.25" customHeight="1">
      <c r="A15" s="3004" t="s">
        <v>3201</v>
      </c>
      <c r="B15" s="3019">
        <v>4810</v>
      </c>
      <c r="C15" s="3015"/>
    </row>
    <row r="16" spans="1:6" ht="20.25" customHeight="1" thickBot="1">
      <c r="A16" s="3009" t="s">
        <v>3202</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1642</v>
      </c>
      <c r="B2" s="3047" t="s">
        <v>1643</v>
      </c>
      <c r="C2" s="3047" t="s">
        <v>1644</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1"/>
      <c r="B3" s="3041"/>
      <c r="C3" s="3041"/>
      <c r="D3" s="1048" t="s">
        <v>1639</v>
      </c>
      <c r="E3" s="1048" t="s">
        <v>1645</v>
      </c>
      <c r="F3" s="1048" t="s">
        <v>1639</v>
      </c>
      <c r="G3" s="1048" t="s">
        <v>1640</v>
      </c>
      <c r="H3" s="1048" t="s">
        <v>1639</v>
      </c>
      <c r="I3" s="1048" t="s">
        <v>1640</v>
      </c>
    </row>
    <row r="4" spans="1:9" ht="45">
      <c r="A4" s="1978" t="str">
        <f>项目基本情况!S2</f>
        <v>北京市西城区广安门外大街168号1幢3层1-301等六套办公用房房地产房地产</v>
      </c>
      <c r="B4" s="1048">
        <f>项目基本情况!C17</f>
        <v>1952.76</v>
      </c>
      <c r="C4" s="1048">
        <f>项目基本情况!C18</f>
        <v>0</v>
      </c>
      <c r="D4" s="1048">
        <f ca="1">结果表!D118</f>
        <v>6288</v>
      </c>
      <c r="E4" s="1048">
        <f ca="1">结果表!E118</f>
        <v>32201</v>
      </c>
      <c r="F4" s="1048">
        <f ca="1">结果表!F118</f>
        <v>1216</v>
      </c>
      <c r="G4" s="1048">
        <f ca="1">结果表!G118</f>
        <v>6227</v>
      </c>
      <c r="H4" s="1048">
        <f ca="1">结果表!H118</f>
        <v>7504</v>
      </c>
      <c r="I4" s="1048">
        <f ca="1">结果表!I118</f>
        <v>38428</v>
      </c>
    </row>
    <row r="5" spans="1:9" ht="30" customHeight="1">
      <c r="A5" s="3041" t="s">
        <v>1641</v>
      </c>
      <c r="B5" s="3041"/>
      <c r="C5" s="3041"/>
      <c r="D5" s="3042" t="str">
        <f ca="1">结果表!D119</f>
        <v>陆仟贰佰捌拾捌万元整</v>
      </c>
      <c r="E5" s="3042"/>
      <c r="F5" s="3042" t="str">
        <f ca="1">结果表!F119</f>
        <v>壹仟贰佰壹拾陆万元整</v>
      </c>
      <c r="G5" s="3042"/>
      <c r="H5" s="3042" t="str">
        <f ca="1">结果表!H119</f>
        <v>柒仟伍佰零肆万元整</v>
      </c>
      <c r="I5" s="3042"/>
    </row>
    <row r="6" spans="1:9" ht="15.75">
      <c r="A6" s="3040" t="str">
        <f>结果表!A120</f>
        <v>估价师知悉的法定优先受偿款</v>
      </c>
      <c r="B6" s="3040"/>
      <c r="C6" s="3040"/>
      <c r="D6" s="3040">
        <f>结果表!D120</f>
        <v>0</v>
      </c>
      <c r="E6" s="3040"/>
      <c r="F6" s="3040"/>
      <c r="G6" s="3040"/>
      <c r="H6" s="3040"/>
      <c r="I6" s="3040"/>
    </row>
    <row r="7" spans="1:9" ht="15">
      <c r="A7" s="3041" t="s">
        <v>1641</v>
      </c>
      <c r="B7" s="3041"/>
      <c r="C7" s="3041"/>
      <c r="D7" s="3043" t="str">
        <f>结果表!D121</f>
        <v>零元整</v>
      </c>
      <c r="E7" s="3044"/>
      <c r="F7" s="3044"/>
      <c r="G7" s="3044"/>
      <c r="H7" s="3044"/>
      <c r="I7" s="3045"/>
    </row>
    <row r="8" spans="1:9" ht="15.75">
      <c r="A8" s="3040" t="str">
        <f>结果表!A122</f>
        <v>房地产抵押价值</v>
      </c>
      <c r="B8" s="3040"/>
      <c r="C8" s="3040"/>
      <c r="D8" s="3040">
        <f ca="1">结果表!D122</f>
        <v>7504</v>
      </c>
      <c r="E8" s="3040"/>
      <c r="F8" s="3040"/>
      <c r="G8" s="3040"/>
      <c r="H8" s="3040"/>
      <c r="I8" s="3040"/>
    </row>
    <row r="9" spans="1:9" ht="15">
      <c r="A9" s="3041" t="s">
        <v>1641</v>
      </c>
      <c r="B9" s="3041"/>
      <c r="C9" s="3041"/>
      <c r="D9" s="3042" t="str">
        <f ca="1">结果表!D123</f>
        <v>柒仟伍佰零肆万元整</v>
      </c>
      <c r="E9" s="3042"/>
      <c r="F9" s="3042"/>
      <c r="G9" s="3042"/>
      <c r="H9" s="3042"/>
      <c r="I9" s="3042"/>
    </row>
    <row r="10" spans="1:9" ht="15.75">
      <c r="A10" s="3040" t="str">
        <f>结果表!A124</f>
        <v/>
      </c>
      <c r="B10" s="3040"/>
      <c r="C10" s="3040"/>
      <c r="D10" s="3040" t="str">
        <f>结果表!D124</f>
        <v>——</v>
      </c>
      <c r="E10" s="3040"/>
      <c r="F10" s="3040"/>
      <c r="G10" s="3040"/>
      <c r="H10" s="3040"/>
      <c r="I10" s="3040"/>
    </row>
    <row r="11" spans="1:9" ht="15">
      <c r="A11" s="3041" t="s">
        <v>1641</v>
      </c>
      <c r="B11" s="3041"/>
      <c r="C11" s="3041"/>
      <c r="D11" s="3042" t="e">
        <f>结果表!D125</f>
        <v>#VALUE!</v>
      </c>
      <c r="E11" s="3042"/>
      <c r="F11" s="3042"/>
      <c r="G11" s="3042"/>
      <c r="H11" s="3042"/>
      <c r="I11" s="3042"/>
    </row>
    <row r="12" spans="1:9" ht="15.75">
      <c r="A12" s="3040" t="str">
        <f>结果表!A126</f>
        <v/>
      </c>
      <c r="B12" s="3040"/>
      <c r="C12" s="3040"/>
      <c r="D12" s="3040" t="str">
        <f>结果表!D126</f>
        <v>——</v>
      </c>
      <c r="E12" s="3040"/>
      <c r="F12" s="3040"/>
      <c r="G12" s="3040"/>
      <c r="H12" s="3040"/>
      <c r="I12" s="3040"/>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54" t="s">
        <v>1663</v>
      </c>
      <c r="B1" s="3054"/>
      <c r="C1" s="3054"/>
      <c r="D1" s="3054"/>
    </row>
    <row r="2" spans="1:4" ht="18">
      <c r="A2" s="3055" t="s">
        <v>1647</v>
      </c>
      <c r="B2" s="3055"/>
      <c r="C2" s="3055"/>
      <c r="D2" s="3055"/>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55" t="s">
        <v>1653</v>
      </c>
      <c r="B6" s="3055"/>
      <c r="C6" s="3055"/>
      <c r="D6" s="3055"/>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6" t="s">
        <v>1656</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3"/>
      <c r="C12" s="3053"/>
      <c r="D12" s="3053"/>
    </row>
    <row r="13" spans="1:4" ht="30" customHeight="1">
      <c r="A13" s="3048" t="str">
        <f>IF(项目基本情况!B8="抵押","3.抵押双方在办理抵押登记手续时，应使用本公司出具的正式《房地产评估报告》，特提醒报告使用者注意。","——")</f>
        <v>——</v>
      </c>
      <c r="B13" s="3053"/>
      <c r="C13" s="3053"/>
      <c r="D13" s="3053"/>
    </row>
    <row r="14" spans="1:4" ht="15.75" customHeight="1">
      <c r="A14" s="3048" t="str">
        <f>IF(项目基本情况!B8="抵押","4.本次评估估价师所知悉的法定优先受偿款情况说明如下：","——")</f>
        <v>——</v>
      </c>
      <c r="B14" s="3053"/>
      <c r="C14" s="3053"/>
      <c r="D14" s="3053"/>
    </row>
    <row r="15" spans="1:4" ht="42" customHeight="1">
      <c r="A15" s="3048" t="str">
        <f>IF(项目基本情况!B8="抵押","（1）"&amp;CONCATENATE(项目基本情况!L20,项目基本情况!L21,项目基本情况!L22),"——")</f>
        <v>——</v>
      </c>
      <c r="B15" s="3048"/>
      <c r="C15" s="3048"/>
      <c r="D15" s="3048"/>
    </row>
    <row r="16" spans="1:4" ht="30" customHeight="1">
      <c r="A16" s="3050" t="s">
        <v>1657</v>
      </c>
      <c r="B16" s="3050"/>
      <c r="C16" s="3050"/>
      <c r="D16" s="3050"/>
    </row>
    <row r="17" spans="1:4" ht="144" customHeight="1">
      <c r="A17" s="3050" t="s">
        <v>1658</v>
      </c>
      <c r="B17" s="3050"/>
      <c r="C17" s="3050"/>
      <c r="D17" s="3050"/>
    </row>
    <row r="18" spans="1:4" ht="15.75" customHeight="1">
      <c r="A18" s="3048" t="str">
        <f>IF(项目基本情况!B8="抵押",结果表!K120,"——")</f>
        <v>——</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1659</v>
      </c>
      <c r="B22" s="3052"/>
      <c r="C22" s="3052"/>
      <c r="D22" s="3052"/>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49">
        <v>42551</v>
      </c>
      <c r="D31" s="30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2" t="s">
        <v>1670</v>
      </c>
      <c r="B15" s="3057" t="s">
        <v>136</v>
      </c>
      <c r="C15" s="3058"/>
    </row>
    <row r="16" spans="1:7" ht="13.5">
      <c r="A16" s="3063"/>
      <c r="B16" s="3057" t="s">
        <v>69</v>
      </c>
      <c r="C16" s="3058"/>
    </row>
    <row r="17" spans="1:3" ht="13.5">
      <c r="A17" s="3063"/>
      <c r="B17" s="3060" t="s">
        <v>1671</v>
      </c>
      <c r="C17" s="2005" t="s">
        <v>1670</v>
      </c>
    </row>
    <row r="18" spans="1:3" ht="13.5">
      <c r="A18" s="3063"/>
      <c r="B18" s="3060"/>
      <c r="C18" s="2005" t="s">
        <v>1672</v>
      </c>
    </row>
    <row r="19" spans="1:3" ht="13.5">
      <c r="A19" s="3063"/>
      <c r="B19" s="3060"/>
      <c r="C19" s="2005" t="s">
        <v>1673</v>
      </c>
    </row>
    <row r="20" spans="1:3" ht="13.5">
      <c r="A20" s="3064"/>
      <c r="B20" s="3059" t="s">
        <v>1674</v>
      </c>
      <c r="C20" s="3058"/>
    </row>
    <row r="21" spans="1:3" ht="13.5">
      <c r="A21" s="2006" t="s">
        <v>1675</v>
      </c>
      <c r="B21" s="2007"/>
      <c r="C21" s="2008"/>
    </row>
    <row r="22" spans="1:3" ht="13.5">
      <c r="A22" s="3061" t="s">
        <v>1676</v>
      </c>
      <c r="B22" s="3059" t="s">
        <v>1677</v>
      </c>
      <c r="C22" s="3058"/>
    </row>
    <row r="23" spans="1:3" ht="13.5">
      <c r="A23" s="3061"/>
      <c r="B23" s="3059" t="s">
        <v>1678</v>
      </c>
      <c r="C23" s="3058"/>
    </row>
    <row r="24" spans="1:3" ht="13.5">
      <c r="A24" s="3061"/>
      <c r="B24" s="3059" t="s">
        <v>1679</v>
      </c>
      <c r="C24" s="3058"/>
    </row>
    <row r="25" spans="1:3" ht="13.5">
      <c r="A25" s="3061"/>
      <c r="B25" s="3060" t="s">
        <v>1680</v>
      </c>
      <c r="C25" s="2005" t="s">
        <v>1681</v>
      </c>
    </row>
    <row r="26" spans="1:3" ht="13.5">
      <c r="A26" s="3061"/>
      <c r="B26" s="3060"/>
      <c r="C26" s="2005" t="s">
        <v>1682</v>
      </c>
    </row>
    <row r="27" spans="1:3" ht="13.5">
      <c r="A27" s="3061"/>
      <c r="B27" s="3060"/>
      <c r="C27" s="2005" t="s">
        <v>1683</v>
      </c>
    </row>
    <row r="28" spans="1:3" ht="13.5">
      <c r="A28" s="3061"/>
      <c r="B28" s="3060"/>
      <c r="C28" s="2005" t="s">
        <v>1684</v>
      </c>
    </row>
    <row r="29" spans="1:3" ht="13.5">
      <c r="A29" s="3061"/>
      <c r="B29" s="3060"/>
      <c r="C29" s="2005" t="s">
        <v>1685</v>
      </c>
    </row>
    <row r="30" spans="1:3" ht="13.5">
      <c r="A30" s="3061"/>
      <c r="B30" s="3060"/>
      <c r="C30" s="2005" t="s">
        <v>1686</v>
      </c>
    </row>
    <row r="31" spans="1:3" ht="13.5">
      <c r="A31" s="3061"/>
      <c r="B31" s="3060"/>
      <c r="C31" s="2005" t="s">
        <v>1687</v>
      </c>
    </row>
    <row r="32" spans="1:3" ht="13.5">
      <c r="A32" s="3061"/>
      <c r="B32" s="3060"/>
      <c r="C32" s="2005" t="s">
        <v>1688</v>
      </c>
    </row>
    <row r="33" spans="1:3" ht="13.5">
      <c r="A33" s="3061"/>
      <c r="B33" s="3060"/>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65" t="s">
        <v>846</v>
      </c>
      <c r="B25" s="3065"/>
      <c r="C25" s="3065"/>
      <c r="D25" s="3065"/>
      <c r="E25" s="3065"/>
      <c r="F25" s="3065"/>
      <c r="G25" s="3065"/>
    </row>
    <row r="26" spans="1:7" s="1029" customFormat="1" ht="24" customHeight="1">
      <c r="A26" s="3066" t="s">
        <v>847</v>
      </c>
      <c r="B26" s="3066"/>
      <c r="C26" s="3067"/>
      <c r="D26" s="3068" t="s">
        <v>848</v>
      </c>
      <c r="E26" s="3066"/>
      <c r="F26" s="3066"/>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2017-11-14T06:39:26Z</dcterms:modified>
</cp:coreProperties>
</file>